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ntdfs\HomeFolders\UserS\spander\data\Annual Reports\Infrastructure Status Reports\"/>
    </mc:Choice>
  </mc:AlternateContent>
  <xr:revisionPtr revIDLastSave="0" documentId="13_ncr:1_{6F10351F-72B7-4030-975B-592AA2C769DA}" xr6:coauthVersionLast="47" xr6:coauthVersionMax="47" xr10:uidLastSave="{00000000-0000-0000-0000-000000000000}"/>
  <bookViews>
    <workbookView xWindow="25800" yWindow="0" windowWidth="25800" windowHeight="21000" xr2:uid="{00000000-000D-0000-FFFF-FFFF00000000}"/>
  </bookViews>
  <sheets>
    <sheet name="GAVI " sheetId="23" r:id="rId1"/>
    <sheet name="CSVI" sheetId="24" r:id="rId2"/>
    <sheet name="SRT" sheetId="22" r:id="rId3"/>
    <sheet name="RRLGP" sheetId="29" r:id="rId4"/>
    <sheet name="Passenger Rail" sheetId="30" r:id="rId5"/>
    <sheet name="PTIG" sheetId="25" r:id="rId6"/>
  </sheets>
  <definedNames>
    <definedName name="_xlnm.Print_Area" localSheetId="5">PTIG!#REF!</definedName>
    <definedName name="_xlnm.Print_Area" localSheetId="2">SRT!#REF!</definedName>
    <definedName name="_xlnm.Print_Titles" localSheetId="2">SRT!#REF!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5" i="29" l="1"/>
  <c r="C185" i="29"/>
  <c r="B185" i="29"/>
  <c r="F181" i="29"/>
  <c r="F180" i="29"/>
  <c r="F177" i="29"/>
  <c r="F176" i="29"/>
  <c r="F185" i="29" s="1"/>
  <c r="F171" i="29"/>
  <c r="E171" i="29"/>
  <c r="C171" i="29"/>
  <c r="B171" i="29"/>
  <c r="F169" i="29"/>
  <c r="F163" i="29"/>
  <c r="E163" i="29"/>
  <c r="C163" i="29"/>
  <c r="B163" i="29"/>
  <c r="G149" i="29"/>
  <c r="F149" i="29"/>
  <c r="D149" i="29"/>
  <c r="C149" i="29"/>
  <c r="G148" i="29"/>
  <c r="G138" i="29"/>
  <c r="F138" i="29"/>
  <c r="D138" i="29"/>
  <c r="C138" i="29"/>
  <c r="G137" i="29"/>
  <c r="G127" i="29"/>
  <c r="F127" i="29"/>
  <c r="D127" i="29"/>
  <c r="C127" i="29"/>
  <c r="G118" i="29"/>
  <c r="F118" i="29"/>
  <c r="D118" i="29"/>
  <c r="C118" i="29"/>
  <c r="G105" i="29"/>
  <c r="F105" i="29"/>
  <c r="D105" i="29"/>
  <c r="C105" i="29"/>
  <c r="G92" i="29"/>
  <c r="F92" i="29"/>
  <c r="D92" i="29"/>
  <c r="C92" i="29"/>
  <c r="G83" i="29"/>
  <c r="F83" i="29"/>
  <c r="D83" i="29"/>
  <c r="C83" i="29"/>
  <c r="G74" i="29"/>
  <c r="F74" i="29"/>
  <c r="D74" i="29"/>
  <c r="C74" i="29"/>
  <c r="G66" i="29"/>
  <c r="F66" i="29"/>
  <c r="D66" i="29"/>
  <c r="C66" i="29"/>
  <c r="G52" i="29"/>
  <c r="F52" i="29"/>
  <c r="D52" i="29"/>
  <c r="C52" i="29"/>
  <c r="F46" i="29"/>
  <c r="D46" i="29"/>
  <c r="C46" i="29"/>
  <c r="G43" i="29"/>
  <c r="G46" i="29" s="1"/>
  <c r="G38" i="29"/>
  <c r="F38" i="29"/>
  <c r="D38" i="29"/>
  <c r="C38" i="29"/>
  <c r="G34" i="29"/>
  <c r="G31" i="29"/>
  <c r="F31" i="29"/>
  <c r="G21" i="29"/>
  <c r="G20" i="29"/>
  <c r="G17" i="29"/>
  <c r="G16" i="29"/>
  <c r="H209" i="25" l="1"/>
  <c r="H208" i="25"/>
  <c r="D208" i="25"/>
  <c r="E207" i="25"/>
  <c r="H207" i="25" s="1"/>
  <c r="D207" i="25"/>
  <c r="H206" i="25"/>
  <c r="D206" i="25"/>
  <c r="H205" i="25"/>
  <c r="D205" i="25"/>
  <c r="H204" i="25"/>
  <c r="E204" i="25"/>
  <c r="E210" i="25" s="1"/>
  <c r="D204" i="25"/>
  <c r="H203" i="25"/>
  <c r="H201" i="25"/>
  <c r="H210" i="25" s="1"/>
  <c r="D201" i="25"/>
  <c r="H200" i="25"/>
  <c r="H199" i="25"/>
  <c r="H198" i="25"/>
  <c r="H196" i="25"/>
  <c r="E192" i="25"/>
  <c r="H191" i="25"/>
  <c r="D191" i="25"/>
  <c r="H190" i="25"/>
  <c r="H189" i="25"/>
  <c r="D189" i="25"/>
  <c r="H188" i="25"/>
  <c r="H192" i="25" s="1"/>
  <c r="D188" i="25"/>
  <c r="E184" i="25"/>
  <c r="H183" i="25"/>
  <c r="H182" i="25"/>
  <c r="H181" i="25"/>
  <c r="H180" i="25"/>
  <c r="E180" i="25"/>
  <c r="D180" i="25"/>
  <c r="H179" i="25"/>
  <c r="H178" i="25"/>
  <c r="D178" i="25"/>
  <c r="H177" i="25"/>
  <c r="D177" i="25"/>
  <c r="H176" i="25"/>
  <c r="H184" i="25" s="1"/>
  <c r="H175" i="25"/>
  <c r="H174" i="25"/>
  <c r="E169" i="25"/>
  <c r="H168" i="25"/>
  <c r="H167" i="25"/>
  <c r="H166" i="25"/>
  <c r="H165" i="25"/>
  <c r="E164" i="25"/>
  <c r="H164" i="25" s="1"/>
  <c r="H163" i="25"/>
  <c r="H162" i="25"/>
  <c r="H161" i="25"/>
  <c r="H160" i="25"/>
  <c r="H159" i="25"/>
  <c r="H158" i="25"/>
  <c r="H157" i="25"/>
  <c r="H152" i="25"/>
  <c r="H151" i="25"/>
  <c r="H150" i="25"/>
  <c r="E149" i="25"/>
  <c r="H149" i="25" s="1"/>
  <c r="H148" i="25"/>
  <c r="E147" i="25"/>
  <c r="E153" i="25" s="1"/>
  <c r="H146" i="25"/>
  <c r="E146" i="25"/>
  <c r="H145" i="25"/>
  <c r="H140" i="25"/>
  <c r="G139" i="25"/>
  <c r="E139" i="25"/>
  <c r="E141" i="25" s="1"/>
  <c r="H138" i="25"/>
  <c r="H137" i="25"/>
  <c r="H136" i="25"/>
  <c r="H135" i="25"/>
  <c r="G135" i="25"/>
  <c r="E135" i="25"/>
  <c r="H134" i="25"/>
  <c r="H133" i="25"/>
  <c r="H141" i="25" s="1"/>
  <c r="E128" i="25"/>
  <c r="H128" i="25" s="1"/>
  <c r="H127" i="25"/>
  <c r="H126" i="25"/>
  <c r="E125" i="25"/>
  <c r="E129" i="25" s="1"/>
  <c r="H124" i="25"/>
  <c r="H118" i="25"/>
  <c r="H117" i="25"/>
  <c r="H116" i="25"/>
  <c r="H115" i="25"/>
  <c r="E115" i="25"/>
  <c r="G114" i="25"/>
  <c r="E114" i="25"/>
  <c r="H114" i="25" s="1"/>
  <c r="H113" i="25"/>
  <c r="G112" i="25"/>
  <c r="E112" i="25"/>
  <c r="E119" i="25" s="1"/>
  <c r="H119" i="25" s="1"/>
  <c r="H111" i="25"/>
  <c r="H110" i="25"/>
  <c r="E110" i="25"/>
  <c r="H109" i="25"/>
  <c r="E104" i="25"/>
  <c r="H104" i="25" s="1"/>
  <c r="H103" i="25"/>
  <c r="H102" i="25"/>
  <c r="H101" i="25"/>
  <c r="H100" i="25"/>
  <c r="E96" i="25"/>
  <c r="H95" i="25"/>
  <c r="D95" i="25"/>
  <c r="H94" i="25"/>
  <c r="G94" i="25"/>
  <c r="H93" i="25"/>
  <c r="H92" i="25"/>
  <c r="H91" i="25"/>
  <c r="H96" i="25" s="1"/>
  <c r="H90" i="25"/>
  <c r="E86" i="25"/>
  <c r="H85" i="25"/>
  <c r="E85" i="25"/>
  <c r="H84" i="25"/>
  <c r="D84" i="25"/>
  <c r="H83" i="25"/>
  <c r="E83" i="25"/>
  <c r="E82" i="25"/>
  <c r="H82" i="25" s="1"/>
  <c r="H81" i="25"/>
  <c r="H80" i="25"/>
  <c r="H79" i="25"/>
  <c r="H86" i="25" s="1"/>
  <c r="E79" i="25"/>
  <c r="E74" i="25"/>
  <c r="H74" i="25" s="1"/>
  <c r="H73" i="25"/>
  <c r="D73" i="25"/>
  <c r="H72" i="25"/>
  <c r="H71" i="25"/>
  <c r="H70" i="25"/>
  <c r="H69" i="25"/>
  <c r="H75" i="25" s="1"/>
  <c r="G69" i="25"/>
  <c r="D69" i="25"/>
  <c r="E64" i="25"/>
  <c r="E63" i="25"/>
  <c r="H63" i="25" s="1"/>
  <c r="D63" i="25"/>
  <c r="H62" i="25"/>
  <c r="H61" i="25"/>
  <c r="H60" i="25"/>
  <c r="H59" i="25"/>
  <c r="H58" i="25"/>
  <c r="H65" i="25" s="1"/>
  <c r="E50" i="25"/>
  <c r="H50" i="25" s="1"/>
  <c r="H49" i="25"/>
  <c r="D48" i="25"/>
  <c r="H46" i="25"/>
  <c r="H38" i="25"/>
  <c r="E38" i="25"/>
  <c r="D38" i="25"/>
  <c r="E37" i="25"/>
  <c r="H37" i="25" s="1"/>
  <c r="H36" i="25"/>
  <c r="H28" i="25"/>
  <c r="H27" i="25"/>
  <c r="H26" i="25"/>
  <c r="H25" i="25"/>
  <c r="E29" i="25" s="1"/>
  <c r="H24" i="25"/>
  <c r="H23" i="25"/>
  <c r="H15" i="25"/>
  <c r="H14" i="25"/>
  <c r="H13" i="25"/>
  <c r="H12" i="25"/>
  <c r="H6" i="25"/>
  <c r="H5" i="25"/>
  <c r="H4" i="25"/>
  <c r="H3" i="25"/>
  <c r="H153" i="25" l="1"/>
  <c r="H169" i="25"/>
  <c r="H129" i="25"/>
  <c r="H105" i="25"/>
  <c r="H112" i="25"/>
  <c r="H120" i="25" s="1"/>
  <c r="H139" i="25"/>
  <c r="H147" i="25"/>
  <c r="E39" i="25"/>
  <c r="H125" i="25"/>
  <c r="D50" i="25"/>
  <c r="F157" i="24" l="1"/>
  <c r="D157" i="24"/>
  <c r="C157" i="24"/>
  <c r="F155" i="24"/>
  <c r="G155" i="24" s="1"/>
  <c r="G154" i="24"/>
  <c r="F154" i="24"/>
  <c r="G152" i="24"/>
  <c r="G151" i="24"/>
  <c r="F151" i="24"/>
  <c r="F149" i="24"/>
  <c r="G149" i="24" s="1"/>
  <c r="G157" i="24" s="1"/>
  <c r="F143" i="24"/>
  <c r="D143" i="24"/>
  <c r="C143" i="24"/>
  <c r="G139" i="24"/>
  <c r="G138" i="24"/>
  <c r="G143" i="24" s="1"/>
  <c r="G136" i="24"/>
  <c r="G135" i="24"/>
  <c r="G129" i="24"/>
  <c r="F129" i="24"/>
  <c r="D129" i="24"/>
  <c r="C128" i="24"/>
  <c r="C126" i="24"/>
  <c r="C129" i="24" s="1"/>
  <c r="C125" i="24"/>
  <c r="G115" i="24"/>
  <c r="F115" i="24"/>
  <c r="D115" i="24"/>
  <c r="C115" i="24"/>
  <c r="G103" i="24"/>
  <c r="F103" i="24"/>
  <c r="D103" i="24"/>
  <c r="C103" i="24"/>
  <c r="G90" i="24"/>
  <c r="F90" i="24"/>
  <c r="D90" i="24"/>
  <c r="C90" i="24"/>
  <c r="G78" i="24"/>
  <c r="F78" i="24"/>
  <c r="D78" i="24"/>
  <c r="C78" i="24"/>
  <c r="G66" i="24"/>
  <c r="F66" i="24"/>
  <c r="D66" i="24"/>
  <c r="C66" i="24"/>
  <c r="G55" i="24"/>
  <c r="F55" i="24"/>
  <c r="D55" i="24"/>
  <c r="C55" i="24"/>
  <c r="G44" i="24"/>
  <c r="F44" i="24"/>
  <c r="D44" i="24"/>
  <c r="C44" i="24"/>
  <c r="G33" i="24"/>
  <c r="F33" i="24"/>
  <c r="D33" i="24"/>
  <c r="C33" i="24"/>
  <c r="G22" i="24"/>
  <c r="F22" i="24"/>
  <c r="D22" i="24"/>
  <c r="C22" i="24"/>
  <c r="G11" i="24"/>
  <c r="F11" i="24"/>
  <c r="D11" i="24"/>
  <c r="C11" i="24"/>
  <c r="F157" i="23"/>
  <c r="D157" i="23"/>
  <c r="C157" i="23"/>
  <c r="G156" i="23"/>
  <c r="G155" i="23"/>
  <c r="G153" i="23"/>
  <c r="G152" i="23"/>
  <c r="G157" i="23" s="1"/>
  <c r="F148" i="23"/>
  <c r="D148" i="23"/>
  <c r="C148" i="23"/>
  <c r="G147" i="23"/>
  <c r="G146" i="23"/>
  <c r="G143" i="23"/>
  <c r="G141" i="23"/>
  <c r="G140" i="23"/>
  <c r="G148" i="23" s="1"/>
  <c r="G139" i="23"/>
  <c r="G136" i="23"/>
  <c r="F136" i="23"/>
  <c r="D136" i="23"/>
  <c r="C136" i="23"/>
  <c r="G124" i="23"/>
  <c r="F124" i="23"/>
  <c r="D124" i="23"/>
  <c r="C124" i="23"/>
  <c r="G109" i="23"/>
  <c r="F109" i="23"/>
  <c r="D109" i="23"/>
  <c r="C109" i="23"/>
  <c r="G95" i="23"/>
  <c r="F95" i="23"/>
  <c r="D95" i="23"/>
  <c r="C95" i="23"/>
  <c r="G85" i="23"/>
  <c r="D85" i="23"/>
  <c r="C85" i="23"/>
  <c r="F84" i="23"/>
  <c r="F82" i="23"/>
  <c r="F81" i="23"/>
  <c r="F80" i="23"/>
  <c r="F79" i="23"/>
  <c r="F78" i="23"/>
  <c r="F76" i="23"/>
  <c r="F85" i="23" s="1"/>
  <c r="G72" i="23"/>
  <c r="F72" i="23"/>
  <c r="D72" i="23"/>
  <c r="C72" i="23"/>
  <c r="G57" i="23"/>
  <c r="F57" i="23"/>
  <c r="D57" i="23"/>
  <c r="C57" i="23"/>
  <c r="G41" i="23"/>
  <c r="F41" i="23"/>
  <c r="D41" i="23"/>
  <c r="C41" i="23"/>
  <c r="G25" i="23"/>
  <c r="F25" i="23"/>
  <c r="D25" i="23"/>
  <c r="C25" i="23"/>
  <c r="G15" i="23"/>
  <c r="F15" i="23"/>
  <c r="D15" i="23"/>
  <c r="C15" i="23"/>
  <c r="E109" i="22"/>
  <c r="I66" i="22"/>
  <c r="I57" i="22"/>
  <c r="E17" i="30"/>
  <c r="C17" i="30"/>
  <c r="B17" i="30"/>
  <c r="F16" i="30"/>
  <c r="F15" i="30"/>
  <c r="F17" i="30" s="1"/>
  <c r="E11" i="30"/>
  <c r="C11" i="30"/>
  <c r="B11" i="30"/>
  <c r="F10" i="30"/>
  <c r="F9" i="30"/>
  <c r="F8" i="30"/>
  <c r="F7" i="30"/>
  <c r="F6" i="30"/>
  <c r="F5" i="30"/>
  <c r="F4" i="30"/>
  <c r="F3" i="30"/>
  <c r="F11"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tc={191E1F5E-36F4-4DDC-92DD-1067373672B4}</author>
  </authors>
  <commentList>
    <comment ref="B2" authorId="0" shapeId="0" xr:uid="{191E1F5E-36F4-4DDC-92DD-1067373672B4}">
      <text>
        <t>[Threaded comment]
Your version of Excel allows you to read this threaded comment; however, any edits to it will get removed if the file is opened in a newer version of Excel. Learn more: https://go.microsoft.com/fwlink/?linkid=870924
Comment:
    When I did this report in Jan 2020, there were a few projects that either had balances remaining that were allowed to go on another project or where balances were accepted from another project.  I left these projects alone and did not make things complicated in order to get the report done quickly.  For next year, review the database notes carefully.  Most of these should be closed.  Discuss with me before finalizing the report to determine if we need to add notes and what they say.</t>
      </text>
    </comment>
  </commentList>
</comments>
</file>

<file path=xl/sharedStrings.xml><?xml version="1.0" encoding="utf-8"?>
<sst xmlns="http://schemas.openxmlformats.org/spreadsheetml/2006/main" count="3308" uniqueCount="1278">
  <si>
    <t>Description of Project</t>
  </si>
  <si>
    <t>Total Estimated Project Cost</t>
  </si>
  <si>
    <t>State Recreational Trail (SRT) Fund and county funds</t>
  </si>
  <si>
    <t>Recreational Trails - RIIF - 0017</t>
  </si>
  <si>
    <t>State Recreational Trail (SRT) Fund and city hotel/motel tax</t>
  </si>
  <si>
    <t>Recreational Trails - RC2 - 0942</t>
  </si>
  <si>
    <t xml:space="preserve">State Recreational Trail (SRT) Fund </t>
  </si>
  <si>
    <t>Coon Rapids Town Loop Trail (Coon Rapids)</t>
  </si>
  <si>
    <t>Agreement not signed - work not started</t>
  </si>
  <si>
    <t>Alice's Road Greenbelt Trail Improvements (Clive)</t>
  </si>
  <si>
    <t>State Recreational Trail (SRT) Fund and City of Waterloo</t>
  </si>
  <si>
    <t>18th Street to Riverview Trail Development (Waterloo)</t>
  </si>
  <si>
    <t>4-Mile Creek Greenway Trail (Polk County Conservation Board/City of Ankeny Parks and Recreation Department)</t>
  </si>
  <si>
    <t>N/A</t>
  </si>
  <si>
    <t>Project was rescinded. Funding to be reprogrammed for flood damage projects.</t>
  </si>
  <si>
    <t>Maquoketa River Water Trail (Jones County Conservation Board)</t>
  </si>
  <si>
    <t>Lewis &amp; Clark Trail Planning Study (Iowa DOT)</t>
  </si>
  <si>
    <t>Heart of Iowa Nature Trail Phases VII &amp; VIII (Story County Conservation Board)</t>
  </si>
  <si>
    <t>State Recreational Trail (SRT) Fund, county, city, and private funds</t>
  </si>
  <si>
    <t>Ankeny to Woodward Trail Corridor (Boone County Conservation Board)</t>
  </si>
  <si>
    <t>Trout Run Trail - Bridging the Past and the Present (City of Decorah and Winneshiek County Conservation Board)</t>
  </si>
  <si>
    <t>State Recreational Trail (SRT) Fund and city funds</t>
  </si>
  <si>
    <t>Mississippi River Trail - Liberty Avenue Connection (Clinton)</t>
  </si>
  <si>
    <t>Linn Creek Trail Connection with Iowa Highway 330 Trail (Marshall County)</t>
  </si>
  <si>
    <t>State Recreational Trail (SRT) Fund, RPA, county, city, and private funds</t>
  </si>
  <si>
    <t>Trout Run Trail - Box Culverts and Bridge Project (City of Decorah and Winneshiek County Conservation Board)</t>
  </si>
  <si>
    <t>State Recreational Trail (SRT) Fund and County Budget</t>
  </si>
  <si>
    <t>Railbanking Purchase of IANW Railroad (Dickinson County Trails Board and Osceola County Conservation Board)</t>
  </si>
  <si>
    <t>State Recreational Trail (SRT) fund and Local Contributions</t>
  </si>
  <si>
    <t>State Recreational Trail (SRT) Fund and Local Contributions</t>
  </si>
  <si>
    <t>State Recreational Trail (SRT) Fund and City Funds</t>
  </si>
  <si>
    <t>State Recreational Trail (SRT) fund and Capital Improvement Funds</t>
  </si>
  <si>
    <t>Iowa Department of Natural Resources  (DNR) Trail Crew (Iowa DNR)</t>
  </si>
  <si>
    <t>Cedar Valley Nature Trail Bridge at McFarlane Park (Black Hawk County Conservation Board)</t>
  </si>
  <si>
    <t>State Recreational Trail (SRT) Fund, Private and Local, Federal Earmark and Other State and Federal Grants</t>
  </si>
  <si>
    <t>Date of Completion / Estimated Completion</t>
  </si>
  <si>
    <t>Funds Expended</t>
  </si>
  <si>
    <t>Revenue Sources</t>
  </si>
  <si>
    <t>Progress of Work</t>
  </si>
  <si>
    <t>Fiscal Year</t>
  </si>
  <si>
    <t>Fund</t>
  </si>
  <si>
    <t>Rescinded</t>
  </si>
  <si>
    <t>State Recreational Trails</t>
  </si>
  <si>
    <t>State Recreational Trail (SRT) Fund and ATV registration funds</t>
  </si>
  <si>
    <t>Buffalo to Wild Cat Den Road MRT (City of Buffalo)</t>
  </si>
  <si>
    <t>Central IA Trail Loop-Chichaqua Valley Trail to Gay Lea Wilson Trail (Polk County Conservation Board)</t>
  </si>
  <si>
    <t>Dickinson County Spine Trail-Henderson Woods to US71 in Arnolds Park (Arnolds Park and Dickinson County Trails Board)</t>
  </si>
  <si>
    <t>State Recreational Trail (SRT) Fund, city CIP, Gray's Lake Neighborhood Association and land donations</t>
  </si>
  <si>
    <t>Gypsum City OHV Park  (WCIC and Iowa DNR)</t>
  </si>
  <si>
    <t>Iowa DNR Trails Program (Iowa DNR)</t>
  </si>
  <si>
    <t>NW Beaver Drive Trail (City of Johnston)</t>
  </si>
  <si>
    <t>State Recreational Trail (SRT) Fund, city G.O. bond and city park and trail improvement fund</t>
  </si>
  <si>
    <t>Turkey River Recreational Corridor Trail-Elkader to Motor Mill (Clayton County Conservation Board)</t>
  </si>
  <si>
    <t>Water Trails Planning, Design and Construction Activities (Iowa DNR)</t>
  </si>
  <si>
    <t>State Recreational Trail (SRT) Fund, marine fuel tax, U.S. Coast Guard, boat registration fees and RIIF</t>
  </si>
  <si>
    <t>Agreement signed  1/4/2010 - project completed</t>
  </si>
  <si>
    <t>Agreement signed 11/5/2008 - project completed</t>
  </si>
  <si>
    <t>Agreement signed 7/8/2008 - project completed</t>
  </si>
  <si>
    <t>Agreement signed 12/3/2008 - project completed</t>
  </si>
  <si>
    <t>Agreement signed 3/16/2009 - project completed</t>
  </si>
  <si>
    <t>Agreement signed 12/13/2007 - project completed</t>
  </si>
  <si>
    <t>Agreement signed 3/29/2007 - project completed</t>
  </si>
  <si>
    <t>Agreement signed 4/16/2007 - project completed</t>
  </si>
  <si>
    <t>Agreement signed 8/21/2006 - project completed</t>
  </si>
  <si>
    <t>Agreement signed 7/10/2006 - project completed</t>
  </si>
  <si>
    <t>Agreement signed 7/31/2006 - project completed</t>
  </si>
  <si>
    <t>City of Clinton Mississippi River Trail Final Connection (City of Clinton)</t>
  </si>
  <si>
    <t>Mines of Spain Trail and Trailhead (City of Dubuque and Iowa DNR)</t>
  </si>
  <si>
    <t>Musser Park to Wiggens Road Trail (City of Muscatine)</t>
  </si>
  <si>
    <t>Shaulis Road Trail Extension – Phase I (City of Waterloo)</t>
  </si>
  <si>
    <t>South Troy Park Trail (City of Robins)</t>
  </si>
  <si>
    <t>Iowa River Trail – Phase 8 of 8 (City of Iowa City)</t>
  </si>
  <si>
    <t>Agreement signed 1/5/2010 - project completed</t>
  </si>
  <si>
    <t>Agreement signed 11/25/2009 - project completed</t>
  </si>
  <si>
    <t>Agreement signed 12/6/2009 - project completed</t>
  </si>
  <si>
    <t>Agreement signed 3/10/2009 - project completed</t>
  </si>
  <si>
    <t>Agreement signed 1/29/2010 - project completed</t>
  </si>
  <si>
    <t>Agreement signed 11/3/2008 - project completed</t>
  </si>
  <si>
    <t>Agreement signed 4/16/2007 - $30,000 was awarded to city of Eldon - project completed</t>
  </si>
  <si>
    <t>Agreement signed 11/6/2009 - project completed</t>
  </si>
  <si>
    <t>State Recreational Trail (SRT) Fund and city G.O. Bonds</t>
  </si>
  <si>
    <t>State Recreational Trail (SRT) Fund, city funds and fundraising/naming opportunities</t>
  </si>
  <si>
    <t>State Recreational Trail (SRT) Fund, Federal Earmark funds and local contribution</t>
  </si>
  <si>
    <t>Agreement signed 6/8/2009 - funding rescinded</t>
  </si>
  <si>
    <t>Bee Branch Creek Trail-MRT Route (City of Dubuque)</t>
  </si>
  <si>
    <t>Agreement signed 11/20/2009  - project completed</t>
  </si>
  <si>
    <t>Brushy Creek All-Weather Multi-Use Lake Trail Bridge (Iowa DNR)</t>
  </si>
  <si>
    <t>Fayette-Volga River Multi-Use Trail (Upper Iowa University and Fayette County)</t>
  </si>
  <si>
    <t>FY 2013 RIIF - General Aviation Vertical Infrastructure Program</t>
  </si>
  <si>
    <t>Airport</t>
  </si>
  <si>
    <t>State Share</t>
  </si>
  <si>
    <t>Other Revenue Sources</t>
  </si>
  <si>
    <t>State Funds Used</t>
  </si>
  <si>
    <t>Remaining Obligated</t>
  </si>
  <si>
    <t>Status of Project</t>
  </si>
  <si>
    <t>Date Completed or Estimated Completion Date</t>
  </si>
  <si>
    <t>Boone Municipal Airport</t>
  </si>
  <si>
    <t>Construct hangar</t>
  </si>
  <si>
    <t>Airport funds</t>
  </si>
  <si>
    <t>Clinton Municipal Airport</t>
  </si>
  <si>
    <t>Construct transient hangar</t>
  </si>
  <si>
    <t>Iowa Falls Municipal Airport</t>
  </si>
  <si>
    <t>Red Oak Municipal Airport</t>
  </si>
  <si>
    <t>Vinton Veterans Airpark</t>
  </si>
  <si>
    <t>Total</t>
  </si>
  <si>
    <t>Rehabilitate hangar</t>
  </si>
  <si>
    <t>Completed</t>
  </si>
  <si>
    <t>Fairfield Municipal Airport</t>
  </si>
  <si>
    <t>Iowa City Municipal Airport</t>
  </si>
  <si>
    <t>Rehabilitate terminal building</t>
  </si>
  <si>
    <t>Osceola Municipal Airport</t>
  </si>
  <si>
    <t>Davenport</t>
  </si>
  <si>
    <t>FY 2013 RIIF - Commercial Service Vertical Infrastructure (CSVI) Projects</t>
  </si>
  <si>
    <t>Replace hangar</t>
  </si>
  <si>
    <t>Renovate terminal building lobby</t>
  </si>
  <si>
    <t>Des Moines</t>
  </si>
  <si>
    <t>Dubuque</t>
  </si>
  <si>
    <t>Construct terminal building</t>
  </si>
  <si>
    <t>Fort Dodge</t>
  </si>
  <si>
    <t>Renovate terminal operation area and former flight service station building</t>
  </si>
  <si>
    <t>Mason City</t>
  </si>
  <si>
    <t>Construct office addition</t>
  </si>
  <si>
    <t>Sioux City</t>
  </si>
  <si>
    <t>Rehabilitate hangars</t>
  </si>
  <si>
    <t>Waterloo</t>
  </si>
  <si>
    <t>Rehabilitate hangars and snow removal equipment building</t>
  </si>
  <si>
    <t>FY 2012 RIIF - Commercial Service Vertical Infrastructure (CSVI) Projects</t>
  </si>
  <si>
    <t>Construct hangars</t>
  </si>
  <si>
    <t>Renovate terminal - relocate baggage screening area</t>
  </si>
  <si>
    <t>Renovate terminal to prevent drainage issues; design renovation to flight service station; hangar A and B demolition</t>
  </si>
  <si>
    <t>TOTAL</t>
  </si>
  <si>
    <t>Renovate hangar</t>
  </si>
  <si>
    <t>GRAND TOTAL</t>
  </si>
  <si>
    <t>Local Funds</t>
  </si>
  <si>
    <t>Transit Agency Funds</t>
  </si>
  <si>
    <t>City of Coralville</t>
  </si>
  <si>
    <t>Project complete</t>
  </si>
  <si>
    <t>Western Iowa Transit System (Region 12) - Carroll</t>
  </si>
  <si>
    <t>Federal Transit Funds, Transit Agency Funds</t>
  </si>
  <si>
    <t>NA</t>
  </si>
  <si>
    <t>Ames Transit Agency (CyRide)</t>
  </si>
  <si>
    <t>Final Payment</t>
  </si>
  <si>
    <t>Remaining Balance</t>
  </si>
  <si>
    <t>State Funds Paid to Date</t>
  </si>
  <si>
    <t>Transit System</t>
  </si>
  <si>
    <t>Contract Number</t>
  </si>
  <si>
    <t>Storage barn (partial--also see supplemental funding from FY07, FY10, FY11, FY12)</t>
  </si>
  <si>
    <t>Storm water rack and sanitation sewer (see FY10 and FY11)</t>
  </si>
  <si>
    <t>Administrative/operations offices (partial--also see funding from FY10, FY13)</t>
  </si>
  <si>
    <t>Construct satellite transit operations and vehicle storage/maintenance facility in Webster City to support MIDAS transit services in Hamilaton Co. (partial see also funding in FY10)</t>
  </si>
  <si>
    <t>MIDAS Regional Transit (Region 5) -  Ft. Dodge</t>
  </si>
  <si>
    <t>Rehabitate west wall exterior insulation finish system (EIFS) of Cy-Ride maintenance facility</t>
  </si>
  <si>
    <t>CyRide (Ames)</t>
  </si>
  <si>
    <t>FEMA Funds, Transit Agency Funds</t>
  </si>
  <si>
    <t>Relocate transit office/maintenance facility out of floodway</t>
  </si>
  <si>
    <t>Construct a vehicle storage addition (partial - see also supplimental funding from FY07)</t>
  </si>
  <si>
    <t>Project switched to ARRA</t>
  </si>
  <si>
    <t>0</t>
  </si>
  <si>
    <t>$491,300</t>
  </si>
  <si>
    <r>
      <t>Vehicle storage and wash bays</t>
    </r>
    <r>
      <rPr>
        <sz val="12"/>
        <rFont val="Arial"/>
        <family val="2"/>
      </rPr>
      <t xml:space="preserve"> (Moved to ARRA)</t>
    </r>
  </si>
  <si>
    <t>River Bend Transit (Region 9) - Davenport</t>
  </si>
  <si>
    <t>Construct bus wash bash and expanded parts storage, etc. for relocated transit maintenance facility  (partial -- see also supplemental funding from FY07 and FY10)</t>
  </si>
  <si>
    <t>Est. 6/30/2010</t>
  </si>
  <si>
    <t>Project Cancelled</t>
  </si>
  <si>
    <r>
      <t xml:space="preserve">Relocate transit offices </t>
    </r>
    <r>
      <rPr>
        <sz val="12"/>
        <rFont val="Arial"/>
        <family val="2"/>
      </rPr>
      <t>(Cancelled 8-9-10)</t>
    </r>
  </si>
  <si>
    <t>City of Davenport</t>
  </si>
  <si>
    <t>$640,000</t>
  </si>
  <si>
    <r>
      <rPr>
        <strike/>
        <sz val="12"/>
        <rFont val="Arial"/>
        <family val="2"/>
      </rPr>
      <t>Reconstruction of the steam cleaning area</t>
    </r>
    <r>
      <rPr>
        <sz val="12"/>
        <rFont val="Arial"/>
        <family val="2"/>
      </rPr>
      <t xml:space="preserve">  (Moved to ARRA)</t>
    </r>
  </si>
  <si>
    <t>FY 2009 - RC3 511 - Health Restricted Capital Bond Fund (Revenue Bonds Capitals)</t>
  </si>
  <si>
    <t>Storage barn (partial--also see supplemental funding from FY07, FY09, FY11, FY12)</t>
  </si>
  <si>
    <t>Storm water rack and sanitation sewer (see FY11 and supplemental funding from FY09)</t>
  </si>
  <si>
    <t>Administrative/operations offices (partial--also see funding from FY09, FY13)</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</si>
  <si>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</si>
  <si>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</si>
  <si>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</si>
  <si>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</si>
  <si>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</si>
  <si>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</si>
  <si>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</si>
  <si>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</si>
  <si>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Restoration of masonry structures and upgrade of energy management system at DART facility</t>
  </si>
  <si>
    <t>Des Moines Area Regional Transit</t>
  </si>
  <si>
    <t>Construct bus wash bash and expanded parts storage, etc. for relocated transit maintenance facility  (partial -- see also supplemental funding from FY07 and FY09)</t>
  </si>
  <si>
    <t>Locker/washroom renovations</t>
  </si>
  <si>
    <t xml:space="preserve">FY 2010 - RIIF 017 - Rebuild Iowa Infrastructure Fund </t>
  </si>
  <si>
    <t>Storage barn (partial--also see supplemental funding from FY07, FY09, FY10, FY12)</t>
  </si>
  <si>
    <t>Construct a vehicle storage facility</t>
  </si>
  <si>
    <t>Southwest Iowa Transit Agency-SWITA (Region 13)</t>
  </si>
  <si>
    <t>Wash rack rehabilitation</t>
  </si>
  <si>
    <t>Transfer facility</t>
  </si>
  <si>
    <t>Replace roof over maintenance area</t>
  </si>
  <si>
    <t>Construct additional bus storage/maintenance areas</t>
  </si>
  <si>
    <t>FY 2011 - I-Jobs Bonding (Revenue Bonds Capitals II)</t>
  </si>
  <si>
    <t>Passenger shelter</t>
  </si>
  <si>
    <t>Muscatine</t>
  </si>
  <si>
    <t>Roof replacement</t>
  </si>
  <si>
    <t>Sprinkler replacement</t>
  </si>
  <si>
    <t>Storage barn (partial--also see supplemental funding from FY07, FY09, FY10, FY11)</t>
  </si>
  <si>
    <t>local &amp; FEMA</t>
  </si>
  <si>
    <t>New facility to replace transit garage and admin. facility</t>
  </si>
  <si>
    <t>Cedar Rapids</t>
  </si>
  <si>
    <t xml:space="preserve">Facility renovation </t>
  </si>
  <si>
    <t>Ames</t>
  </si>
  <si>
    <t xml:space="preserve">FY 2012 - Rebuild Iowa Infrastructure Fund </t>
  </si>
  <si>
    <t>federal transit funds
 local funds</t>
  </si>
  <si>
    <t>Fuel delivery system</t>
  </si>
  <si>
    <t>Storage barn portals restoration</t>
  </si>
  <si>
    <t>Administrative/operations offices (partial--also see funding from FY09, FY10)</t>
  </si>
  <si>
    <t>Administration facility/garage</t>
  </si>
  <si>
    <t xml:space="preserve">FY 2013 - Rebuild Iowa Infrastructure Fund </t>
  </si>
  <si>
    <t>None</t>
  </si>
  <si>
    <t>Burlington</t>
  </si>
  <si>
    <t>Local</t>
  </si>
  <si>
    <t>Local funds</t>
  </si>
  <si>
    <t>Project Sponsor</t>
  </si>
  <si>
    <t>Local match</t>
  </si>
  <si>
    <t xml:space="preserve">FY 2013 Railroad Revolving Loan and Grant Program </t>
  </si>
  <si>
    <t>CRANDIC Iowa River Crossing North Bridge</t>
  </si>
  <si>
    <t>Consruct replacement rail bridge</t>
  </si>
  <si>
    <t>Company match</t>
  </si>
  <si>
    <t>Iowa Falls UP/CN Connector</t>
  </si>
  <si>
    <t>Upgrade rail infrastructure in industrial area</t>
  </si>
  <si>
    <t>Rail One</t>
  </si>
  <si>
    <t>Industrial Rail Spur Construction</t>
  </si>
  <si>
    <t>BJRY Rail/Truck/Barge Planning Study</t>
  </si>
  <si>
    <t>Planning Study</t>
  </si>
  <si>
    <t>Central Iowa Transloading Facility Feasibility Study</t>
  </si>
  <si>
    <t>Iowa Falls/Hardin County Rail Port Planning Study</t>
  </si>
  <si>
    <t>Mills/Pottawattamie County Rail Port Study</t>
  </si>
  <si>
    <t>North Central Ag Park Planning Study</t>
  </si>
  <si>
    <t>Sioux City Rail Study Phase II</t>
  </si>
  <si>
    <t xml:space="preserve">FY 2012 Railroad Revolving Loan and Grant Program </t>
  </si>
  <si>
    <t>Burlington Junction Railway Spur rehabilitation</t>
  </si>
  <si>
    <t>Butler Cross Dock</t>
  </si>
  <si>
    <t>Cherokee Industrial Spur</t>
  </si>
  <si>
    <t>Complete</t>
  </si>
  <si>
    <t>CRANDIC Iowa River Crossing Improvement</t>
  </si>
  <si>
    <t>Global Foods</t>
  </si>
  <si>
    <t>Rail Spur upgrade</t>
  </si>
  <si>
    <t>Iowa River Railroad</t>
  </si>
  <si>
    <t>Rail line acquisition &amp; preservation</t>
  </si>
  <si>
    <t xml:space="preserve">Project withdrawn by applicant </t>
  </si>
  <si>
    <t>Not applicable</t>
  </si>
  <si>
    <t>North Central Iowa Rail Corridor, LLC</t>
  </si>
  <si>
    <t>Valley Distribution Corporation</t>
  </si>
  <si>
    <t>$                       297, 525</t>
  </si>
  <si>
    <t>Waverly GMT Rail Spur</t>
  </si>
  <si>
    <t xml:space="preserve">FY 2011 Railroad Revolving Loan and Grant Program </t>
  </si>
  <si>
    <t>Adams County Rail</t>
  </si>
  <si>
    <t>Industrial Rail Spur Extension</t>
  </si>
  <si>
    <t xml:space="preserve">Project withdrawn </t>
  </si>
  <si>
    <t>Eastern Iowa Industrial  Center</t>
  </si>
  <si>
    <t>Construct Transloading Facility</t>
  </si>
  <si>
    <t>Federal, state and local match</t>
  </si>
  <si>
    <t>Lomont Molding Inc</t>
  </si>
  <si>
    <t>Nypro Kannaak</t>
  </si>
  <si>
    <t xml:space="preserve">FY 2010 Railroad Revolving Loan and Grant Program </t>
  </si>
  <si>
    <t>Burlington Junction Railway</t>
  </si>
  <si>
    <t>Upgrade rail infrastructure in industrial park</t>
  </si>
  <si>
    <t>Railroad match</t>
  </si>
  <si>
    <t>Cedar Rapids and Iowa City Railroad (CRANDIC)</t>
  </si>
  <si>
    <t xml:space="preserve">Rebuild rail bridge </t>
  </si>
  <si>
    <t>Schau Recycling</t>
  </si>
  <si>
    <t>Install industrial rail spur</t>
  </si>
  <si>
    <t>Shine Brothers Corp.</t>
  </si>
  <si>
    <t>City of Waterloo</t>
  </si>
  <si>
    <t>City match</t>
  </si>
  <si>
    <t>Webster County Board of Supervisors</t>
  </si>
  <si>
    <t>Install industrial rail spur in industrial park</t>
  </si>
  <si>
    <t>County match and company investment</t>
  </si>
  <si>
    <t>Project withdrawn</t>
  </si>
  <si>
    <t>Union Pacific Railroad and Iowa Northern Railway</t>
  </si>
  <si>
    <t xml:space="preserve">Rebuild rail bridge in Waterloo* </t>
  </si>
  <si>
    <t>Railroad match and FRA grant award</t>
  </si>
  <si>
    <t>FY 2009 Railroad Revolving Loan and Grant Program (Flood Recovery)</t>
  </si>
  <si>
    <t>Repair rail infrastructure damaged by flooding</t>
  </si>
  <si>
    <t>Keokuk Junction Railway Company</t>
  </si>
  <si>
    <t>Iowa, Chicago &amp; Eastern Railroad Corp.</t>
  </si>
  <si>
    <t>Iowa Interstate Railroad</t>
  </si>
  <si>
    <t>Iowa Northern Railway Co.</t>
  </si>
  <si>
    <t>FY 2008 Railroad Revolving Loan and Grant Program</t>
  </si>
  <si>
    <t>List of all revenue sources</t>
  </si>
  <si>
    <t xml:space="preserve">FY 2008 Funds used </t>
  </si>
  <si>
    <t>FY 2008 Remaining Funds Obligated</t>
  </si>
  <si>
    <t>Status of project</t>
  </si>
  <si>
    <t>Cedar Rapids Terminal (Iowa Northern Railroad)   Construct rail spur and intermodal loading facility in Palo</t>
  </si>
  <si>
    <t>State grant and loan; Private investment; local  investment</t>
  </si>
  <si>
    <t>Not Applicable</t>
  </si>
  <si>
    <t>Big River Resources Ethanol Plant industrial rail spur</t>
  </si>
  <si>
    <t>State grant; Private investment</t>
  </si>
  <si>
    <t>Lincolnway Railport Industrial Park</t>
  </si>
  <si>
    <t>Project was withdrawn by applicant. Funding has been reprogrammed to flood recovery assistance.</t>
  </si>
  <si>
    <t>Norfolk Iron and Metal Company industrial rail spur</t>
  </si>
  <si>
    <t>Oregon Trail Energy Rail spur</t>
  </si>
  <si>
    <t>Project was withdrawn. Funding has been reprogrammed to FY2012</t>
  </si>
  <si>
    <t>Prairie Creek Ethanol rail spur</t>
  </si>
  <si>
    <t>State Grant; Private investment</t>
  </si>
  <si>
    <t>Project withdrawn by applicant. Funding has been reprogrammed to flood recovery assistance.</t>
  </si>
  <si>
    <t>Raccoon Valley BioDiesel Rail spur</t>
  </si>
  <si>
    <t>Trinity Towers</t>
  </si>
  <si>
    <t>Unity Ethanol Cedar River</t>
  </si>
  <si>
    <t>State loan; Private investment</t>
  </si>
  <si>
    <t>Project withdrawn. Funding has been reprogrammed to FY12.</t>
  </si>
  <si>
    <t>Unity Ethanol Ottumwa</t>
  </si>
  <si>
    <t>State grant and loan; Private Investment</t>
  </si>
  <si>
    <t>FY 2007 Railroad Revolving Loan and Grant Program</t>
  </si>
  <si>
    <t xml:space="preserve">FY 2007 Funds used </t>
  </si>
  <si>
    <t>FY 2007 Remaining Funds Obligated</t>
  </si>
  <si>
    <t>Alternative Energy Resources Ethanol  Plant industrial rail spur</t>
  </si>
  <si>
    <t>Seimens Wind Power industrial rail spur</t>
  </si>
  <si>
    <t>Southern Bio Energy industrial rail spur</t>
  </si>
  <si>
    <t>FY 2006 Railroad Revolving Loan and Grant Program</t>
  </si>
  <si>
    <t xml:space="preserve">FY 2006 Funds used </t>
  </si>
  <si>
    <t>FY 2006 Remaining Funds Obligated</t>
  </si>
  <si>
    <t>Absolute Energy industrial rail spur</t>
  </si>
  <si>
    <t>Cascade Lumber Company industrial rail spur</t>
  </si>
  <si>
    <t>Eastern Iowa Industrial Center rail development for industrial park expansion</t>
  </si>
  <si>
    <t>State grant; Private investment; FHWA grant</t>
  </si>
  <si>
    <t>Green Plains Renewable Energy</t>
  </si>
  <si>
    <t>Midwest I,LLC industrial rail spur</t>
  </si>
  <si>
    <t>Iowa Renewable Energy LLC industrial rail spur</t>
  </si>
  <si>
    <t>Lincolnway Railport Industrial park rail development</t>
  </si>
  <si>
    <t>Project was withdrawn by applicant. Funding has  been reprogrammed  for flood recovery activities.</t>
  </si>
  <si>
    <t>Marco Group International industrial rail spur switching improvements</t>
  </si>
  <si>
    <t>Metzler Automotive</t>
  </si>
  <si>
    <t>State grant</t>
  </si>
  <si>
    <t>2010 Passenger Rail Service Revolving Fund (RIIF)</t>
  </si>
  <si>
    <t>Remaining Obligated Funds</t>
  </si>
  <si>
    <t>Support in Development of Intercity Passenger Rail efforts</t>
  </si>
  <si>
    <t>Funding reserved to match FY 2009 Recovery Act award to Iowa DOT for Chicago to Omaha Planning Study</t>
  </si>
  <si>
    <t>Federal Railroad Administration FY 2009 HSIPR award</t>
  </si>
  <si>
    <t>In Progress</t>
  </si>
  <si>
    <t>Federal Railroad Administration FY 2010 HSIPR award</t>
  </si>
  <si>
    <t>2011 Passenger Rail Service Revolving Fund (funding from Underground Storage Tank Fund)</t>
  </si>
  <si>
    <t>FY 2014 RIIF - General Aviation Vertical Infrastructure Program</t>
  </si>
  <si>
    <t>Ankeny Regional</t>
  </si>
  <si>
    <t>Construct 6-unit tee hangar</t>
  </si>
  <si>
    <t>Davenport Municipal</t>
  </si>
  <si>
    <t>Rehabilitate hangar 8970</t>
  </si>
  <si>
    <t xml:space="preserve">City funds  </t>
  </si>
  <si>
    <t>Emmetsburg Municipal</t>
  </si>
  <si>
    <t>Construct 80x100 hangar</t>
  </si>
  <si>
    <t>Local funding uncertain</t>
  </si>
  <si>
    <t>Marshalltown Municipal</t>
  </si>
  <si>
    <t xml:space="preserve">Renovate hangar </t>
  </si>
  <si>
    <t>Northeast Iowa Regional</t>
  </si>
  <si>
    <t>Construct 70x120 hangar</t>
  </si>
  <si>
    <t>Ottumwa Regional</t>
  </si>
  <si>
    <t>Local airport funds</t>
  </si>
  <si>
    <t>Perry Municipal</t>
  </si>
  <si>
    <t>Construct 45x100 hangar</t>
  </si>
  <si>
    <t>City bonding</t>
  </si>
  <si>
    <t>Red Oak Municipal</t>
  </si>
  <si>
    <t xml:space="preserve">Renovate hangar door </t>
  </si>
  <si>
    <t>Webster City Municipal</t>
  </si>
  <si>
    <t>Renovate maintenance hangar</t>
  </si>
  <si>
    <t>FY 2014 RIIF - Commercial Service Vertical Infrastructure (CSVI) Projects</t>
  </si>
  <si>
    <t>Replace roofs on four buildings</t>
  </si>
  <si>
    <t xml:space="preserve">Re-design flight service station, replace overhead doors in ARFF/Maintenance building, demolish two hangars </t>
  </si>
  <si>
    <t>Rehabilitate terminal: replace terminal cooling system, install security cameras, improve entrance soffit and ceiling</t>
  </si>
  <si>
    <t>Rehabilitate and construct new hangars</t>
  </si>
  <si>
    <t>State Recreational Trail (SRT) Fund, city funds and county funds</t>
  </si>
  <si>
    <t>Bellevue Rivervue Trail-Phase II (City of Bellevue and Jackson County Conservation Board)</t>
  </si>
  <si>
    <t>Bridging the Gap: Phase I Dry Run Trail-Connecting Decorah's Trout Run Trail to the Prairie Farmer Recreational Trail (Winneshiek County Conservation Board and City of Decorah)</t>
  </si>
  <si>
    <t>Farragut to Shenandoah Trail Connection (City of Farragut)</t>
  </si>
  <si>
    <t>State Recreational Trail (SRT) Fund and land value</t>
  </si>
  <si>
    <t>Iowa River Scenic Trail (Hardin County Board of Supervisors and City of Marshalltown)</t>
  </si>
  <si>
    <t>State Recreational Trail (SRT) Fund, Regional Transportation Alternative funds and land value</t>
  </si>
  <si>
    <t>Multiuse Mississippi River Trail, Riverdale Section, Phase 2 (City of Riverdale)</t>
  </si>
  <si>
    <t>Pioneer Beach Road Trail (City of Orleans and Dickinson County Trails Board)</t>
  </si>
  <si>
    <t>State Recreational Trail (SRT) Fund, city funds and County Trails Board funds</t>
  </si>
  <si>
    <t>Raccoon River Valley Trail to High Trestle Trail Connector (Dallas County Conservation Board)</t>
  </si>
  <si>
    <t>State Recreational Trail (SRT) Fund, other grants, donations and foundations</t>
  </si>
  <si>
    <t>Agreement signed 12/20/2011 - project completed with other funding</t>
  </si>
  <si>
    <t>Agreement signed 12/22/2011 - project completed</t>
  </si>
  <si>
    <t>Agreement signed 11/20/2009 - project completed</t>
  </si>
  <si>
    <t>Agreement signed 2/1/2010 - project completed</t>
  </si>
  <si>
    <t>Agreement signed 12/2/2009 - project completed</t>
  </si>
  <si>
    <t>Agreement signed 7/20/2009 - project completed</t>
  </si>
  <si>
    <t>Agreement signed 11/4/2008 - project completed</t>
  </si>
  <si>
    <t>Agreement signed 3/25/2008 - project completed</t>
  </si>
  <si>
    <t>Agreement signed 3/06/2007 - project completed</t>
  </si>
  <si>
    <t>NOTE: To avoid loss of funding, it is the Iowa Department of Transportation's policy to expend the oldest funding first when reimbursing any project costs. Thus, the FY 2006 $1,000,000 appropriation was spent, even though some of the FY 2006 projects listed don't show all their funding was utilized by the expiration date.</t>
  </si>
  <si>
    <t xml:space="preserve">FY 2014 Railroad Revolving Loan and Grant Program </t>
  </si>
  <si>
    <t>HFCA (HF Chlor Alkali) Rail Road Project</t>
  </si>
  <si>
    <t>Construction of three miles of new (private) track for new Cargill Plant</t>
  </si>
  <si>
    <t>Iowa Corn Processors (ICP) Rail Expansion</t>
  </si>
  <si>
    <t>Construction of two spur tracks on ICP property to add capacity</t>
  </si>
  <si>
    <t>Company Match</t>
  </si>
  <si>
    <t>Carter Lake Metals Processing Building (Owen Industries)</t>
  </si>
  <si>
    <t>Construction of new rail spur to accommodate new production building</t>
  </si>
  <si>
    <t>Heartland Co-op Greenfield Rail Loading Elevator</t>
  </si>
  <si>
    <t xml:space="preserve">Build a 125-car load out facility </t>
  </si>
  <si>
    <t>CRANDIC - Millrace &amp; Price Creek Bridges</t>
  </si>
  <si>
    <t>Replacement of two bridges</t>
  </si>
  <si>
    <t>City of Knoxville - Red Rock Industrial Park</t>
  </si>
  <si>
    <t>Complete:  loan portion of award declined</t>
  </si>
  <si>
    <t xml:space="preserve">FY 2014 - Rebuild Iowa Infrastructure Fund </t>
  </si>
  <si>
    <t>Region 5</t>
  </si>
  <si>
    <t>Construct new vehicle and administration facility</t>
  </si>
  <si>
    <t>Region 9</t>
  </si>
  <si>
    <t>Purchase and install new generator</t>
  </si>
  <si>
    <t>Region 13</t>
  </si>
  <si>
    <t>Construct wash bay addition</t>
  </si>
  <si>
    <t>Renovate operations office (partial-- see funding from FY10, FY11 and FY13)</t>
  </si>
  <si>
    <t>Rehabilitate maintenance lane</t>
  </si>
  <si>
    <t xml:space="preserve">Replace bus wash system     </t>
  </si>
  <si>
    <t>Rehabilitate roof</t>
  </si>
  <si>
    <t>Replace transit operations heating, ventilating, and air conditioning system</t>
  </si>
  <si>
    <t>Renovate operations office (partial-- see funding from FY10, FY11 and FY14)</t>
  </si>
  <si>
    <t>Renovate operations office (partial-- see funding from FY10, FY13 and FY14)</t>
  </si>
  <si>
    <t>Renovate operations office (partial-- see funding from FY11, FY13 and FY14)</t>
  </si>
  <si>
    <t xml:space="preserve">Note 1:  CRANDIC was awarded $2,000,000 from RRLG, however $386,404 of the award is from federal Rail Assistance Program (RAP) funds.  </t>
  </si>
  <si>
    <t>FY 2015 RIIF - General Aviation Vertical Infrastructure Program</t>
  </si>
  <si>
    <t>Atlantic Municipal Airport</t>
  </si>
  <si>
    <t>Construct 60' x 80' hangar</t>
  </si>
  <si>
    <t>Construct 2-unit, 45' x 80' hangar</t>
  </si>
  <si>
    <t>Decorah Municipal Airport</t>
  </si>
  <si>
    <t>Construct 3-stall rectangular hangar</t>
  </si>
  <si>
    <t>Construct new public terminal building</t>
  </si>
  <si>
    <t>Grinnell Regional Airport</t>
  </si>
  <si>
    <t>Terminal building and maintenance hangar renovation</t>
  </si>
  <si>
    <t>Construct 33' x 42' rectangular hangar</t>
  </si>
  <si>
    <t>Rock Rapids Municipal Airport</t>
  </si>
  <si>
    <t>Rehabilitate hangar roof</t>
  </si>
  <si>
    <t>Sibley Municipal Airport</t>
  </si>
  <si>
    <t xml:space="preserve">Renovate terminal building roof and addition of insulation in hangar </t>
  </si>
  <si>
    <t>Washington Municipal Airport</t>
  </si>
  <si>
    <t>Utility company loan</t>
  </si>
  <si>
    <t xml:space="preserve">Rehabilitate terminal and building roofs </t>
  </si>
  <si>
    <t>Expand four unit t-hangar and apron</t>
  </si>
  <si>
    <t>Ankeny Connector - High Trestle Trail (Polk County Conservation Board)</t>
  </si>
  <si>
    <t>Cedar Valley Nature Trail Bridge E4 Replacement (Black Hawk County Conservation Board)</t>
  </si>
  <si>
    <t>Coon Rapids Connector Trail Underpass (City of Coon Rapids)</t>
  </si>
  <si>
    <t>State Recreational Trail (SRT) Fund and Scenic Byways grant</t>
  </si>
  <si>
    <t>Hoover Trail - "The Missing Link" (Johnson County Conservation Board)</t>
  </si>
  <si>
    <t>Iowa DNR AmeriCorps Trail Crew (Iowa Department of Natural Resources)</t>
  </si>
  <si>
    <t>Iowa River Trail Phase 1 Development (City of Marshalltown and Hardin County)</t>
  </si>
  <si>
    <t>State Recreational Trail (SRT) Fund and local option sales tax</t>
  </si>
  <si>
    <t>Pottawattamie County Trail-Phase I (Pottawattamie County Conservation Board and Pottawattamie County Trail Board)</t>
  </si>
  <si>
    <t>Red Cedar Trail and Connector (Linn County Conservation Board and Linn Area Mountain Bike Association)</t>
  </si>
  <si>
    <t>State Recreational Trail (SRT) Fund, Specialized Dealer Grant, Marion Hotel/Motel and other local grants, LAMBA and other donors</t>
  </si>
  <si>
    <t>Ankeny Connector - High Trestle Trail (Polk County Conservation Board and Ankeny)</t>
  </si>
  <si>
    <t>Agreement signed 10/25/2013 - project completed</t>
  </si>
  <si>
    <t>Agreement signed 1/09/2014 - development in process</t>
  </si>
  <si>
    <t>Agreement signed 12/20/2011 - project completed</t>
  </si>
  <si>
    <t>Trout Run Trail - Decorah Fish Hatchery's Interpretive Restroom Facility (Northeast Iowa Resources Conservation and Development, Inc. and Iowa DNR's Fisheries)</t>
  </si>
  <si>
    <t>Agreement signed 12/14/2007 - project completed</t>
  </si>
  <si>
    <t>Agreement signed 2/07/2007 - project completed</t>
  </si>
  <si>
    <t>Phase I of the Gypsum City OHV Park (Webster County)</t>
  </si>
  <si>
    <t>Trail construction connecting the Little Sioux County Park to the city of Correctionville (Woodbury County Conservation Board)</t>
  </si>
  <si>
    <t>Phase 4 of the Clear Creek Trail from Mormon Handcart Park to the Clear Creek bridge on U.S. Highway 6 (Coralville)</t>
  </si>
  <si>
    <t>Construction of trail connecting existing trails in Johnston to the Neal Smith Trail in Des Moines (Polk County Conservation Board)</t>
  </si>
  <si>
    <t>Development of a trail to fill a gap in the trail network around Clear Lake and extending to Mason City (Cerro Gordo County)</t>
  </si>
  <si>
    <t xml:space="preserve">FY 2015 Railroad Revolving Loan and Grant Program </t>
  </si>
  <si>
    <t xml:space="preserve">West Charles Street Viaduct </t>
  </si>
  <si>
    <t>Reconstruction, removal and replacement of the east side of the West Charles Street Viaduct</t>
  </si>
  <si>
    <t>Local Match</t>
  </si>
  <si>
    <t xml:space="preserve">Five Star Coop </t>
  </si>
  <si>
    <t>Expansion of current rail siding from 3 car capacity to 35 car capacity</t>
  </si>
  <si>
    <t>Des Moines Transload Facility</t>
  </si>
  <si>
    <t>Development of a transload facility to improve the overall freight capacity in Des Moines Metro area</t>
  </si>
  <si>
    <t>Crossroads of Global Innovation</t>
  </si>
  <si>
    <t>Phase two allows for connection to the CN mailline in the ICGI certrified site</t>
  </si>
  <si>
    <t>Upgrade a mainline yard switch along with heavily traveled mainline yard tracks</t>
  </si>
  <si>
    <t>Sioux Center Rail Port Study</t>
  </si>
  <si>
    <t xml:space="preserve">A planning study to determine the potential for a rail port adjacent to a BNSF line that runs north/south through the City limits </t>
  </si>
  <si>
    <t xml:space="preserve">Local Match </t>
  </si>
  <si>
    <t>Project Complete</t>
  </si>
  <si>
    <t xml:space="preserve"> </t>
  </si>
  <si>
    <t xml:space="preserve">FY 2015 - Rebuild Iowa Infrastructure Fund </t>
  </si>
  <si>
    <t>Bus depot improvements</t>
  </si>
  <si>
    <t>DART Way front office remodel</t>
  </si>
  <si>
    <t>Bus storage facility</t>
  </si>
  <si>
    <t>Maintenance, repairs, and improvements for MLK Center</t>
  </si>
  <si>
    <t>FY 2015 RIIF - Commercial Service Vertical Infrastructure (CSVI) Projects</t>
  </si>
  <si>
    <t xml:space="preserve">Date Completed or Expected to be Completed </t>
  </si>
  <si>
    <t>Burlington- Southeast Iowa</t>
  </si>
  <si>
    <t>Replace three hangars</t>
  </si>
  <si>
    <t>Not Started</t>
  </si>
  <si>
    <t>Cedar Rapids- Eastern Iowa</t>
  </si>
  <si>
    <t>Customs &amp; Border Protection relocation</t>
  </si>
  <si>
    <t>Construct new hangar</t>
  </si>
  <si>
    <t>Upgrade terminal electrical service and replace overhead door in west maintenance facility</t>
  </si>
  <si>
    <t>Rehabilitate and build hangars</t>
  </si>
  <si>
    <t>Upgrade emergency generator, replace door at bag make-up, and terminal electrical improvements</t>
  </si>
  <si>
    <t>Relocate US Customs building</t>
  </si>
  <si>
    <t>Construct parking garage bridge</t>
  </si>
  <si>
    <t>Cedar Valley Trail "Paving the Way for the American Discovery Trail" (Linn County &amp; Black Hawk County Conservation Boards)</t>
  </si>
  <si>
    <t>Flint River Trail: Phase I South (Burlington)</t>
  </si>
  <si>
    <t>Hoover Trail -- "The Missing Link" (Johnson County Conservation Board)</t>
  </si>
  <si>
    <t>Mitchellville to Prairie City Rails-to-Trails Corridor Development (Jasper County Conservation Board)</t>
  </si>
  <si>
    <t>Agreement signed 11/24/2015 - development in process</t>
  </si>
  <si>
    <t>Turkey River Recreational Corridor - Elgin to Gilbertson Park and the Turkey River (Fayette County Conservation Board)</t>
  </si>
  <si>
    <t>Agreement signed 12/15/2014 - project completed</t>
  </si>
  <si>
    <t>Agreement signed 12/05/2012 - project completed</t>
  </si>
  <si>
    <t>Agreement signed 11/28/2012 - project completed</t>
  </si>
  <si>
    <t>State Recreational Trail (SRT) Fund, SAFETEA-LU earmark funds, and city funds</t>
  </si>
  <si>
    <t>Agreement signed 12/15/2011 - project completed</t>
  </si>
  <si>
    <t>Agreement signed 2/6/2012 - project completed</t>
  </si>
  <si>
    <t>Agreement signed 2/23/2012 - project completed</t>
  </si>
  <si>
    <t xml:space="preserve">FY 2016 - Rebuild Iowa Infrastructure Fund </t>
  </si>
  <si>
    <t>Building improvements</t>
  </si>
  <si>
    <t>Rehabilitate facility</t>
  </si>
  <si>
    <t>Federal transit funds
 Local funds</t>
  </si>
  <si>
    <t>Maintenance, repairs, and replacement of bus shelters (partial funding---also see FY11, FY12, FY14 )</t>
  </si>
  <si>
    <t>Region 2</t>
  </si>
  <si>
    <t>Construction of indoor parking facility</t>
  </si>
  <si>
    <t>Region 8</t>
  </si>
  <si>
    <t>Roof mounted solar array (partial funding--also see FY15)</t>
  </si>
  <si>
    <t>Roof mounted solar array (partial funding---also see FY16)</t>
  </si>
  <si>
    <t>Maintenance, repairs, and replacement of bus shelters (partial-- see funding from FY11, FY12 and FY16)</t>
  </si>
  <si>
    <t>Maintenance, repairs, and replacement of bus shelters (partial-- see funding from FY11, FY14 and FY16)</t>
  </si>
  <si>
    <t>Maintenance, repairs, and replacement of bus shelters (partial-- see funding from FY12, FY14 and FY16)</t>
  </si>
  <si>
    <t xml:space="preserve">FY 2008 - RIIF 017 - Rebuild Iowa Infrastructure Fund </t>
  </si>
  <si>
    <t>09522</t>
  </si>
  <si>
    <t>University of Iowa (Cambus)</t>
  </si>
  <si>
    <t>Construct new vehicle storage building for CAMBUS (partial - see also supplimental funding from FY07)</t>
  </si>
  <si>
    <t>09523</t>
  </si>
  <si>
    <t>Des Moines (DART)</t>
  </si>
  <si>
    <t>Construct addition to vehicle storage building (partial - see also supplimental funding from FY07)</t>
  </si>
  <si>
    <t>09524</t>
  </si>
  <si>
    <t>Region Six Planning Commission (Region 6) - Marshalltown</t>
  </si>
  <si>
    <t>Transit portion of Joint Facility</t>
  </si>
  <si>
    <t>09525</t>
  </si>
  <si>
    <t>Delaware, Dubuque and Jackson County Regional Transit Authority (Region 8) - Dubuque</t>
  </si>
  <si>
    <t>Construct new regional transit office, storage and maintenance facility in Dubuque (partial - see also supplimental funding from FY07)</t>
  </si>
  <si>
    <t xml:space="preserve">FY 2007 -  RC2 942  - Health Restricted Capitals Fund </t>
  </si>
  <si>
    <t>09410</t>
  </si>
  <si>
    <t>Expand operations/administration area of CyRide maintenance facility-Ride Facility</t>
  </si>
  <si>
    <t>Transit Agency funds</t>
  </si>
  <si>
    <t>09409</t>
  </si>
  <si>
    <t>City of Cedar Rapids</t>
  </si>
  <si>
    <t>Construct transit portion of new downtown Intermodal facility</t>
  </si>
  <si>
    <t>Federal Transit Funds, Transit Agency funds</t>
  </si>
  <si>
    <t>Project dropped after city reorganization</t>
  </si>
  <si>
    <t>09402</t>
  </si>
  <si>
    <t>City of Davenport (CitiBus)</t>
  </si>
  <si>
    <t>Construct new transit hubs adjacent to regional shopping center and on campus of local university</t>
  </si>
  <si>
    <t>09408</t>
  </si>
  <si>
    <t>Des Moines Area Regional Transit (DART)</t>
  </si>
  <si>
    <t>Renovate maintenance area of DART facility</t>
  </si>
  <si>
    <t>09404</t>
  </si>
  <si>
    <t>City of Sioux City</t>
  </si>
  <si>
    <t>Construct new parts storage building at transit maintenance facility</t>
  </si>
  <si>
    <t>09407</t>
  </si>
  <si>
    <t>North Iowa Area Regional Transit (Region 2) - Mason City</t>
  </si>
  <si>
    <t>Construct a variety of projects to finish out recently constructed transit maintenance facility shared with City of Mason City</t>
  </si>
  <si>
    <t>09406</t>
  </si>
  <si>
    <t>RIDES/Regional Transit Authority (Region 3) - Spencer</t>
  </si>
  <si>
    <t>Construct new satellite facility in Sheldon for transit vehicle storage and maintenance</t>
  </si>
  <si>
    <t>09405</t>
  </si>
  <si>
    <t>Expand transit maintenance and storage facility in Carroll</t>
  </si>
  <si>
    <t xml:space="preserve">Partial funding for FY08 project to construct new regional transit office, storage and maintenance facility in Dubuque </t>
  </si>
  <si>
    <t>University of Iowa (Cambus) - Iowa City</t>
  </si>
  <si>
    <t>Construct new vehicle storage building for CAMBUS (partial - see also funding from FY08)</t>
  </si>
  <si>
    <t>Construct addition to vehicle storage building (partial - see also  funding from FY08)</t>
  </si>
  <si>
    <t>Partial funding for FY09 project to construct a vehicle storage addition in Carroll</t>
  </si>
  <si>
    <t>Construct bus wash bash and expanded parts storage, etc. for relocated transit maintenance facility  (partial -- see also funding from FY09 and FY10)</t>
  </si>
  <si>
    <t>Storage barn (partial--also see supplemental funding from FY09, FY10, FY11, FY12)</t>
  </si>
  <si>
    <t xml:space="preserve">FY 2016 Railroad Revolving Loan and Grant Program </t>
  </si>
  <si>
    <t>ADM "S" Curve</t>
  </si>
  <si>
    <t>Current rail spur into the Clinton facility has an "s" curve.  Project proposes to straighten the curveto allow greater rail capacity and better safety.</t>
  </si>
  <si>
    <t>A to Z Drying Rail Enhancement</t>
  </si>
  <si>
    <t>A to Z Drying is replacing and changing the location of an exisiting spur due to expansion of neighboring company.</t>
  </si>
  <si>
    <t>Boone Scenic Valley Industrial Park Line Phase I</t>
  </si>
  <si>
    <t>Construction of a 1700 ft passing track.  Includes grading ballast, and installation of rail ties.  Will also be replacing ties and adding ballast where needed to maintain 286K service.  Company also constructing 1425 feet of track extending to their facility in nearby industrial park.</t>
  </si>
  <si>
    <t>In Kind Match</t>
  </si>
  <si>
    <t>Iowa Traction Transload Project</t>
  </si>
  <si>
    <t>IATR improving their current site by constructing 950 ft siding to support currently transload operation.  Project also includes installing a 90lb switch to accommodate 286K</t>
  </si>
  <si>
    <t>KJRY Yard Enhancements II</t>
  </si>
  <si>
    <t>Project involves replacing four switches and improving tracks, ties and ballast in the yard</t>
  </si>
  <si>
    <t>Project withdrawn by applicant</t>
  </si>
  <si>
    <t>Funding reserved for PE/NEPA activities to match a federal FY 2010 High Speed and Intercity Passenger Rail (HSIPR) award to Iowa DOT for Chicago to Iowa City.  Award announced by FRA in October 2010 to Iowa.</t>
  </si>
  <si>
    <t>CRANDIC and MPOJC</t>
  </si>
  <si>
    <t>Funding reserved for Final Design &amp; Construction to match federal FY 2010 High Speed and Intercity Passenger Rail (HSIPR) award to Iowa DOT for Chicago to Iowa City.  Award announced by FRA in October 2010 to Iowa.</t>
  </si>
  <si>
    <t>TBD</t>
  </si>
  <si>
    <t>FY 2016 RIIF - General Aviation Vertical Infrastructure Program</t>
  </si>
  <si>
    <t>Ames Municipal Airport</t>
  </si>
  <si>
    <t>Site improvements for future terminal building</t>
  </si>
  <si>
    <t>Council Bluffs Municipal Airport</t>
  </si>
  <si>
    <t>T-hangar Improvements</t>
  </si>
  <si>
    <t>Cresco Municipal Airport</t>
  </si>
  <si>
    <t>Rehabilitate hangar and construct pilot lounge</t>
  </si>
  <si>
    <t>Lamoni Municipal Airport</t>
  </si>
  <si>
    <t>Marshalltown Municipal Airport</t>
  </si>
  <si>
    <t>Pave hangar floor</t>
  </si>
  <si>
    <t>Perry Municipal Airport</t>
  </si>
  <si>
    <t>Repair hangar roof</t>
  </si>
  <si>
    <t>Sioux County Regional Airport</t>
  </si>
  <si>
    <t>Construct maintenance and electrical vault buildings</t>
  </si>
  <si>
    <t>Spencer Municipal Airport</t>
  </si>
  <si>
    <t>Rehabilate hangar floor</t>
  </si>
  <si>
    <t>FY 2016 RIIF - Commercial Service Vertical Infrastructure (CSVI) Projects</t>
  </si>
  <si>
    <t>Replace Hangars</t>
  </si>
  <si>
    <t>Rehabilitate Terminal Building</t>
  </si>
  <si>
    <t>General Aviation Improvements</t>
  </si>
  <si>
    <t>Construct Hangar and Flight Service Station redesign</t>
  </si>
  <si>
    <t>Replace Overhead Garage Doors and Perform Terminal Systems Study</t>
  </si>
  <si>
    <t>Rehabilitate and Build Hangars</t>
  </si>
  <si>
    <t>Hangar rehabilitation and baggage area renovation</t>
  </si>
  <si>
    <t>FY 2017 Aviation Trust Fund* - General Aviation Vertical Infrastructure Program</t>
  </si>
  <si>
    <t>Cherokee County Regional Airport</t>
  </si>
  <si>
    <t>Eight Unit T-Hangar</t>
  </si>
  <si>
    <t>Airport Fuel System</t>
  </si>
  <si>
    <t>Davenport Municipal Airport</t>
  </si>
  <si>
    <t>Rehabilitate Hangar 8990</t>
  </si>
  <si>
    <t>Denison Municipal Airport</t>
  </si>
  <si>
    <t>Hangar Upgrades</t>
  </si>
  <si>
    <t>George L Scott Municipal Airport</t>
  </si>
  <si>
    <t>Replace T-Hangar Roof</t>
  </si>
  <si>
    <t>North T-Hangar Restroom</t>
  </si>
  <si>
    <t>Northeast Iowa Regional Airport</t>
  </si>
  <si>
    <t>Hangar Development</t>
  </si>
  <si>
    <t>Terminal Building</t>
  </si>
  <si>
    <t>Hangar Rehabilitation - Replace Roof, Sill, Repaint</t>
  </si>
  <si>
    <t>* Not subject to Infrastructure Annual Status Report requirement due to appropriation funding source.  However, the status is included for information.</t>
  </si>
  <si>
    <t>FY 2017 RIIF/Aviation Trust Fund* - Commercial Service Vertical Infrastructure (CSVI) Projects</t>
  </si>
  <si>
    <t>Hangar Construction and Improve Terminal Area Infrastructure</t>
  </si>
  <si>
    <t>Construct Hangar, Hangar roofing and Flight Service Station redesign</t>
  </si>
  <si>
    <t>Replace Terminal Chiller Phase Two</t>
  </si>
  <si>
    <t>GA Terminal Building Rehabilitation and Hangar 5 Rehabilitation</t>
  </si>
  <si>
    <t>* $60,000 of the FY 2017 appropriation is from the Aviation Trust Fund and not subject to Infrastructure Annual Status Report requirement.  However, the status of the entire appropriation is included for information.</t>
  </si>
  <si>
    <t>East Blue Creek Bridge Replacement along Cedar Valley Nature Trail (Linn and Black Hawk County Conservation Boards)</t>
  </si>
  <si>
    <t>State Recreational Trail (SRT) Fund, Regional Transportation Alternative funds and County Conservation Board CIP funds</t>
  </si>
  <si>
    <t>Extension of Felderman Trail (Bellevue and Iowa Department of Natural Resources)</t>
  </si>
  <si>
    <t>State Recreational Trail (SRT) Fund, DNR REAP award, Northeast State Parks Region and Iowa Parks Foundation funds, private donation and Wellmark Foundation</t>
  </si>
  <si>
    <t>Interstate 29 Riverfront Trail Connection (Sioux City)</t>
  </si>
  <si>
    <t>State Recreational Trail (SRT) Fund, Regional Transportation Alternative funds, Missouri River Historical Development funds and city funds</t>
  </si>
  <si>
    <t>Iowa River Trail-Marshalltown to South Side of Iowa River (Marshalltown)</t>
  </si>
  <si>
    <t>State Recreational Trail (SRT) Fund, Regional Transportation Alternative funds, DNR REAP award and fundraising</t>
  </si>
  <si>
    <t>Rolling Prairie Trail-Allison to Bristow (Butler County Conservation Board)</t>
  </si>
  <si>
    <t>State Recreational Trail (SRT) Fund, County Board of Supervisors and County Conservation Board funds, Cities of Allison, Bristow, Dumont, Clarksville and Shell Rock funds, private donations and anticipated Guernsey's Foundation funds</t>
  </si>
  <si>
    <t>State Recreational Trail (SRT) Fund, County Conservation Board CIP funds, Linn County Trails Association funds and anticipated city of Center Point funds</t>
  </si>
  <si>
    <t>State Recreational Trail (SRT) Fund, Regional Transportation Alternative funds, Two DNR REAP grants, city sales tax and local fundraising</t>
  </si>
  <si>
    <t>State Recreational Trail (SRT) Fund, County Conservation Board funds, other grants and donations</t>
  </si>
  <si>
    <t>State Recreational Trail (SRT) Fund, Regional Transportation Alternative funds and Great Places funding</t>
  </si>
  <si>
    <t>State Recreational Trail (SRT) Fund and Federal Recreational Trails Fund</t>
  </si>
  <si>
    <t>State Recreational Trail (SRT) Fund, Regional Transportation Alternative funds and private contributions</t>
  </si>
  <si>
    <t>State Recreational Trail (SRT) Fund, city funds, County Conservation Board funds, and Iowa Natural Heritage Foundation funds</t>
  </si>
  <si>
    <t>Agreement signed 11/25/2014 - project completed</t>
  </si>
  <si>
    <t>State Recreational Trail (SRT) Fund and County Conservation Board funds</t>
  </si>
  <si>
    <t>Agreement signed 12/17/2014 - project completed</t>
  </si>
  <si>
    <t>State Recreational Trail (SRT) Fund, DNR REAP grant and Lake Restoration Fund</t>
  </si>
  <si>
    <t>State Recreational Trail (SRT) Fund, Regional Transportation Alternative funds and DNR REAP grant</t>
  </si>
  <si>
    <t>State Recreational Trail (SRT) Fund, FEMA funds and city funds</t>
  </si>
  <si>
    <t>State Recreational Trail (SRT) Fund, Regional Transportation Enhancement funds, cash from local entities and private donations</t>
  </si>
  <si>
    <t xml:space="preserve">State Recreational Trail (SRT) Fund, Federal Recreational Trails Fund, County Conservation Board funds and Iowa West Foundation funds </t>
  </si>
  <si>
    <t>State Recreational Trail (SRT) Fund, City CIP funds, TIGER funds and private fundraising</t>
  </si>
  <si>
    <t>Agreement signed 1/30/2014 - project completed</t>
  </si>
  <si>
    <t>State Recreational Trail (SRT) Fund, city funds, DNR REAP grant, Regional Transportation Alternative funds and private donations</t>
  </si>
  <si>
    <t>State Recreational Trail (SRT) Fund, Statewide Transportation Enhancement grant, DNR REAP grant and local public/private funds</t>
  </si>
  <si>
    <t>Agreement signed 11/12/2013 - project completed</t>
  </si>
  <si>
    <t>State Recreational Trail (SRT) Fund, city funds, County Regional Authority grant and National Scenic Byways grant</t>
  </si>
  <si>
    <t>Agreement signed 12/23/2013 - project completed</t>
  </si>
  <si>
    <t>State Recreational Trail (SRT) Fund and DNR REAP grant</t>
  </si>
  <si>
    <t>State Recreational Trail (SRT) Fund, Upper Iowa University, city funds, County Community Foundation, Black Hills Energy, private donors, additional fundraising and DNR REAP grant</t>
  </si>
  <si>
    <t>State Recreational Trail (SRT) Fund, city G.O. Bonds, Regional STP Funds, Earmark funds and Regional Transportation Enhancement funds</t>
  </si>
  <si>
    <t>State Recreational Trail (SRT) Fund, Regional Transportation Alternative funds and city funds</t>
  </si>
  <si>
    <t>State Recreational Trail (SRT) Fund, National Scenic Byway funds and city funds</t>
  </si>
  <si>
    <t>State Recreational Trail (SRT) Fund and CDBG Jumpstart Infrastructure funds</t>
  </si>
  <si>
    <t>State Recreational Trail (SRT) Fund, Polk County Conservation and Partners funds</t>
  </si>
  <si>
    <t>Agreement signed 5/15/2012 - project completed</t>
  </si>
  <si>
    <t>State Recreational Trail (SRT) Fund, Federal Recreational Trails Fund, Webster County Conservation and ATV Registration funds</t>
  </si>
  <si>
    <t>Agreement signed 1/10/2012 - project completed</t>
  </si>
  <si>
    <t>State Recreational Trail (SRT) Fund, statewide Transportation Enhancement grant and local contributions</t>
  </si>
  <si>
    <t xml:space="preserve">Agreement signed 1/5/2010- project completed </t>
  </si>
  <si>
    <t>State Recreational Trail (SRT) Fund, CDBG - Jumpstart Infrastructure and FEMA-PA Funds</t>
  </si>
  <si>
    <t>State Recreational Trail (SRT) Fund, DNR REAP grant, Iowa Clean Air Attainment Program funds and City of Des Moines Capital Funds</t>
  </si>
  <si>
    <t>State Recreational Trail (SRT) Fund, IANWRR Donated Land and Transportation Enhancement grant</t>
  </si>
  <si>
    <t>State Recreational Trail (SRT) Fund, County Foundation, Winneshiek County and Winneshiek County Bridge grant</t>
  </si>
  <si>
    <t>State Recreational Trail (SRT) Fund and Friends of the Decorah Hatchery funds</t>
  </si>
  <si>
    <t>State Recreational Trail (SRT) Fund, Dickinson County Conservation, MPO, and City of West Okoboji funds</t>
  </si>
  <si>
    <t>State Recreational Trail (SRT) Fund and City of Clinton funds</t>
  </si>
  <si>
    <t>State Recreational Trail (SRT) Fund and City of Des Moines funds</t>
  </si>
  <si>
    <t>State Recreational Trail (SRT) Fund, SAFETEA-LU earmark funds and city funds</t>
  </si>
  <si>
    <t xml:space="preserve">State Recreational Trail (SRT) Fund, Winneshiek County Conservation and City of Decorah funds </t>
  </si>
  <si>
    <t>State Recreational Trail (SRT) Fund, Land Value and Regional Transportation Enhancement funds</t>
  </si>
  <si>
    <t>Agreement IDOT - project completed</t>
  </si>
  <si>
    <t>State Recreational Trail (SRT) Fund, Polk County Conservation, MPO, and City of Ankeny funds</t>
  </si>
  <si>
    <t>State Recreational Trail (SRT) Fund and City of Clive funds</t>
  </si>
  <si>
    <t>State Recreational Trail (SRT) Fund, federal earmark funds, Transportation Alternative funds, and Cedar Rapids CIP funds</t>
  </si>
  <si>
    <t>State Recreational Trail (SRT) Fund and City of Coon Rapids/Whiterock Conservancy funds</t>
  </si>
  <si>
    <t>State Recreational Trail (SRT) Fund, Federal Recreational Trails Fund, Regional Transportation Alternative funds and county funds</t>
  </si>
  <si>
    <t>Agreement signed 6/27/2007 - project completed</t>
  </si>
  <si>
    <t>State Recreational Trail (SRT) Fund and All-Terrain Vehicle Registration funds</t>
  </si>
  <si>
    <t>State Recreational Trail (SRT) Fund, Federal Transportation Enhancement funds, DNR REAP grant, county, city, and private funds</t>
  </si>
  <si>
    <t>Agreement signed 8/9/2006 - Final Voucher dated 6/11/08; Remaining funds to be used on next phase of project-project completed</t>
  </si>
  <si>
    <t>State Recreational Trail (SRT) Fund, county funds, Federal Transportation Enhancement funds and MPO Transportation Enhancement funds</t>
  </si>
  <si>
    <t xml:space="preserve">FY 2017 Railroad Revolving Loan and Grant Program </t>
  </si>
  <si>
    <t>Total Estimated Rail Project Cost</t>
  </si>
  <si>
    <t>Elite Octane</t>
  </si>
  <si>
    <t>Improvement to an exisiting spur to serve a grain elevator.</t>
  </si>
  <si>
    <t>Project in Process</t>
  </si>
  <si>
    <t>Barilla America</t>
  </si>
  <si>
    <t>Expansion of rail yard to receive 110 hopper cars with one switch.  Includes addition of 8700 feet of new track, ties, plates, 6 turnouts and repositioning of all 6 switches at the east end of the rail yard.</t>
  </si>
  <si>
    <t>The required earthwork, installation of #111 mainline switch, two #9 yard switches, and approx. 6,625 feet of rail branching into the start of the main unit train storage tracks.</t>
  </si>
  <si>
    <t>Hydrite Chemical</t>
  </si>
  <si>
    <t>Adding additional track on the south side of the production facility to heat an unload railcars of sulfur.</t>
  </si>
  <si>
    <t>Progressive Rail</t>
  </si>
  <si>
    <t>Installation of 600 ties per mile for the southernmost 12 miles of the APNC line between Albia, Iowa and Centervill, Iowa.</t>
  </si>
  <si>
    <t>BJRY Le Mars</t>
  </si>
  <si>
    <t>Includes 500 feet of rail, ties, ballast and other materials located at the south end of the spur track serving the industrial park in Le Mars, Iowa.</t>
  </si>
  <si>
    <t>Des Moines Cold Storage</t>
  </si>
  <si>
    <t>Project will repair an exisiting spur track and add additional track length to extend it to the cold storage facility in Des Moines.</t>
  </si>
  <si>
    <t>Oelwein Track Rehab</t>
  </si>
  <si>
    <t>Project is a wood crosstie replacement project from Dewar, Iowa at Mile Post 322 to East of Fairbank, Iowa at Mile Post 346.</t>
  </si>
  <si>
    <t>Eastern Iowa Logistics Park/CRANDIC</t>
  </si>
  <si>
    <t>RRLG fund will go toward the site grading and track construction to support the proposed transload facility in SW Cedar Rapids.</t>
  </si>
  <si>
    <t>KJRY Yard Enhancements III</t>
  </si>
  <si>
    <t>Project will replace 400 ties, 27 sticks of rail and install two new switches in the KJRY middle yard area.  OTM and ballast are included in the project as well.</t>
  </si>
  <si>
    <t>Council Bluffs Transload Study</t>
  </si>
  <si>
    <t xml:space="preserve">Study will address the market potential of an expanded transload area in Council Bluffs, Iowa.  </t>
  </si>
  <si>
    <t>Project withdrawn by appliant</t>
  </si>
  <si>
    <t xml:space="preserve">Completed - remaining funds put back in </t>
  </si>
  <si>
    <t>Study Completed</t>
  </si>
  <si>
    <t>Complete - remaining returned</t>
  </si>
  <si>
    <t>Funding reserved for the Iowa City-Cedar Rapids Passenger Rail Conceptual Feasibility Study - Phase 1 (Task A)</t>
  </si>
  <si>
    <t>Funding reserved for the Iowa City-North Liberty Passenger Rail Conceptual Feasibility Study - Phase 1 (Task B)</t>
  </si>
  <si>
    <t xml:space="preserve">FY 2017 - Rebuild Iowa Infrastructure Fund </t>
  </si>
  <si>
    <t>Reconstruct roof</t>
  </si>
  <si>
    <t>Dubuque - The Jule</t>
  </si>
  <si>
    <t>Region 10</t>
  </si>
  <si>
    <t>Monticello bus faclity construction</t>
  </si>
  <si>
    <t>Region 12</t>
  </si>
  <si>
    <t>Replace overhead doors</t>
  </si>
  <si>
    <t>Region 15</t>
  </si>
  <si>
    <t>Purchase of transit facility</t>
  </si>
  <si>
    <t>Federal transit funds
 Amoco Loan</t>
  </si>
  <si>
    <t>Purchase of transit facility (partial funding--also see FY17)</t>
  </si>
  <si>
    <t>FY 2018 RIIF/Aviation Trust Fund - General Aviation Vertical Infrastructure Program*</t>
  </si>
  <si>
    <t>75x75 Hangar Construction</t>
  </si>
  <si>
    <t>Muscatine Municipal Airport</t>
  </si>
  <si>
    <t>T-Hangar Building Construction</t>
  </si>
  <si>
    <t>Rehab Hangar - New Bifold Doors</t>
  </si>
  <si>
    <t>10 Unit T - Hangar</t>
  </si>
  <si>
    <t>Waverly Municipal Airport</t>
  </si>
  <si>
    <t>Bulk Hangar Insulation Renovation</t>
  </si>
  <si>
    <t>* State share includes $20,200 of Aviation Trust Fund revenue not subject to Infrastructure Annual Status Report requirement but is included for information.</t>
  </si>
  <si>
    <t>FY 2018 RIIF - Commercial Service Vertical Infrastructure (CSVI) Projects</t>
  </si>
  <si>
    <t>Terminal Improvements</t>
  </si>
  <si>
    <t>Terminal Modernization PH 3</t>
  </si>
  <si>
    <t>Guidance Signage, Relocate Airfield Infrastructure, Terminal Fuel Facility</t>
  </si>
  <si>
    <t>Hangar Construction and Rehabilitation, Flight Service Station Reconfiguration</t>
  </si>
  <si>
    <t>Construct T-Hangar</t>
  </si>
  <si>
    <t>Rehabilitate Terminal and Hangar</t>
  </si>
  <si>
    <t>Hangar Improvements</t>
  </si>
  <si>
    <t xml:space="preserve"> Guidance Signage, Relocate Airfield Infrastructure, Terminal Fuel Facility</t>
  </si>
  <si>
    <t>Construct new terminal building and Guidance Signage</t>
  </si>
  <si>
    <r>
      <t>Funds Obligated</t>
    </r>
    <r>
      <rPr>
        <vertAlign val="superscript"/>
        <sz val="10"/>
        <color indexed="8"/>
        <rFont val="Arial"/>
        <family val="2"/>
      </rPr>
      <t>b</t>
    </r>
  </si>
  <si>
    <t>Heritage Trail Bridge 27 Replacement (Dubuque County Conservation Board)</t>
  </si>
  <si>
    <t>Louisa County Fairground Trailhead and Connection to the Hoover Nature Trail (Louisa County Conservation Board and Louisa County Trails Council)</t>
  </si>
  <si>
    <t>State Recreational Trail (SRT) Fund, Regional Transportation Alternative funds, CFLC, CJUW Endowment, Riverboat Foundation, County Conservation Board funds, Trails Council and private donations</t>
  </si>
  <si>
    <t>Pottawattamie County Trail - Railroad Highway Trail Phase II (Pottawattamie County Conservation Board and Pottawattamie County Trail Association)</t>
  </si>
  <si>
    <t>State Recreational Trail (SRT) Fund, Regional Transportation Alternative funds and Iowa West Foundation</t>
  </si>
  <si>
    <t>Raccoon River Valley Trail to High Trestle Trail Phase I Construction (Dallas County Conservation Board)</t>
  </si>
  <si>
    <t>State Recreational Trail (SRT) Fund, private donations and Wellmark Foundation</t>
  </si>
  <si>
    <t>Wapsipinicon Trail - Phase I (Jones County and Anamosa)</t>
  </si>
  <si>
    <t>State Recreational Trail (SRT) Fund, Regional Transportation Alternative funds, DNR REAP award, Iowa Parks Foundation/GWMRR, Wellmark Foundation, Anamosa and Jones County Community Foundations, Ignite Young Professionals and private donations</t>
  </si>
  <si>
    <t>Agreement signed 12/21/2015 - project completed</t>
  </si>
  <si>
    <t>h</t>
  </si>
  <si>
    <t>Agreement signed 2/10/2015 - project completed</t>
  </si>
  <si>
    <t>Agreement signed 6/19/2014 - project completed</t>
  </si>
  <si>
    <t>Agreement signed 3/2/2015 - project completed</t>
  </si>
  <si>
    <t>f</t>
  </si>
  <si>
    <t>Agreement signed 1/27/2015 - project completed</t>
  </si>
  <si>
    <t>Agreement signed 9/29/2015 - project completed</t>
  </si>
  <si>
    <t>Agreement signed 6/3/2014 - project completed</t>
  </si>
  <si>
    <t>Agreement signed 11/13/2012 - project completed</t>
  </si>
  <si>
    <t>Agreement signed 12/12/2012 - project completed</t>
  </si>
  <si>
    <t>e</t>
  </si>
  <si>
    <t>g</t>
  </si>
  <si>
    <t>c</t>
  </si>
  <si>
    <t>a</t>
  </si>
  <si>
    <t>d</t>
  </si>
  <si>
    <t>Agreement signed 2/19/2007 - project completed</t>
  </si>
  <si>
    <t xml:space="preserve">FY 2018 Railroad Revolving Loan and Grant Program </t>
  </si>
  <si>
    <t>Construction of approximately 9,800 lineal feet of track with 7 turnouts in order to meet the supply and demand needs of Sterilite</t>
  </si>
  <si>
    <t>$0</t>
  </si>
  <si>
    <t xml:space="preserve">The rehabilitation of the rail line between Emery and Clear Lake, Iowa on the Iowa Traction Railway.  The project consists of replacement of 3.6 mi of rail and will open up Clear Lake, Iowa for purpose of rail served industrail development on the community's east side in close proximity of I-35..  </t>
  </si>
  <si>
    <t>Phase II of the project includes the required earthwork, the addition of 3,300 track feet and a rail scale resulting in 78 additional rail car spots.</t>
  </si>
  <si>
    <t>Pattison Sand Company</t>
  </si>
  <si>
    <t>January 2019</t>
  </si>
  <si>
    <t>4/13/216</t>
  </si>
  <si>
    <t>Complete - remaining funds put back in pot</t>
  </si>
  <si>
    <t xml:space="preserve">FY 2018 - Rebuild Iowa Infrastructure Fund </t>
  </si>
  <si>
    <t>Three in-ground hoists  (partial funding---also see FY16, FY17)</t>
  </si>
  <si>
    <t>Cambus</t>
  </si>
  <si>
    <t>Maintenance facility rehab</t>
  </si>
  <si>
    <t>Humboldt land/construction of transit storage</t>
  </si>
  <si>
    <t>Three in-ground hoists  (partial funding---also see FY16, FY18)</t>
  </si>
  <si>
    <t>Three in-ground hoists  (partial funding---also see FY17, FY18)</t>
  </si>
  <si>
    <t>FY 2019 RIIF - General Aviation Vertical Infrastructure Program</t>
  </si>
  <si>
    <t>Algona Municipal Airport</t>
  </si>
  <si>
    <t>3 Stall Hangar Extension</t>
  </si>
  <si>
    <t>Construct 8 Unit T-Hangar</t>
  </si>
  <si>
    <t>Paint and Repair Hangars</t>
  </si>
  <si>
    <t>Estherville Municipal Airport</t>
  </si>
  <si>
    <t>Hangar Paint and Roof Repairs</t>
  </si>
  <si>
    <t xml:space="preserve">Construct 100x100 Hangar </t>
  </si>
  <si>
    <t>Rehabilitate Hangar Doors</t>
  </si>
  <si>
    <t>Rehabilitate Hanger Bi-fold Doors</t>
  </si>
  <si>
    <t>Webster City Municipal Airport</t>
  </si>
  <si>
    <t>Terminal Building and Hangar Repairs</t>
  </si>
  <si>
    <t>FY 2019 RIIF - Commercial Service Vertical Infrastructure (CSVI) Projects</t>
  </si>
  <si>
    <t>Signage Improvements</t>
  </si>
  <si>
    <t>South Quadrant Site Imp. Phase 1</t>
  </si>
  <si>
    <t>Relocate Airfield Infrastructure and GA Terminal Renovations</t>
  </si>
  <si>
    <t>Renovate Maintance Facility, Hangars and AFSS Building</t>
  </si>
  <si>
    <t>Boiler Replacement</t>
  </si>
  <si>
    <t>Hangar Repair</t>
  </si>
  <si>
    <t>Hangar and Terminal Improvements</t>
  </si>
  <si>
    <t>Funding reserved for the Iowa City-North Liberty Passenger Rail Conceptual Feasibility Study - Phase 1 (Task C)</t>
  </si>
  <si>
    <t xml:space="preserve">FY 2019 Railroad Revolving Loan and Grant Program </t>
  </si>
  <si>
    <t xml:space="preserve">Heartland Goodwill </t>
  </si>
  <si>
    <t>Goodwill of the Heartland has contract to package vegetable oil for the USDA international and domestic food aid program – rail best way to transport these goods and are building a rail spur to connect to IAIS.  (IAIS)</t>
  </si>
  <si>
    <t>Reconstruction of switches and track re-configuration along the Cedar River due to installation and impacts from the Cedar River flood control system being built to better protect Quaker Oats facility.</t>
  </si>
  <si>
    <t>EDA/City Match</t>
  </si>
  <si>
    <t>Phase III, which is a continuation of phase II by adding an additional 1,800 feet of track to the previously installed 3,330 feet of track adding an additional 78 rail car spots and a rail scale.</t>
  </si>
  <si>
    <t>Farmers Feed and Grain Company</t>
  </si>
  <si>
    <t>Rehabilitation of track and sidings at their grain elevator site.  The track is old and in poor condition.  Elevator owners want to re-connect it to CP mainline</t>
  </si>
  <si>
    <t>Keokuk Junction Railway</t>
  </si>
  <si>
    <t xml:space="preserve">Surfacing and tie replacement of a mainline switch along with surfacing and tie replacement of two heavily utilized yard tracks in Keokuk. </t>
  </si>
  <si>
    <t>11/20/2018</t>
  </si>
  <si>
    <t>8/13/2018</t>
  </si>
  <si>
    <t>11/27/18</t>
  </si>
  <si>
    <t>Complete -  (remaing funds back in pot)</t>
  </si>
  <si>
    <t>Cedar Valley Nature Trail Wolf Creek Bridge Replacement (Black Hawk County Conservation Board)</t>
  </si>
  <si>
    <t>State Recreational Trail (SRT) Fund, Regional Transportation Alternative funds and local fundraising</t>
  </si>
  <si>
    <t>Connecting Fort Madison! Phase 3-Community Hospital Connector (Fort Madison)</t>
  </si>
  <si>
    <t>State Recreational Trail (SRT) Fund, Regional Transportation Alternative funds and Wellmark Foundation Large Match Grant</t>
  </si>
  <si>
    <t>Davis County Regional Trail Construction-Phase 3 (Davis County and Davis County Trails Council)</t>
  </si>
  <si>
    <t>State Recreational Trail (SRT) Fund, Wellmark Foundation, DNR REAP City Park and Open Spaces and Davis County Trails Council</t>
  </si>
  <si>
    <t>Heart of Iowa Nature Trail-Slater to Huxley Hard Surfacing and Trail Improvements (Story County Conservation Board)</t>
  </si>
  <si>
    <t>State Recreational Trail (SRT) Fund, Regional Transportation Alternative funds and Story County Conservation</t>
  </si>
  <si>
    <t>Lake Belva Deer Area Trail-Phase 3 (Keokuk County and Keokuk County Highway Department)</t>
  </si>
  <si>
    <t>State Recreational Trail (SRT) Fund and Regional Transportation Alternative funds</t>
  </si>
  <si>
    <t>Agreement signed 3/19/2018- development in process</t>
  </si>
  <si>
    <t>Agreement signed 1/18/2017 - project completed</t>
  </si>
  <si>
    <t>Agreement signed 2/12/2016 - project completed</t>
  </si>
  <si>
    <t>Agreement signed 3/14/2016 - project completed</t>
  </si>
  <si>
    <t>i</t>
  </si>
  <si>
    <t>Agreement signed 12/14/2014 - project completed</t>
  </si>
  <si>
    <t>Agreement signed 1/6/2015 - project completed</t>
  </si>
  <si>
    <t>Agreement signed 8/31/2015 -project completed</t>
  </si>
  <si>
    <t>Agreement signed 7/11/2013 - project completed</t>
  </si>
  <si>
    <t>Agreement signed 5/05/2012 - project completed</t>
  </si>
  <si>
    <t>Agreement signed 3/9/2009 - project completed</t>
  </si>
  <si>
    <t>Agreement signed 9/5/2007 - project completed</t>
  </si>
  <si>
    <t>Agreement signed 1/12/2010 - project completed</t>
  </si>
  <si>
    <t>a.  Direct Appropriation from Iowa Legislature</t>
  </si>
  <si>
    <t xml:space="preserve">FY 2019 - Rebuild Iowa Infrastructure Fund </t>
  </si>
  <si>
    <t>Bus washer and HVAC system</t>
  </si>
  <si>
    <t>Update electrical system</t>
  </si>
  <si>
    <t>Earlville new bus storage facility</t>
  </si>
  <si>
    <t>Security cameras and vehicle fuel system</t>
  </si>
  <si>
    <t>Ottumwa bus storage facility (partial funding --also see FY12, FY14, FY17, FY18)</t>
  </si>
  <si>
    <t>Ottumwa bus storage facility (partial funding --also see FY12, FY14, FY17,  FY19)</t>
  </si>
  <si>
    <t>Ottumwa bus storage facility (partial funding --also see FY12, FY 14, FY18, FY19)</t>
  </si>
  <si>
    <t>Ottumwa bus storage facility (partial funding --also see FY12, FY17, FY18, FY19)</t>
  </si>
  <si>
    <t>Ottumwa bus storage facility (partial funding --also see FY14, FY17, FY18, FY19)</t>
  </si>
  <si>
    <t>Federal Transit Funds 
Local Funds</t>
  </si>
  <si>
    <t>FY 2020 RIIF - General Aviation Vertical Infrastructure Program</t>
  </si>
  <si>
    <t>Terminal Building Improvements</t>
  </si>
  <si>
    <t>Hangar Rehabilitation</t>
  </si>
  <si>
    <t>Knoxville Municipal Airport</t>
  </si>
  <si>
    <t>Forest City Municipal Airport</t>
  </si>
  <si>
    <t>Hangar Building</t>
  </si>
  <si>
    <t>Shenandoah Regional Airport</t>
  </si>
  <si>
    <t xml:space="preserve">Construct 6 Unit T-Hangar  </t>
  </si>
  <si>
    <t>Fuel Facility Expansion</t>
  </si>
  <si>
    <t>New Fuel Facility</t>
  </si>
  <si>
    <t>Harlan Municipal Airport</t>
  </si>
  <si>
    <t>Install Hangar Doors</t>
  </si>
  <si>
    <t>Construct New Hangar</t>
  </si>
  <si>
    <t>FY 2020 RIIF - Commercial Service Vertical Infrastructure (CSVI) Projects</t>
  </si>
  <si>
    <t>Burlington-Southeast Iowa Regional Airport Authority</t>
  </si>
  <si>
    <t>Terminal Upgrades</t>
  </si>
  <si>
    <t>Cedar Rapids Airport Commission</t>
  </si>
  <si>
    <t>Air Cargo Facility</t>
  </si>
  <si>
    <t>Des Moines Airport Authority</t>
  </si>
  <si>
    <t xml:space="preserve">South Quadrant FBO Site Development </t>
  </si>
  <si>
    <t>Dubuque Regional Airport Commission</t>
  </si>
  <si>
    <t>Fort Dodge Airport Commission</t>
  </si>
  <si>
    <t>Renovate Hangars and AFSS Building, Construct Hangar A and IT Room</t>
  </si>
  <si>
    <t>Mason City Airport Commission</t>
  </si>
  <si>
    <t>Boiler Replacement and roadway lighting</t>
  </si>
  <si>
    <t>Terminal and Hangar Repair</t>
  </si>
  <si>
    <t>State Recreational Trail (SRT) Fund and local funds</t>
  </si>
  <si>
    <t>Iowa River Trail from Steamboat Rock to Edgington Avenue Paving (Hardin County)</t>
  </si>
  <si>
    <t>Heart of Iowa Nature Trail Paving from 560th Avenue to South Skunk River Bridge (Story County Conservation)</t>
  </si>
  <si>
    <t>State Recreational Trail (SRT) Fund, Regional Transportation Alternative funds, local matching funds</t>
  </si>
  <si>
    <t>Tatonka Ska Trace Rail Trail Phase III(a) (Dickinson County)</t>
  </si>
  <si>
    <t>State Recreational Trail (SRT) Fund, Regional Transportation Alternative funds, in-kind easement value and Dickinson County Trails Board development funds</t>
  </si>
  <si>
    <t>Agreement signed 12/27/2017 - project completed</t>
  </si>
  <si>
    <t>Agreement signed 9/21/2015 - project completed</t>
  </si>
  <si>
    <t>Agreement signed 7/30/2013 - project completed</t>
  </si>
  <si>
    <t>Agreement signed 3/24/2014 - project completed</t>
  </si>
  <si>
    <t>Agreement signed 9/16/2014 - project completed</t>
  </si>
  <si>
    <t xml:space="preserve">FY 2020 Railroad Revolving Loan and Grant Program </t>
  </si>
  <si>
    <t>TrinityRail</t>
  </si>
  <si>
    <t>The proposed project will construct a loop track for railcar cleaning and maintenance in the Butler Logistics park.  Iowa Northern will serve the site.  Project will create 263 new jobs.</t>
  </si>
  <si>
    <t>Ottumwa/BJRY Rail Port Relocation Study</t>
  </si>
  <si>
    <t>The City of Ottumwa has proposed to do a study seeking to determine the feasibility and potential costs associated with relocating- and potentially expanding the transload facility to a different location outside of the riverfront redevelopment area.</t>
  </si>
  <si>
    <t>City Match</t>
  </si>
  <si>
    <t>Sioux City 27 Flags Study</t>
  </si>
  <si>
    <t xml:space="preserve">The purpose of this study is to plan for the future of rail service in the Southbridge Business Park, which includes land currently owned by the City.  </t>
  </si>
  <si>
    <t>Agri Trading</t>
  </si>
  <si>
    <t>The project will build track for a new transload facility allowing additional rail to truck movement in and out of the area. UP will serve the site.  Project will create 30 new jobs.</t>
  </si>
  <si>
    <t>Pattison Sand Company Phase II</t>
  </si>
  <si>
    <t xml:space="preserve">Complete </t>
  </si>
  <si>
    <t>4/16/2019</t>
  </si>
  <si>
    <t xml:space="preserve">Project complete </t>
  </si>
  <si>
    <t xml:space="preserve">Completed </t>
  </si>
  <si>
    <t>Study Completed - remaining funds put back in pot</t>
  </si>
  <si>
    <t>Funding reserved for the Iowa City-North Liberty Passenger Rail Conceptual Feasibility Study - Phase 1 (Special Survey)</t>
  </si>
  <si>
    <t>CRANDIC</t>
  </si>
  <si>
    <t>Funding reserved for the Ft. Madison Station Project</t>
  </si>
  <si>
    <t>Amtrak, TE Funds &amp; City</t>
  </si>
  <si>
    <t xml:space="preserve">FY 2020 - Rebuild Iowa Infrastructure Fund </t>
  </si>
  <si>
    <t>New HVAC system</t>
  </si>
  <si>
    <t>Est. 7/8/21</t>
  </si>
  <si>
    <t>Phase II Transfer Center</t>
  </si>
  <si>
    <t>Renovated Transit maintenance/storage facility</t>
  </si>
  <si>
    <t>New bus storage and adminstrative facility (Benton County) (partial funding---also see FY18, FY19)</t>
  </si>
  <si>
    <t>New bus storage/vehicle wash facility</t>
  </si>
  <si>
    <t>Funds avaiable to reprogram to other projects</t>
  </si>
  <si>
    <t>Project canceled</t>
  </si>
  <si>
    <t>New bus storage and adminstrative facility (Benton County) (partial funding---also see FY18, FY20)</t>
  </si>
  <si>
    <t>New bus storage and adminstrative facility (Benton County) (partial funding---also see FY2019, FY20)</t>
  </si>
  <si>
    <t>Flint River Trail - Bluff Road Connector (Burlington)</t>
  </si>
  <si>
    <t>State Recreational Trail (SRT) Fund, Regional Transportation Alternative funds, Wellmark Foundation, local matching funds</t>
  </si>
  <si>
    <t>High Trestle Trail Extension to Oralabor Road (Ankeny)</t>
  </si>
  <si>
    <t>Little River Scenic Pathway - Phase I (Decatur County Conservation Board)</t>
  </si>
  <si>
    <t>State Recreational Trail (SRT) Fund, Regional Transportation Alternative funds, Wellmark MATCH grant, South Central Iowa Community Foundation</t>
  </si>
  <si>
    <t>Raccoon River Valley Trail to High Trestle Trail Connector Phase IV Construction (Dallas County Conservation Board)</t>
  </si>
  <si>
    <t>State Recreational Trail (SRT) Fund, Federal Recreational Trail (FRT) funds, local matching funds</t>
  </si>
  <si>
    <t>Tatonka Ska Trace Trail Phase III(c) (Dickinson County)</t>
  </si>
  <si>
    <t>State Recreational Trail (SRT) Fund, Imagine Iowa Great Lakes, Dallas County Trails Board devleopment funds, land donation</t>
  </si>
  <si>
    <t>Agreement signed 12/15/2020-development in process</t>
  </si>
  <si>
    <t>State Recreational Trail (SRT) Fund, Regional Transportation Alternative funds, Federal Recreational Trail (FRT) funds, local funds, Hardin County Commission</t>
  </si>
  <si>
    <t>Agreement signed 11/28/2018 - project completed</t>
  </si>
  <si>
    <t>Agreement signed 1/16/2018 - project completed</t>
  </si>
  <si>
    <t>Agreement signed 5/18/17 - project completed</t>
  </si>
  <si>
    <t>j</t>
  </si>
  <si>
    <t>FY 2021 RIIF - General Aviation Vertical Infrastructure Program</t>
  </si>
  <si>
    <t>2 Stall Hangar Extension</t>
  </si>
  <si>
    <t>Hangar Upgrade</t>
  </si>
  <si>
    <t>Terminal Building Rehabilitation Project</t>
  </si>
  <si>
    <t>Replace Bi-Fold Hangar Door</t>
  </si>
  <si>
    <t>Hangar Demolition</t>
  </si>
  <si>
    <t>Ankeny Regional Airport</t>
  </si>
  <si>
    <t>Terminal Hangar Bi-Fold Door Replacement</t>
  </si>
  <si>
    <t>Install Bi-Fold Doors</t>
  </si>
  <si>
    <t>Fuel Pump and Dispenser Improvement</t>
  </si>
  <si>
    <t>Vinton Veterans Municipal Airport</t>
  </si>
  <si>
    <t>T-Hangar Drainage Improvement</t>
  </si>
  <si>
    <t>Snow Removal Equipment Building Addition</t>
  </si>
  <si>
    <t>Cancelled</t>
  </si>
  <si>
    <t>FY 2021 RIIF - Commercial Service Vertical Infrastructure (CSVI) Projects</t>
  </si>
  <si>
    <t>Des Moines International Airport</t>
  </si>
  <si>
    <t>Parking Garage Addition</t>
  </si>
  <si>
    <t>Dubuque Regional Airport</t>
  </si>
  <si>
    <t>Fort Dodge Regional Airport</t>
  </si>
  <si>
    <t>Terminal Exterior Renovation, Renovate SRE Building, Hangar Insulation, Hangar A Construction</t>
  </si>
  <si>
    <t>Mason City Municipal Airport</t>
  </si>
  <si>
    <t>Replace Entrance Road Lighting</t>
  </si>
  <si>
    <t>Sioux Gateway Airport</t>
  </si>
  <si>
    <t>Terminal and Hangar Improvements</t>
  </si>
  <si>
    <t>Southeast Iowa Regional Airport</t>
  </si>
  <si>
    <t>The Eastern Iowa Airport</t>
  </si>
  <si>
    <t xml:space="preserve">Cargo Logistics Facility </t>
  </si>
  <si>
    <t>Waterloo Regional Airport</t>
  </si>
  <si>
    <t xml:space="preserve">FY 2021 Railroad Revolving Loan and Grant Program </t>
  </si>
  <si>
    <t>CRANDIC - AW 2235</t>
  </si>
  <si>
    <t xml:space="preserve">The proposed project is for construction of industry lead tracks and industry tracks to support the competitive shipment of their product in the Cedar Rapids area.  </t>
  </si>
  <si>
    <t>BJRY Passing Track</t>
  </si>
  <si>
    <t>The project will construct 1,300 feet of rail that will serve as a relocated passing track on the BJRY mainline.  This project will increase efficiency and capacity of BJRY’s operations.</t>
  </si>
  <si>
    <t>IANR Bridge Replacement</t>
  </si>
  <si>
    <t xml:space="preserve">IANR is the applicant. IANR recently entered into a long term operation and maintenance agreement with the Union Pacific Railroad (April 2019).  IANR has assumed all maintenance of the line. One of the main areas of focus on the line is the Railroad bridge in Waterloo, Iowa.  This bridge can no longer hold 286# railcars, and is in need of replacement.  </t>
  </si>
  <si>
    <t>Merchants</t>
  </si>
  <si>
    <t>The proposed study is to plan for future rail service on a site known as the Gerdau site as a railport in Dallas County, Iowa.  This study will determine potential developmental and startup costs, spur expansion and addition options, site design and engineering as well as determine options for future direction of rail yard services and capabilities of expansion and property acquisition.  Site currently has a rail spur that connects to the IAIS mainline.</t>
  </si>
  <si>
    <t>River Cities Business Park Rail Spur</t>
  </si>
  <si>
    <t>This planning study will evaluate the need and ability to create a rail spur that will connect River City Management’s properties from Davenport to neighboring Eldridge, Iowa.  At one point, CP served the site, however mainline connections were disconnected.  River Cities is again interested in connecting these two properties via a rail spur and want to conduct a study to see if the two properties can accommodate additional rail spurs and again be served by CP.</t>
  </si>
  <si>
    <t>Western Iowa Energy</t>
  </si>
  <si>
    <t>This project is adding track capacity and track infrastructure to Western Iowa Energy’s existing facility in Wall Lake, IA.  The rail expansion involves a series of storage tracks at the end of the current spur.  The existing spur is currently inadequate for outbound product.</t>
  </si>
  <si>
    <t>Winter 2021</t>
  </si>
  <si>
    <t xml:space="preserve">FY 2021 - Rebuild Iowa Infrastructure Fund </t>
  </si>
  <si>
    <t>New HVAC system (Phase 2)</t>
  </si>
  <si>
    <t>Remodel bus storage and administrative facility (partial funding--also see FY18)</t>
  </si>
  <si>
    <t>Region 16</t>
  </si>
  <si>
    <t>West Burlington SEIBUS vehicle storage site (partial funding--also see FY20)</t>
  </si>
  <si>
    <t>West Burlington SEIBUS vehicle storage site (partial funding--also see FY21)</t>
  </si>
  <si>
    <t>Remodel bus storage and administrative facility (partial funding--also see FY21)</t>
  </si>
  <si>
    <t>FY 2022 RIIF - General Aviation Vertical Infrastructure Program</t>
  </si>
  <si>
    <t>Winterset Municipal Airport</t>
  </si>
  <si>
    <t>Fuel Farm Replacement</t>
  </si>
  <si>
    <t>Construct Equipment Storage Building</t>
  </si>
  <si>
    <t>Fuel System Repair and Modifications</t>
  </si>
  <si>
    <t>Construct Two Unit Box Hangar</t>
  </si>
  <si>
    <t>Replace Hangar Door</t>
  </si>
  <si>
    <t>Replace Hangar Doors</t>
  </si>
  <si>
    <t>Sac City Municipal Airport</t>
  </si>
  <si>
    <t>Mount Ayr Municipal Airport</t>
  </si>
  <si>
    <t>Sheldon Regional Airport</t>
  </si>
  <si>
    <t>Fuel System Improvements</t>
  </si>
  <si>
    <t>Jefferson Municipal Airport</t>
  </si>
  <si>
    <t>Fort Madison Municipal Airport</t>
  </si>
  <si>
    <t>Hangar Exterior Improvements</t>
  </si>
  <si>
    <t>FY 2022 RIIF - Commercial Service Vertical Infrastructure (CSVI) Projects</t>
  </si>
  <si>
    <t>Generator Relocation, Fuel System Improvements, and Equipment Lift</t>
  </si>
  <si>
    <t>Construct Hangars</t>
  </si>
  <si>
    <t>Construct Hangar and Terminal Improvements</t>
  </si>
  <si>
    <t>Equipment Storage Facility Improvement</t>
  </si>
  <si>
    <t>Terminal, Maintenance building and Hangar Rehabilitation</t>
  </si>
  <si>
    <t>Oskaloosa Planning Study</t>
  </si>
  <si>
    <t xml:space="preserve">Planning Study seeks to develop approximately 29 acres of land into a railport/transload facility. </t>
  </si>
  <si>
    <t>BSVRR Harrison-Meridian Rail Rehab</t>
  </si>
  <si>
    <t>Project is to remove and replace all ties from Harrison St. to 650 feet east of Meridian St. and construct a dead-end siding east of the existing siding for additional storage and switching capabilities.</t>
  </si>
  <si>
    <t>Ten-D Merchants and UP</t>
  </si>
  <si>
    <t>Project is adding 5,453ft of new rail and replace/upgrade approximately 8,500ft of existing track to make it more accessible.  Also add market-needed yard, services and storage options.</t>
  </si>
  <si>
    <t>Charles City Transload</t>
  </si>
  <si>
    <t>The Charles City Terminal will re-purpose a plant as a railcar-truck transload center for trans-shipment of propane, bio-renewables and specialized fuels. The rail transload site will have direct access to the CP and CN rail systems.</t>
  </si>
  <si>
    <t>Sioux City - Cold Link Logistics</t>
  </si>
  <si>
    <t>Funds are being sought to support the establishment of a new cold storage industrial facility by Cold Link Logistics in Sioux City, Iowa. This project will have a large economic impact on Sioux City and the entire NW area of Iowa as it will provide critical support services for many area food processors.  Currently, many processors are shipping product out of state for storage.  The establishment of additional cold storage capacity in Sioux City will reduce transportation costs for Iowa companies and keep these additional dollars in Iowa.</t>
  </si>
  <si>
    <t xml:space="preserve">The proejct will construct rail to add an additional 30 railcar spots in their yard as part of their long-term expansion plans.  
</t>
  </si>
  <si>
    <t>Wabash Cannonball LLC</t>
  </si>
  <si>
    <t>Company is building a plant to convert locally produced agricultural feedstock into renewable fuels. The rail improvement will be used to connect the plant to the existing public rail facilities in Clinton, IA. These rail facilities will be used to both receive the agricultural feedstock as well as to deliver the renewable diesel to eventual markets.</t>
  </si>
  <si>
    <t>6/17/2021</t>
  </si>
  <si>
    <t xml:space="preserve">Withdrawn
</t>
  </si>
  <si>
    <t>3/10/2020</t>
  </si>
  <si>
    <t>12/13/2021</t>
  </si>
  <si>
    <t>5/4/2021</t>
  </si>
  <si>
    <t>May 2022</t>
  </si>
  <si>
    <t>KJRY Rail network Improvements</t>
  </si>
  <si>
    <t xml:space="preserve">FY 2022 - Rebuild Iowa Infrastructure Fund </t>
  </si>
  <si>
    <t>22587-00001746</t>
  </si>
  <si>
    <t>West Burlington SEIBUS vehicle storage site</t>
  </si>
  <si>
    <t>Contract Awarded 9/15/2021</t>
  </si>
  <si>
    <t>21513-00001222</t>
  </si>
  <si>
    <t>New HVAC System</t>
  </si>
  <si>
    <t>CNTRT-00003447</t>
  </si>
  <si>
    <t>Wash County Minibus Admin and Storage</t>
  </si>
  <si>
    <t>CNTRT-00003449</t>
  </si>
  <si>
    <t>CR Transit Fleet Maintenance facility</t>
  </si>
  <si>
    <t>CNTRT-00003450</t>
  </si>
  <si>
    <t>Replace Sliding Doors</t>
  </si>
  <si>
    <t>CNTRT-00003445</t>
  </si>
  <si>
    <t>Rehabilitate existing office building</t>
  </si>
  <si>
    <t>Est. 08/16/22</t>
  </si>
  <si>
    <t>Grant Wood Trail - Paving Waldo's Rock to Oxley Road (Linn County Conservation Board)</t>
  </si>
  <si>
    <t>State Recreational Trail (SRT) Fund, local matching funds</t>
  </si>
  <si>
    <t>Heart of Iowa Nature Trail - Paving Skunk River Bridge to 610th Avenue (Story County Conservation Board)</t>
  </si>
  <si>
    <t>State Recreational Trail (SRT) Fund, Regional Iowa's Transportation Alternatives Program (Iowa's TAP) funds, local matching funds</t>
  </si>
  <si>
    <t>Keokuk Riverfront Trail (Keokuk)</t>
  </si>
  <si>
    <t>State Recreational Trail (SRT) Fund, Regional Iowa's Transportation Alternative Program (Iowa's TAP) funds, Wellmark Foundation, Keokuk Parks foundation funds, local matching funds</t>
  </si>
  <si>
    <t>State Recreational Trail (SRT) Fund, Iowa DNR REAP funds, local matching funds</t>
  </si>
  <si>
    <t>Raccoon River Valley Trail to High Trestle Trail Connector Phase III Construction (Dallas County Conservation Board)</t>
  </si>
  <si>
    <t>Agreement signed 9/26/2017- development in process</t>
  </si>
  <si>
    <t>Agreement signed 2/17/2019 - project completed</t>
  </si>
  <si>
    <t>Agreement signed 10/30/2019 - project completed</t>
  </si>
  <si>
    <t>Agreement signed 3/2/2017 - project completed</t>
  </si>
  <si>
    <t xml:space="preserve">FY 2023 - Rebuild Iowa Infrastructure Fund </t>
  </si>
  <si>
    <t>CNTRT-00004620</t>
  </si>
  <si>
    <t>Region 4</t>
  </si>
  <si>
    <t>New Automated Bus Wash</t>
  </si>
  <si>
    <t>Contract Awarded 07/12/2022</t>
  </si>
  <si>
    <t>CNTRT-00004616</t>
  </si>
  <si>
    <t>Rehabilitate Shop Area in the Maintenance Facility</t>
  </si>
  <si>
    <t>CNTRT-00004890</t>
  </si>
  <si>
    <t>Replacement of Insulation and Vapor Barrier for Transit Facility and Maintenance Area</t>
  </si>
  <si>
    <t>Contract Awarded 07/01/2022</t>
  </si>
  <si>
    <t>CNTRT-00004617</t>
  </si>
  <si>
    <t>Renovation of Existing Facility, Phase 1</t>
  </si>
  <si>
    <t xml:space="preserve">FY 2023 Railroad Revolving Loan and Grant Program </t>
  </si>
  <si>
    <t>Platinum Soybean Crush Plant, Buenu Vista Co</t>
  </si>
  <si>
    <t>Rail link and 5 loop tracks at a new soybean crush facility in Alta, Ia with the  creation of 51 jobs.</t>
  </si>
  <si>
    <t>Floyd Valley Transload, Woodbury Co</t>
  </si>
  <si>
    <t>The FVT project would add a rail link connection the BNSF at the Sioux City location to support a new proposed tranload facility. This would also add 10 new jobs to FVT.</t>
  </si>
  <si>
    <t>IceCap Cold Storage, Pottawaime Co</t>
  </si>
  <si>
    <t>This phase of their project is for 1458 feet of rail track and a rail spur for future expansion as well as create 48 job at ICCS.</t>
  </si>
  <si>
    <t>PattisonSand CP Unit Train Project Phase V, Clayton Co</t>
  </si>
  <si>
    <t>The scope of Phase V is the excavation and extension of 400' feet of rail track. This will provide for more car spots at the facility.</t>
  </si>
  <si>
    <t>Booneville North Transload Facility, Dallas Co</t>
  </si>
  <si>
    <t>Legacy Materials is sponsoring this study to evaluate property that they own in Booveville, Ia for a potential industrial park.</t>
  </si>
  <si>
    <t>Pacific Juction South Industrial Park Transload Facility, Mills Co</t>
  </si>
  <si>
    <t>Mills County Economic Development Foundation is sponsoring a study to evalate a industrial park in Pacific Junction, Ia.</t>
  </si>
  <si>
    <t>Iowa Crossroads of Global Innovation Dual Rail Transload Study, Webster Co</t>
  </si>
  <si>
    <t>Webster Co board of supervisor is sponsoring this study to evaluate expanding the current location. This location is West of Ft Dodge and has a large Cargill facility on it and acces to Canadian National and Union Pacific railways.</t>
  </si>
  <si>
    <t>FY 2022 Rail Revolving Loan and Grant Program</t>
  </si>
  <si>
    <t>Pattison Sand - CP Unit Train Expansion Phase IV</t>
  </si>
  <si>
    <t>7/5/2022</t>
  </si>
  <si>
    <t>FY 2023 RIIF - Commercial Service Vertical Infrastructure (CSVI) Projects</t>
  </si>
  <si>
    <t>Building 9 Improvements, Terminal Design</t>
  </si>
  <si>
    <t>Under Contract</t>
  </si>
  <si>
    <t>Airfield Equipment Storage and Hangar</t>
  </si>
  <si>
    <t>Construct Hangar and Maintenance Building Renovation</t>
  </si>
  <si>
    <t>Equipment Storage Building - Design and Construct</t>
  </si>
  <si>
    <t>Corporate Community Hangar</t>
  </si>
  <si>
    <t>Construct West FBO Facility</t>
  </si>
  <si>
    <t>FY 2023 RIIF - General Aviation Vertical Infrastructure Program</t>
  </si>
  <si>
    <t>Construct Two Box Hangars</t>
  </si>
  <si>
    <t>Corporate Hangar with Attached Terminal Building</t>
  </si>
  <si>
    <t>Construct Box Hangar</t>
  </si>
  <si>
    <t>Corporate Hangar Improvements</t>
  </si>
  <si>
    <t>Mount Pleasant Municipal Airport</t>
  </si>
  <si>
    <t>Box Hangar Door Replacement</t>
  </si>
  <si>
    <t>Closeout</t>
  </si>
  <si>
    <t>Carlisle Connection Trail (Des Moines)</t>
  </si>
  <si>
    <t>Agreement signed 12/05/2022 - development in process</t>
  </si>
  <si>
    <t>State Recreational Trail (SRT) Fund, Federal Recreational Trail (FRT),Regional Iowa's Transportation Alternatives Program (Iowa's TAP) funds, REAP, local matching funds</t>
  </si>
  <si>
    <t>Eldora Trail Expansion (Eldora)</t>
  </si>
  <si>
    <t>Gear Avenue Trail Extension Phase II (West Burlington)</t>
  </si>
  <si>
    <t>Glenwood Trail (Glenwood)</t>
  </si>
  <si>
    <t>Great Western Connector Trail (Manning)</t>
  </si>
  <si>
    <t>Heart of Iowa Nature Trail from 610th Avenue to 620th Avenue (Story County Conservation Board)</t>
  </si>
  <si>
    <t xml:space="preserve">Raccoon River Valley Trail to High Trestle Trail Connector Phase V (Dallas County Conservation Board) </t>
  </si>
  <si>
    <t>Agreement signed 12/29/2022 - development in process</t>
  </si>
  <si>
    <t>State Recreational Trail (SRT) Fund, Dallas County ARPA funds, local matching funds</t>
  </si>
  <si>
    <t>West Union to Echo Valley State Park (West Union)</t>
  </si>
  <si>
    <t>State Recreational Trail (SRT) Fund, Iowa Great Places Fund, IDNR Reasource Enhancement and Protection(REAP), Wellmark, local matching funds</t>
  </si>
  <si>
    <t>Agreement signed 6/30/2022 - development in process</t>
  </si>
  <si>
    <t>Agreement signed 4/25/2022 - development in process</t>
  </si>
  <si>
    <t>Raccoon River Valley Trail to High Trestle Trail Connector - S Avenue to Iowa 210 (Woodward)</t>
  </si>
  <si>
    <t>Agreement signed 7/19/2022 - development in process</t>
  </si>
  <si>
    <t>Agreement signed 2/12/2021- development in process</t>
  </si>
  <si>
    <t>Agreement signed 2/17/2020 - project completed</t>
  </si>
  <si>
    <t>m</t>
  </si>
  <si>
    <t>k</t>
  </si>
  <si>
    <t>Hospital Connector Trail Bridge (Manning)</t>
  </si>
  <si>
    <t>Great River Road Bike Lane (Louisa County Secondary Roads)</t>
  </si>
  <si>
    <t>l</t>
  </si>
  <si>
    <t>Jurgensen Bridge Refurbishment (Winterset and Winterset Municipal Utility)</t>
  </si>
  <si>
    <t>Lake Path Trail/JewEllsworth Trail Segment (Hamilton County Conservation Board)</t>
  </si>
  <si>
    <t>Mississippi River Trail - Pikes Peak Road to Guttenberg (Clayton County)</t>
  </si>
  <si>
    <t>SW 5th (Jackson) Street Bridge Rehabilitation (City of Des Moines)</t>
  </si>
  <si>
    <t>Bluff Creek OHV Park Development Plan (Iowa DNR)</t>
  </si>
  <si>
    <t>Gray's Lake Neighborhood Connecting Trail &amp; SW 14th Quiet Street (City of Des Moines)</t>
  </si>
  <si>
    <t>Allamakee County Mississippi River Bike Trail (Allamakee County and Allamakee County Economic Development)</t>
  </si>
  <si>
    <t>Des Moines River Regional Trail Phase 1 (City of Des Moines)</t>
  </si>
  <si>
    <t>Iowa River Corridor Trail Connection - Sand Lake (City of Iowa City)</t>
  </si>
  <si>
    <t>Lewis and Clark Historic Riverfront Trail (City of Sioux City and Iowa DOT)</t>
  </si>
  <si>
    <t>Pinicon Ridge Trail (Linn County Conservation Board)</t>
  </si>
  <si>
    <t>Principal Riverwalk Recreational Trail (city of Des Moines)</t>
  </si>
  <si>
    <t>Raccoon River Valley Trail Addition--Forest Park to Minburn Trail (Dallas County Conservation Board)</t>
  </si>
  <si>
    <t>State Recreational Trail (SRT) Fund, Community Attraction and Tourism Program, State Enhancement Project, Central Iowa Regional Transportation Planning Alliance, Dallas County, City of Perry, City of Waukee, Guthrie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t>
  </si>
  <si>
    <t>Summerset Trail Flood Repairs (Warren County Conservation Board)</t>
  </si>
  <si>
    <t>American Gothic Regional Trail Project (Area 15 Regional Planning Commission)</t>
  </si>
  <si>
    <t>Crawford County Trail (Crawford County)</t>
  </si>
  <si>
    <t>Garlock Slough Recreational Trail (City of West Okoboji and Dickinson County Tails Board)</t>
  </si>
  <si>
    <t>Maquoketa River Water Trail (Jones County)</t>
  </si>
  <si>
    <t>Principal Riverwalk (Des Moines)</t>
  </si>
  <si>
    <t>Riverview Recreation Area Expansion (Trailblazers Off Road Club)</t>
  </si>
  <si>
    <t>Stone State Park Trail (Woodbury County/DNR)</t>
  </si>
  <si>
    <t>Summerset Trail (Cities of Indianola, Carlisle and Des Moines)</t>
  </si>
  <si>
    <t>Crawford County Trails (Crawford County)</t>
  </si>
  <si>
    <t>Fairfield Loop Trail (Fairfield)</t>
  </si>
  <si>
    <t>Jewell to Ellsworth Trail (Hamilton County Conservation Board)</t>
  </si>
  <si>
    <t>Mississippi River Trail Upper Scott County (Le Claire)</t>
  </si>
  <si>
    <t>Cemar Trail - Phase 2 (Cedar Rapids)</t>
  </si>
  <si>
    <t>Des Moines County Recreational Trail - Phase 1 Burlington to Starr's Cave (Des Moines County)</t>
  </si>
  <si>
    <t>Lakeview OHV Park Upgrades (Dirt Surfers Inc.)</t>
  </si>
  <si>
    <t>Trail Projects in Wapello County (Wapello County)</t>
  </si>
  <si>
    <t>b.  Funds obligated per Department of Transportation Commission Order unless otherwise noted</t>
  </si>
  <si>
    <t>c.  FY2005 &amp; FY2008 project funding rescinded by sponsors and reallocated to FY 2010 cycle</t>
  </si>
  <si>
    <t>d.  Project funded by $87,500 I-Jobs and remaining $19,771 from FY2008 rescinded funds</t>
  </si>
  <si>
    <t>e. Partial balance from a FY2009 project underrun reallocated to FY2013 cycle</t>
  </si>
  <si>
    <t>f.  Funds from 2 projects rescinded by project sponsors (FY2009 &amp; FY2012) and a FY2009 underrun ($32,543 remaining balance) reeallocated to FY2014 cycle</t>
  </si>
  <si>
    <t>g. Identifies 2 Projects funded through $1 million existing historic trail bridges allocation that was part of the FY 2015 appropriation</t>
  </si>
  <si>
    <t>h. Remaining $46,645 balance from FY2015 project added to FY2016 Linn County  project with adjacent scope</t>
  </si>
  <si>
    <t>i. Funds from a FY2012 project underrun reallocated to FY2017 cycle</t>
  </si>
  <si>
    <t>j. Funds from 3 project underruns (FY2007, FY2010, &amp; FY2016) reallocated to FY2018 cycle</t>
  </si>
  <si>
    <t>k. Remaining $212,329 balance from FY2015 project added to FY2018 Pottawattamie County project with adjacent scope</t>
  </si>
  <si>
    <t>l. Funds from 5 project underruns (FY2007, FY2012, &amp; FY2015) reallocated to FY2019 cycle</t>
  </si>
  <si>
    <t>m. Funds from 2 project underruns (FY2013 &amp; FY2019) reallocated to FY2023 cycle</t>
  </si>
  <si>
    <t>Appropriation for FY2006 was $1,000,000.  Total funding listed in this report is $1,124,651 due to reallocation of $124,651 in previous project underruns.</t>
  </si>
  <si>
    <t>Appropriation for FY2007 was $2,000,000.  Total funding listed in this report is $2,200,782 due to reallocation of $200,782 in previous project underruns.</t>
  </si>
  <si>
    <t>Appropriation for FY2008 was $2,000,000.  Total funding listed in this report is $2,000,000.</t>
  </si>
  <si>
    <t>Appropriation for FY2009 was $3,000,000.  Total funding listed in this report is $3,000,000.</t>
  </si>
  <si>
    <t>Appropriation for FY2010 was $3,500,000.  Total funding listed in this report is $4,487,240 due to reallocation of $987,240 of rescinded funding..</t>
  </si>
  <si>
    <t xml:space="preserve">Appropriation for FY2011 was $0.  </t>
  </si>
  <si>
    <t>Appropriation for FY2012 was $3,000,000.  Total funding listed in this report is $2,987,245.</t>
  </si>
  <si>
    <t>Appropriation for FY2013 was $3,000,000.  Total funding listed in this report is $3,049,194 due to reallocation of $49,194 in previous project underruns.</t>
  </si>
  <si>
    <t>Appropriation for FY2014 was $3,000,000.  Total funding listed in this report is $3,469,059 due to reallocation of $436,516 of rescinded funding and $32,543 in previous project underruns.</t>
  </si>
  <si>
    <t>Appropriation for FY2015 was $6,000,000.  Total funding listed in this report is $6,014,307 due to reallocation of $14,307 in previous project underruns.</t>
  </si>
  <si>
    <t>Appropriation for FY2016 was $3,400,000.  Total funding listed in this report is $3,400,000.</t>
  </si>
  <si>
    <t>Appropriation for FY2017 was $2,500,000.  Total funding listed in this report is $2,514,678 due to reallocation of $14,678 in previous project underruns.</t>
  </si>
  <si>
    <t>Appropriation for FY2018 was $1,000,000.  Total funding listed in this report is $1,268,267 due to reallocation of $268,267 in previous project underruns.</t>
  </si>
  <si>
    <t>Appropriation for FY2019 was $1,000,000.  Total funding listed in this report is $1,309,100 due to reallocation of $449,470 in previous project underruns.</t>
  </si>
  <si>
    <t>Appropriation for FY2020 was $1,500,000.  Total funding listed in this report is $1,500,000.</t>
  </si>
  <si>
    <t>Appropriation for FY2021 was $1,000,000.  Total funding listed in this report is $1,000,000.</t>
  </si>
  <si>
    <t>Appropriation for FY2022 was $1,500,000.  Total funding listed in this report is $1,497,675.</t>
  </si>
  <si>
    <t>Appropriation for FY2023 was $2,500,000.  Total funding listed in this report is $2,748,949 due to reallocation of $248,949 in previous project underruns and unawarded funds from FY2022 and FY2012..</t>
  </si>
  <si>
    <t>Raccoon River Valley Trail to High Trestle Trail Connector Phase VI (Dallas County Conservation Board)</t>
  </si>
  <si>
    <t>Agreement signed 11/20/2023 - development in process</t>
  </si>
  <si>
    <t>State Recreational Trail (SRT) Fund, Destination Iowa Funds, local matching funds</t>
  </si>
  <si>
    <t>Red Rock Praire Trail: Prairie City to Mitchellville (Jasper County Conservation Board)</t>
  </si>
  <si>
    <t>State Recreational Trail (SRT) Fund,Regional Iowa's Transportation Alternatives Program (Iowa's TAP) funds, REAP,Federal Lands Access Program (FLAP), local matching funds</t>
  </si>
  <si>
    <t>Fontana Park Learning and Discovery Trail (Buchanan County Conservation Board)</t>
  </si>
  <si>
    <t>Agreement signed 11/27/2023 - development in process</t>
  </si>
  <si>
    <t>State Recreational Trail (SRT) Fund,Regional Iowa's Transportation Alternatives Program (Iowa's TAP) funds,  local matching funds</t>
  </si>
  <si>
    <t>Hoover Trail Bridge #2 (Cedar County Conservation Board)</t>
  </si>
  <si>
    <t>Copper Creek Mountain Bike Park (Polk County Conservation Board)</t>
  </si>
  <si>
    <t>Agreement signed 11/16/2023 - development in process</t>
  </si>
  <si>
    <t>Little River Scenic Pathway Phase 2 (Decatur County Conservation Board)</t>
  </si>
  <si>
    <t>State Recreational Trail (SRT) Fund, Wellmark Foundation Fund, local matching funds</t>
  </si>
  <si>
    <t>Ballpark to Ballpark Shelby County Trail Phase 2 (Shelby County)</t>
  </si>
  <si>
    <t>Agreement signed 01/17/2023 - development in process</t>
  </si>
  <si>
    <t>Agreement signed 01/04/2023 -project completed</t>
  </si>
  <si>
    <t>o</t>
  </si>
  <si>
    <t>Agreement signed 02/7/2023 - development in process</t>
  </si>
  <si>
    <t>Agreement signed 06/7/2023 - development in process</t>
  </si>
  <si>
    <t>Agreement signed 02/07/2022 - project completed</t>
  </si>
  <si>
    <t>Agreement signed 9/01/2020 - project completed</t>
  </si>
  <si>
    <t>Agreement signed 11/20/2020 - project completed</t>
  </si>
  <si>
    <t>Agreement signed 11/03/2020 - project completed</t>
  </si>
  <si>
    <t>n</t>
  </si>
  <si>
    <t>Agreement signed 12/15/2020 - project completed</t>
  </si>
  <si>
    <t>Agreement signed 8/13/2020-project completed</t>
  </si>
  <si>
    <t>Agreement signed 2/3/2020 - project completed</t>
  </si>
  <si>
    <t>Agreement signed 4/01/2019 - project completed</t>
  </si>
  <si>
    <t>Agreement signed 12/20/2018 -project completed</t>
  </si>
  <si>
    <t>Agreement signed 2/1/2018 - project completed</t>
  </si>
  <si>
    <t>Agreement signed 3/13/17 - project completed</t>
  </si>
  <si>
    <t>Agreement signed 12/15/2014 -project completed</t>
  </si>
  <si>
    <t>Agreement signed 10/31/2013 - project completed</t>
  </si>
  <si>
    <t>Agreement signed 1/18/2012 - project completed</t>
  </si>
  <si>
    <t>Agreement signed 10/8/2009 - project completed</t>
  </si>
  <si>
    <t>n. Funds from 4 project underruns (FY2014, FY2019, FY2020, &amp; FY2021) reallocated to FY2024 cycle</t>
  </si>
  <si>
    <t>o. Funds from 1 project underrun (FY2023) will be reallocated to FY2025 cycle</t>
  </si>
  <si>
    <t>Appropriation for FY2024 was $2,500,000. Total funding listed in this report is $2,753,115 due to reallocation of $253,115 in previous project underruns.</t>
  </si>
  <si>
    <t>FY 2024 RIIF - General Aviation Vertical Infrastructure Program</t>
  </si>
  <si>
    <t>Ottumwa Regional Airport</t>
  </si>
  <si>
    <t>Under contract</t>
  </si>
  <si>
    <t>Box Hangar Improvements</t>
  </si>
  <si>
    <t>Hangar Roof Replacement</t>
  </si>
  <si>
    <t xml:space="preserve">North Hangar Upgrades </t>
  </si>
  <si>
    <t>T-Hangar Door Operator Replacement</t>
  </si>
  <si>
    <t>Install New Hangar Doors</t>
  </si>
  <si>
    <t>Hangar HVAC Upgrade</t>
  </si>
  <si>
    <t>Expand Terminal Building</t>
  </si>
  <si>
    <t>Replace Hangar Exterior</t>
  </si>
  <si>
    <t>Mathews Memorial Airport</t>
  </si>
  <si>
    <t>Terminal Building Rehabilitation</t>
  </si>
  <si>
    <t>FY 2024 RIIF - Commercial Service Vertical Infrastructure (CSVI) Projects</t>
  </si>
  <si>
    <t>Construct Consolidated Aircraft Deicing Facility</t>
  </si>
  <si>
    <t>Construct Hangar, Airfield Equipment Storage, Airfield Generator</t>
  </si>
  <si>
    <t>Eastern Iowa Airport</t>
  </si>
  <si>
    <t>Construct Two Aircraft Hangars</t>
  </si>
  <si>
    <t>Construct Hangars. Renovate SRE Building</t>
  </si>
  <si>
    <t xml:space="preserve">Construct Equipment Storage Building </t>
  </si>
  <si>
    <t>Construct T-Hangars</t>
  </si>
  <si>
    <t>Construct Hangar</t>
  </si>
  <si>
    <t>Airport Terminal Security Upgrades and Hangar Lighting Upgrade</t>
  </si>
  <si>
    <t>Southeast Iowa Regional Airport Authority</t>
  </si>
  <si>
    <t xml:space="preserve">FY 2024 - Rebuild Iowa Infrastructure Fund </t>
  </si>
  <si>
    <t xml:space="preserve">State Share </t>
  </si>
  <si>
    <t>CNTRT-00005684</t>
  </si>
  <si>
    <t xml:space="preserve">Bus Wash Facility </t>
  </si>
  <si>
    <t>Contract Awarded 8/10/2023</t>
  </si>
  <si>
    <t>CNTRT-00005685</t>
  </si>
  <si>
    <t>Bus Wash Equipment, Year 2 Funding</t>
  </si>
  <si>
    <t>CNTRT-00005688</t>
  </si>
  <si>
    <t>Renovation of Bus Storage Facility in Mt. Pleasant, Year 2 Funding</t>
  </si>
  <si>
    <t>CNTRT-00005686</t>
  </si>
  <si>
    <t>Boiler/Heat Pump Replacement</t>
  </si>
  <si>
    <t>Funds available to reprogram to other projects</t>
  </si>
  <si>
    <t>-</t>
  </si>
  <si>
    <t xml:space="preserve">FY 2024 Railroad Revolving Loan and Grant Program </t>
  </si>
  <si>
    <t>Atlas Roofing Company, Clinto Co</t>
  </si>
  <si>
    <t>Atlas Roofing in constructing a new ashpalt shingle manufacuting plant. This project includes 18,000 feet of rail track, approximently 9,000 feet of which will be given to the city of Clinton to promote further expansion in their industrail park. 117 new jobs will be created supporting the new plant.</t>
  </si>
  <si>
    <t>Green Plains Shenandoah LLC</t>
  </si>
  <si>
    <t>Rail spur addition of 939 feet connecting to the adjacent bio refinery spur. The plant will use waste products from the bio refiner to produce a Clean Sugar product and 12 new jobs.</t>
  </si>
  <si>
    <t>8/16/2023</t>
  </si>
  <si>
    <t>Closed</t>
  </si>
  <si>
    <t>06/27/2022</t>
  </si>
  <si>
    <t>Clomplete 04/13/2022</t>
  </si>
  <si>
    <t>Complete 11/06/2023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</si>
</sst>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409]* #,##0_);_([$$-409]* \(#,##0\);_([$$-409]* &quot;-&quot;??_);_(@_)"/>
    <numFmt numFmtId="168" formatCode="[$$-409]#,##0_);\([$$-409]#,##0\)"/>
    <numFmt numFmtId="169" formatCode="_(* #,##0_);_(* \(#,##0\);_(* &quot;-&quot;??_);_(@_)"/>
    <numFmt numFmtId="170" formatCode="mm/dd/yy;@"/>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0"/>
      <name val="Arial"/>
    </font>
    <font>
      <b/>
      <sz val="10"/>
      <color indexed="8"/>
      <name val="Arial"/>
      <family val="2"/>
    </font>
    <font>
      <b/>
      <sz val="18"/>
      <name val="Arial"/>
      <family val="2"/>
    </font>
    <font>
      <b/>
      <sz val="12"/>
      <name val="Arial"/>
      <family val="2"/>
    </font>
    <font>
      <sz val="12"/>
      <name val="Arial"/>
      <family val="2"/>
    </font>
    <font>
      <sz val="10"/>
      <color indexed="8"/>
      <name val="Arial"/>
      <family val="2"/>
    </font>
    <font>
      <sz val="10"/>
      <color rgb="FF000000"/>
      <name val="Arial"/>
      <family val="2"/>
    </font>
    <font>
      <b/>
      <sz val="16"/>
      <name val="Arial"/>
      <family val="2"/>
    </font>
    <font>
      <strike/>
      <sz val="12"/>
      <name val="Arial"/>
      <family val="2"/>
    </font>
    <font>
      <b/>
      <sz val="14"/>
      <name val="Arial"/>
      <family val="2"/>
    </font>
    <font>
      <sz val="12"/>
      <name val="Arial"/>
    </font>
    <font>
      <b/>
      <sz val="11"/>
      <color theme="1"/>
      <name val="Calibri"/>
      <family val="2"/>
      <scheme val="minor"/>
    </font>
    <font>
      <sz val="18"/>
      <name val="Arial"/>
      <family val="2"/>
    </font>
    <font>
      <b/>
      <sz val="12"/>
      <color rgb="FF00B050"/>
      <name val="Arial"/>
      <family val="2"/>
    </font>
    <font>
      <sz val="12"/>
      <color rgb="FF00B050"/>
      <name val="Arial"/>
      <family val="2"/>
    </font>
    <font>
      <sz val="11"/>
      <name val="Calibri"/>
      <family val="2"/>
      <scheme val="minor"/>
    </font>
    <font>
      <b/>
      <strike/>
      <sz val="12"/>
      <name val="Arial"/>
      <family val="2"/>
    </font>
    <font>
      <vertAlign val="superscript"/>
      <sz val="10"/>
      <color indexed="8"/>
      <name val="Arial"/>
      <family val="2"/>
    </font>
    <font>
      <vertAlign val="superscript"/>
      <sz val="10"/>
      <name val="Arial"/>
      <family val="2"/>
    </font>
    <font>
      <sz val="10"/>
      <color theme="0" tint="-0.499984740745262"/>
      <name val="Arial"/>
      <family val="2"/>
    </font>
    <font>
      <sz val="12"/>
      <color theme="1"/>
      <name val="Arial"/>
      <family val="2"/>
    </font>
    <font>
      <sz val="11"/>
      <color theme="1"/>
      <name val="Calibri"/>
      <family val="2"/>
    </font>
    <font>
      <sz val="11"/>
      <name val="Arial"/>
      <family val="2"/>
    </font>
    <font>
      <b/>
      <vertAlign val="superscript"/>
      <sz val="10"/>
      <name val="Arial"/>
      <family val="2"/>
    </font>
    <font>
      <sz val="12"/>
      <name val="Calibri"/>
      <family val="2"/>
    </font>
    <font>
      <sz val="12"/>
      <color theme="1"/>
      <name val="Calibri"/>
      <family val="2"/>
    </font>
    <font>
      <sz val="10"/>
      <name val="Calibri"/>
      <family val="2"/>
      <scheme val="minor"/>
    </font>
    <font>
      <sz val="10"/>
      <color theme="1"/>
      <name val="Calibri"/>
      <family val="2"/>
      <scheme val="minor"/>
    </font>
    <font>
      <sz val="12"/>
      <color rgb="FFFF0000"/>
      <name val="Arial"/>
      <family val="2"/>
    </font>
    <font>
      <sz val="11"/>
      <name val="Calibri"/>
      <family val="2"/>
    </font>
    <font>
      <sz val="10"/>
      <color theme="1"/>
      <name val="Arial"/>
      <family val="2"/>
    </font>
    <font>
      <sz val="10"/>
      <color rgb="FF000000"/>
      <name val="PT Sans"/>
      <family val="2"/>
    </font>
    <font>
      <vertAlign val="superscript"/>
      <sz val="10"/>
      <color rgb="FFFF0000"/>
      <name val="Arial"/>
      <family val="2"/>
    </font>
    <font>
      <sz val="9"/>
      <color indexed="81"/>
      <name val="Tahoma"/>
      <charset val="1"/>
    </font>
  </fonts>
  <fills count="10">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s>
  <cellStyleXfs count="17">
    <xf numFmtId="0" fontId="0" fillId="0" borderId="0"/>
    <xf numFmtId="44" fontId="7" fillId="0" borderId="0" applyFont="0" applyFill="0" applyBorder="0" applyAlignment="0" applyProtection="0"/>
    <xf numFmtId="0" fontId="4" fillId="0" borderId="0"/>
    <xf numFmtId="0" fontId="6" fillId="0" borderId="0"/>
    <xf numFmtId="0" fontId="4" fillId="0" borderId="0"/>
    <xf numFmtId="0" fontId="4" fillId="0" borderId="0" applyBorder="0"/>
    <xf numFmtId="0" fontId="12" fillId="0" borderId="0"/>
    <xf numFmtId="44" fontId="4" fillId="0" borderId="0" applyFont="0" applyFill="0" applyBorder="0" applyAlignment="0" applyProtection="0"/>
    <xf numFmtId="0" fontId="11" fillId="0" borderId="0"/>
    <xf numFmtId="0" fontId="4" fillId="0" borderId="0" applyBorder="0"/>
    <xf numFmtId="43" fontId="7" fillId="0" borderId="0" applyFont="0" applyFill="0" applyBorder="0" applyAlignment="0" applyProtection="0"/>
    <xf numFmtId="0" fontId="4" fillId="0" borderId="0"/>
    <xf numFmtId="0" fontId="17" fillId="0" borderId="0"/>
    <xf numFmtId="44" fontId="4" fillId="0" borderId="0" applyFont="0" applyFill="0" applyBorder="0" applyAlignment="0" applyProtection="0"/>
    <xf numFmtId="0" fontId="3" fillId="0" borderId="0"/>
    <xf numFmtId="0" fontId="2" fillId="0" borderId="0"/>
    <xf numFmtId="43" fontId="1" fillId="0" borderId="0" applyFont="0" applyFill="0" applyBorder="0" applyAlignment="0" applyProtection="0"/>
  </cellStyleXfs>
  <cellXfs count="613">
    <xf numFmtId="0" fontId="0" fillId="0" borderId="0" xfId="0"/>
    <xf numFmtId="0" fontId="0" fillId="0" borderId="1" xfId="0" applyBorder="1" applyAlignment="1">
      <alignment wrapText="1"/>
    </xf>
    <xf numFmtId="0" fontId="5" fillId="0" borderId="0" xfId="0" applyFont="1" applyAlignment="1">
      <alignment horizontal="right" wrapText="1"/>
    </xf>
    <xf numFmtId="165" fontId="5" fillId="0" borderId="0" xfId="0" applyNumberFormat="1" applyFont="1" applyAlignment="1">
      <alignment horizontal="left" wrapText="1"/>
    </xf>
    <xf numFmtId="165" fontId="5" fillId="0" borderId="0" xfId="0" applyNumberFormat="1" applyFont="1" applyAlignment="1">
      <alignment horizontal="right" wrapText="1"/>
    </xf>
    <xf numFmtId="164" fontId="5" fillId="3" borderId="3" xfId="0" applyNumberFormat="1" applyFont="1" applyFill="1" applyBorder="1" applyAlignment="1">
      <alignment horizontal="left" wrapText="1"/>
    </xf>
    <xf numFmtId="0" fontId="4" fillId="0" borderId="1" xfId="0" applyFont="1" applyBorder="1" applyAlignment="1">
      <alignment wrapText="1"/>
    </xf>
    <xf numFmtId="14" fontId="4" fillId="3" borderId="1" xfId="0" applyNumberFormat="1" applyFont="1" applyFill="1" applyBorder="1" applyAlignment="1">
      <alignment horizontal="center" wrapText="1"/>
    </xf>
    <xf numFmtId="0" fontId="8" fillId="2" borderId="1" xfId="3" applyFont="1" applyFill="1" applyBorder="1" applyAlignment="1">
      <alignment horizontal="center" wrapText="1"/>
    </xf>
    <xf numFmtId="0" fontId="9" fillId="0" borderId="0" xfId="0" applyFont="1" applyAlignment="1">
      <alignment vertical="center"/>
    </xf>
    <xf numFmtId="0" fontId="11" fillId="0" borderId="0" xfId="5" applyFont="1" applyAlignment="1">
      <alignment horizontal="center" vertical="center"/>
    </xf>
    <xf numFmtId="0" fontId="11" fillId="0" borderId="0" xfId="0" applyFont="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right" vertical="center" wrapText="1"/>
    </xf>
    <xf numFmtId="164"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wrapText="1"/>
    </xf>
    <xf numFmtId="164" fontId="11" fillId="2" borderId="1" xfId="5"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64" fontId="10" fillId="0" borderId="1" xfId="0" applyNumberFormat="1" applyFont="1" applyBorder="1" applyAlignment="1">
      <alignment vertical="center"/>
    </xf>
    <xf numFmtId="164" fontId="11" fillId="0" borderId="1" xfId="0" applyNumberFormat="1" applyFont="1" applyBorder="1" applyAlignment="1">
      <alignment vertical="center"/>
    </xf>
    <xf numFmtId="0" fontId="10"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left" vertical="center"/>
    </xf>
    <xf numFmtId="164" fontId="11" fillId="0" borderId="1" xfId="2" applyNumberFormat="1" applyFont="1" applyBorder="1" applyAlignment="1">
      <alignment vertical="center"/>
    </xf>
    <xf numFmtId="6" fontId="11" fillId="0" borderId="1" xfId="2" applyNumberFormat="1" applyFont="1" applyBorder="1" applyAlignment="1">
      <alignment vertical="center"/>
    </xf>
    <xf numFmtId="6" fontId="11" fillId="0" borderId="1" xfId="0" applyNumberFormat="1" applyFont="1" applyBorder="1" applyAlignment="1">
      <alignment vertical="center"/>
    </xf>
    <xf numFmtId="0" fontId="11" fillId="0" borderId="6" xfId="0" applyFont="1" applyBorder="1" applyAlignment="1">
      <alignment vertical="center" wrapText="1"/>
    </xf>
    <xf numFmtId="0" fontId="10" fillId="5" borderId="1" xfId="0"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0" fontId="11" fillId="6" borderId="0" xfId="0" applyFont="1" applyFill="1" applyAlignment="1">
      <alignment horizontal="center" vertical="center" wrapText="1"/>
    </xf>
    <xf numFmtId="0" fontId="11" fillId="6" borderId="0" xfId="0" applyFont="1" applyFill="1" applyAlignment="1">
      <alignment horizontal="center" vertical="center"/>
    </xf>
    <xf numFmtId="164" fontId="11" fillId="6" borderId="0" xfId="0" applyNumberFormat="1" applyFont="1" applyFill="1" applyAlignment="1">
      <alignment vertical="center"/>
    </xf>
    <xf numFmtId="0" fontId="11" fillId="6" borderId="1" xfId="0" applyFont="1" applyFill="1" applyBorder="1" applyAlignment="1">
      <alignment horizontal="left" vertical="center"/>
    </xf>
    <xf numFmtId="164" fontId="11" fillId="0" borderId="1" xfId="0" applyNumberFormat="1" applyFont="1" applyBorder="1"/>
    <xf numFmtId="0" fontId="11" fillId="0" borderId="1" xfId="0" applyFont="1" applyBorder="1" applyAlignment="1">
      <alignment horizontal="center" wrapText="1"/>
    </xf>
    <xf numFmtId="0" fontId="10" fillId="0" borderId="1" xfId="0" applyFont="1" applyBorder="1" applyAlignment="1">
      <alignment vertical="center" wrapText="1"/>
    </xf>
    <xf numFmtId="0" fontId="11" fillId="0" borderId="1" xfId="0" applyFont="1" applyBorder="1" applyAlignment="1">
      <alignment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164" fontId="10" fillId="6" borderId="0" xfId="0" applyNumberFormat="1" applyFont="1" applyFill="1" applyAlignment="1">
      <alignment horizontal="center" vertical="center" wrapText="1"/>
    </xf>
    <xf numFmtId="6" fontId="10" fillId="0" borderId="1" xfId="0" applyNumberFormat="1" applyFont="1" applyBorder="1" applyAlignment="1">
      <alignment vertical="center"/>
    </xf>
    <xf numFmtId="164" fontId="11" fillId="6" borderId="0" xfId="0" applyNumberFormat="1" applyFont="1" applyFill="1"/>
    <xf numFmtId="0" fontId="11" fillId="6" borderId="6" xfId="0" applyFont="1" applyFill="1" applyBorder="1" applyAlignment="1">
      <alignment horizontal="center" vertical="center" wrapText="1"/>
    </xf>
    <xf numFmtId="0" fontId="11" fillId="6" borderId="6" xfId="0" applyFont="1" applyFill="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164" fontId="10" fillId="0" borderId="1" xfId="0" applyNumberFormat="1" applyFont="1" applyBorder="1" applyAlignment="1">
      <alignment horizontal="center"/>
    </xf>
    <xf numFmtId="0" fontId="10" fillId="0" borderId="1" xfId="0" applyFont="1" applyBorder="1"/>
    <xf numFmtId="0" fontId="10" fillId="0" borderId="1" xfId="0" applyFont="1" applyBorder="1" applyAlignment="1">
      <alignment horizontal="center" wrapText="1"/>
    </xf>
    <xf numFmtId="0" fontId="10" fillId="5" borderId="1" xfId="0" applyFont="1" applyFill="1" applyBorder="1" applyAlignment="1">
      <alignment horizontal="center" wrapText="1"/>
    </xf>
    <xf numFmtId="0" fontId="11" fillId="2" borderId="6" xfId="5" applyFont="1" applyFill="1" applyBorder="1" applyAlignment="1">
      <alignment horizontal="center" vertical="center"/>
    </xf>
    <xf numFmtId="0" fontId="11" fillId="2" borderId="6" xfId="5" applyFont="1" applyFill="1" applyBorder="1" applyAlignment="1">
      <alignment horizontal="center" vertical="center" wrapText="1"/>
    </xf>
    <xf numFmtId="164" fontId="11" fillId="2" borderId="6" xfId="5" applyNumberFormat="1" applyFont="1" applyFill="1" applyBorder="1" applyAlignment="1">
      <alignment horizontal="center" vertical="center" wrapText="1"/>
    </xf>
    <xf numFmtId="0" fontId="0" fillId="0" borderId="1" xfId="0" applyBorder="1"/>
    <xf numFmtId="0" fontId="0" fillId="7" borderId="1" xfId="0" applyFill="1" applyBorder="1"/>
    <xf numFmtId="165" fontId="0" fillId="7" borderId="1" xfId="0" applyNumberFormat="1" applyFill="1" applyBorder="1"/>
    <xf numFmtId="0" fontId="4" fillId="0" borderId="0" xfId="0" applyFont="1"/>
    <xf numFmtId="0" fontId="0" fillId="0" borderId="0" xfId="0" applyAlignment="1">
      <alignment horizontal="center" vertical="center"/>
    </xf>
    <xf numFmtId="0" fontId="11" fillId="2" borderId="1" xfId="5" applyFont="1" applyFill="1" applyBorder="1" applyAlignment="1">
      <alignment horizontal="center" vertical="center" wrapText="1"/>
    </xf>
    <xf numFmtId="0" fontId="0" fillId="7" borderId="1" xfId="0" applyFill="1" applyBorder="1" applyAlignment="1">
      <alignment wrapText="1"/>
    </xf>
    <xf numFmtId="166" fontId="0" fillId="7" borderId="1" xfId="0" applyNumberFormat="1" applyFill="1" applyBorder="1"/>
    <xf numFmtId="164" fontId="0" fillId="0" borderId="1" xfId="7" applyNumberFormat="1" applyFont="1" applyBorder="1"/>
    <xf numFmtId="165" fontId="0" fillId="0" borderId="1" xfId="7" applyNumberFormat="1" applyFont="1" applyBorder="1"/>
    <xf numFmtId="167" fontId="0" fillId="0" borderId="1" xfId="7" applyNumberFormat="1" applyFont="1" applyBorder="1"/>
    <xf numFmtId="164" fontId="0" fillId="0" borderId="0" xfId="0" applyNumberFormat="1"/>
    <xf numFmtId="164" fontId="0" fillId="7" borderId="1" xfId="0" applyNumberFormat="1" applyFill="1" applyBorder="1"/>
    <xf numFmtId="0" fontId="11" fillId="2" borderId="1" xfId="5" applyFont="1" applyFill="1" applyBorder="1" applyAlignment="1">
      <alignment horizontal="center" vertical="center"/>
    </xf>
    <xf numFmtId="0" fontId="11" fillId="2" borderId="0" xfId="5" applyFont="1" applyFill="1" applyAlignment="1">
      <alignment horizontal="center" vertical="center"/>
    </xf>
    <xf numFmtId="164" fontId="11" fillId="2" borderId="1" xfId="5" applyNumberFormat="1" applyFont="1" applyFill="1" applyBorder="1" applyAlignment="1">
      <alignment vertical="center"/>
    </xf>
    <xf numFmtId="164" fontId="11" fillId="2" borderId="1" xfId="5" applyNumberFormat="1" applyFont="1" applyFill="1" applyBorder="1" applyAlignment="1">
      <alignment vertical="center" wrapText="1"/>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1" xfId="0"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wrapText="1"/>
    </xf>
    <xf numFmtId="164" fontId="4" fillId="0" borderId="1" xfId="0" applyNumberFormat="1" applyFont="1" applyBorder="1" applyAlignment="1">
      <alignment vertical="center"/>
    </xf>
    <xf numFmtId="164" fontId="0" fillId="0" borderId="0" xfId="0" applyNumberFormat="1" applyAlignment="1">
      <alignment horizontal="center" wrapText="1"/>
    </xf>
    <xf numFmtId="0" fontId="0" fillId="2" borderId="1" xfId="0" applyFill="1" applyBorder="1" applyAlignment="1">
      <alignment vertical="center" wrapText="1"/>
    </xf>
    <xf numFmtId="16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0" fontId="11" fillId="2" borderId="1" xfId="9" applyFont="1" applyFill="1" applyBorder="1" applyAlignment="1">
      <alignment horizontal="center" vertical="center" wrapText="1"/>
    </xf>
    <xf numFmtId="164" fontId="11" fillId="2" borderId="1" xfId="9" applyNumberFormat="1" applyFont="1" applyFill="1" applyBorder="1" applyAlignment="1">
      <alignment horizontal="center" vertical="center" wrapText="1"/>
    </xf>
    <xf numFmtId="44" fontId="11" fillId="2" borderId="1" xfId="9" applyNumberFormat="1" applyFont="1" applyFill="1" applyBorder="1" applyAlignment="1">
      <alignment horizontal="center" vertical="center" wrapText="1"/>
    </xf>
    <xf numFmtId="0" fontId="11" fillId="2" borderId="1" xfId="9" applyFont="1" applyFill="1" applyBorder="1" applyAlignment="1">
      <alignment horizontal="center" vertical="center"/>
    </xf>
    <xf numFmtId="42" fontId="11" fillId="2" borderId="1" xfId="9" applyNumberFormat="1" applyFont="1" applyFill="1" applyBorder="1" applyAlignment="1">
      <alignment vertical="center"/>
    </xf>
    <xf numFmtId="44" fontId="11" fillId="2" borderId="1" xfId="9" applyNumberFormat="1" applyFont="1" applyFill="1" applyBorder="1" applyAlignment="1">
      <alignment horizontal="left" vertical="center" wrapText="1"/>
    </xf>
    <xf numFmtId="0" fontId="11" fillId="4" borderId="4" xfId="9" applyFont="1" applyFill="1" applyBorder="1" applyAlignment="1">
      <alignment horizontal="center" vertical="center"/>
    </xf>
    <xf numFmtId="42" fontId="11" fillId="4" borderId="4" xfId="9" applyNumberFormat="1" applyFont="1" applyFill="1" applyBorder="1" applyAlignment="1">
      <alignment vertical="center"/>
    </xf>
    <xf numFmtId="164" fontId="11" fillId="4" borderId="4" xfId="9" applyNumberFormat="1" applyFont="1" applyFill="1" applyBorder="1" applyAlignment="1">
      <alignment horizontal="center" vertical="center" wrapText="1"/>
    </xf>
    <xf numFmtId="42" fontId="11" fillId="4" borderId="4" xfId="9" applyNumberFormat="1" applyFont="1" applyFill="1" applyBorder="1" applyAlignment="1">
      <alignment horizontal="right" vertical="center"/>
    </xf>
    <xf numFmtId="44" fontId="11" fillId="4" borderId="4" xfId="9" applyNumberFormat="1" applyFont="1" applyFill="1" applyBorder="1" applyAlignment="1">
      <alignment horizontal="left" vertical="center" wrapText="1"/>
    </xf>
    <xf numFmtId="44" fontId="11" fillId="4" borderId="4" xfId="9" applyNumberFormat="1"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6" xfId="0" applyFont="1" applyFill="1" applyBorder="1" applyAlignment="1">
      <alignment horizontal="right" vertical="center" wrapText="1"/>
    </xf>
    <xf numFmtId="164" fontId="4" fillId="2" borderId="6"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horizontal="left"/>
    </xf>
    <xf numFmtId="164" fontId="11" fillId="7" borderId="1" xfId="5" applyNumberFormat="1" applyFont="1" applyFill="1" applyBorder="1" applyAlignment="1">
      <alignment horizontal="center" vertical="center" wrapText="1"/>
    </xf>
    <xf numFmtId="44" fontId="11" fillId="7" borderId="1" xfId="5" applyNumberFormat="1" applyFont="1" applyFill="1" applyBorder="1" applyAlignment="1">
      <alignment horizontal="center" vertical="center" wrapText="1"/>
    </xf>
    <xf numFmtId="164" fontId="11" fillId="0" borderId="1" xfId="0" applyNumberFormat="1" applyFont="1" applyBorder="1" applyAlignment="1">
      <alignment horizontal="center" wrapText="1"/>
    </xf>
    <xf numFmtId="42" fontId="0" fillId="0" borderId="1" xfId="7" applyNumberFormat="1" applyFont="1" applyBorder="1"/>
    <xf numFmtId="0" fontId="11" fillId="4" borderId="1" xfId="11" applyFont="1" applyFill="1" applyBorder="1" applyAlignment="1">
      <alignment horizontal="left" vertical="center" wrapText="1"/>
    </xf>
    <xf numFmtId="164" fontId="11" fillId="4" borderId="1" xfId="11" applyNumberFormat="1" applyFont="1" applyFill="1" applyBorder="1" applyAlignment="1">
      <alignment horizontal="center" vertical="center" wrapText="1"/>
    </xf>
    <xf numFmtId="44" fontId="11" fillId="4" borderId="1" xfId="11" applyNumberFormat="1" applyFont="1" applyFill="1" applyBorder="1" applyAlignment="1">
      <alignment horizontal="center" vertical="center" wrapText="1"/>
    </xf>
    <xf numFmtId="14" fontId="11" fillId="4" borderId="1" xfId="11" applyNumberFormat="1" applyFont="1" applyFill="1" applyBorder="1" applyAlignment="1">
      <alignment horizontal="center" vertical="center" wrapText="1"/>
    </xf>
    <xf numFmtId="164" fontId="11" fillId="0" borderId="1" xfId="11" applyNumberFormat="1" applyFont="1" applyBorder="1" applyAlignment="1">
      <alignment horizontal="center" vertical="center" wrapText="1"/>
    </xf>
    <xf numFmtId="44" fontId="11" fillId="0" borderId="1" xfId="11" applyNumberFormat="1" applyFont="1" applyBorder="1" applyAlignment="1">
      <alignment horizontal="center" vertical="center" wrapText="1"/>
    </xf>
    <xf numFmtId="14" fontId="11" fillId="0" borderId="1" xfId="11" applyNumberFormat="1" applyFont="1" applyBorder="1" applyAlignment="1">
      <alignment horizontal="center" vertical="center" wrapText="1"/>
    </xf>
    <xf numFmtId="0" fontId="18" fillId="0" borderId="0" xfId="0" applyFont="1"/>
    <xf numFmtId="0" fontId="18" fillId="7" borderId="1" xfId="0" applyFont="1" applyFill="1" applyBorder="1" applyAlignment="1">
      <alignment vertical="center"/>
    </xf>
    <xf numFmtId="0" fontId="18" fillId="7" borderId="1" xfId="0" applyFont="1" applyFill="1" applyBorder="1" applyAlignment="1">
      <alignment horizontal="center" vertical="center" wrapText="1"/>
    </xf>
    <xf numFmtId="0" fontId="18" fillId="7" borderId="1" xfId="0" applyFont="1" applyFill="1" applyBorder="1" applyAlignment="1">
      <alignment horizontal="right"/>
    </xf>
    <xf numFmtId="164" fontId="0" fillId="7" borderId="1" xfId="0" applyNumberFormat="1" applyFill="1" applyBorder="1" applyAlignment="1">
      <alignment horizontal="center"/>
    </xf>
    <xf numFmtId="164" fontId="0" fillId="7" borderId="1" xfId="10" applyNumberFormat="1" applyFont="1" applyFill="1" applyBorder="1" applyAlignment="1">
      <alignment horizontal="center"/>
    </xf>
    <xf numFmtId="0" fontId="19" fillId="0" borderId="0" xfId="0" applyFont="1" applyAlignment="1">
      <alignment wrapText="1"/>
    </xf>
    <xf numFmtId="0" fontId="8" fillId="2" borderId="3" xfId="3" applyFont="1" applyFill="1" applyBorder="1" applyAlignment="1">
      <alignment horizontal="center" wrapText="1"/>
    </xf>
    <xf numFmtId="0" fontId="12" fillId="2" borderId="1" xfId="3" applyFont="1" applyFill="1" applyBorder="1" applyAlignment="1">
      <alignment horizontal="center" wrapText="1"/>
    </xf>
    <xf numFmtId="0" fontId="4" fillId="0" borderId="0" xfId="0" applyFont="1" applyAlignment="1">
      <alignment wrapText="1"/>
    </xf>
    <xf numFmtId="0" fontId="4" fillId="0" borderId="0" xfId="0" applyFont="1" applyAlignment="1">
      <alignment vertical="top" wrapText="1"/>
    </xf>
    <xf numFmtId="0" fontId="4" fillId="3" borderId="1" xfId="0" applyFont="1" applyFill="1" applyBorder="1" applyAlignment="1">
      <alignment vertical="top" wrapText="1"/>
    </xf>
    <xf numFmtId="14" fontId="4" fillId="3" borderId="1" xfId="0" applyNumberFormat="1"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164" fontId="5" fillId="3" borderId="2" xfId="0" applyNumberFormat="1" applyFont="1" applyFill="1" applyBorder="1" applyAlignment="1">
      <alignment horizontal="right" vertical="top" wrapText="1"/>
    </xf>
    <xf numFmtId="0" fontId="4" fillId="3" borderId="1" xfId="0" applyFont="1" applyFill="1" applyBorder="1" applyAlignment="1">
      <alignment wrapText="1"/>
    </xf>
    <xf numFmtId="164" fontId="4" fillId="3" borderId="1" xfId="0" applyNumberFormat="1" applyFont="1" applyFill="1" applyBorder="1" applyAlignment="1">
      <alignment horizontal="center" wrapText="1"/>
    </xf>
    <xf numFmtId="0" fontId="4" fillId="0" borderId="0" xfId="0" applyFont="1" applyAlignment="1">
      <alignment horizontal="right" wrapText="1"/>
    </xf>
    <xf numFmtId="0" fontId="11" fillId="0" borderId="0" xfId="0" applyFont="1" applyAlignment="1">
      <alignment horizontal="left" vertical="center"/>
    </xf>
    <xf numFmtId="0" fontId="11" fillId="0" borderId="0" xfId="0" applyFont="1" applyAlignment="1">
      <alignment wrapText="1"/>
    </xf>
    <xf numFmtId="0" fontId="11" fillId="0" borderId="0" xfId="0" applyFont="1"/>
    <xf numFmtId="164" fontId="11" fillId="0" borderId="0" xfId="0" applyNumberFormat="1" applyFont="1"/>
    <xf numFmtId="0" fontId="11" fillId="0" borderId="0" xfId="0" applyFont="1" applyAlignment="1">
      <alignment horizont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wrapText="1"/>
    </xf>
    <xf numFmtId="6" fontId="10" fillId="0" borderId="6" xfId="0" applyNumberFormat="1" applyFont="1" applyBorder="1" applyAlignment="1">
      <alignment vertical="center"/>
    </xf>
    <xf numFmtId="0" fontId="10" fillId="0" borderId="0" xfId="0" applyFont="1"/>
    <xf numFmtId="6" fontId="11" fillId="0" borderId="4" xfId="0" applyNumberFormat="1" applyFont="1" applyBorder="1" applyAlignment="1">
      <alignment vertical="center"/>
    </xf>
    <xf numFmtId="0" fontId="11" fillId="0" borderId="1" xfId="0" quotePrefix="1" applyFont="1" applyBorder="1" applyAlignment="1">
      <alignment horizontal="left" vertical="center"/>
    </xf>
    <xf numFmtId="0" fontId="11" fillId="0" borderId="6" xfId="0" quotePrefix="1" applyFont="1" applyBorder="1" applyAlignment="1">
      <alignment horizontal="left" vertical="center"/>
    </xf>
    <xf numFmtId="0" fontId="11" fillId="0" borderId="6" xfId="0" applyFont="1" applyBorder="1" applyAlignment="1">
      <alignment horizontal="left" vertical="center" wrapText="1"/>
    </xf>
    <xf numFmtId="164" fontId="11" fillId="0" borderId="6" xfId="0" applyNumberFormat="1" applyFont="1" applyBorder="1" applyAlignment="1">
      <alignment vertical="center"/>
    </xf>
    <xf numFmtId="0" fontId="11" fillId="0" borderId="6" xfId="0" applyFont="1" applyBorder="1" applyAlignment="1">
      <alignment horizontal="center" vertical="center" wrapText="1"/>
    </xf>
    <xf numFmtId="44" fontId="0" fillId="0" borderId="0" xfId="0" applyNumberFormat="1"/>
    <xf numFmtId="0" fontId="0" fillId="4" borderId="1" xfId="0" applyFill="1" applyBorder="1"/>
    <xf numFmtId="0" fontId="0" fillId="4" borderId="1" xfId="0" applyFill="1" applyBorder="1" applyAlignment="1">
      <alignment wrapText="1"/>
    </xf>
    <xf numFmtId="164" fontId="0" fillId="4" borderId="1" xfId="0" applyNumberFormat="1" applyFill="1" applyBorder="1" applyAlignment="1">
      <alignment horizontal="center"/>
    </xf>
    <xf numFmtId="164" fontId="4" fillId="4" borderId="1" xfId="0" applyNumberFormat="1" applyFont="1" applyFill="1" applyBorder="1" applyAlignment="1">
      <alignment horizontal="center"/>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12" fillId="4" borderId="1" xfId="2" applyFont="1" applyFill="1" applyBorder="1" applyAlignment="1">
      <alignment horizontal="left"/>
    </xf>
    <xf numFmtId="0" fontId="4" fillId="4" borderId="1" xfId="0" applyFont="1" applyFill="1" applyBorder="1"/>
    <xf numFmtId="164" fontId="4" fillId="4" borderId="1" xfId="10" applyNumberFormat="1" applyFont="1" applyFill="1" applyBorder="1" applyAlignment="1">
      <alignment horizontal="center"/>
    </xf>
    <xf numFmtId="164" fontId="4" fillId="4" borderId="1" xfId="10" applyNumberFormat="1" applyFont="1" applyFill="1" applyBorder="1" applyAlignment="1">
      <alignment horizontal="center" wrapText="1"/>
    </xf>
    <xf numFmtId="164" fontId="4" fillId="4" borderId="1" xfId="10" applyNumberFormat="1" applyFont="1" applyFill="1" applyBorder="1" applyAlignment="1">
      <alignment horizontal="center" vertical="center" wrapText="1"/>
    </xf>
    <xf numFmtId="0" fontId="4" fillId="4" borderId="3" xfId="0" applyFont="1" applyFill="1" applyBorder="1" applyAlignment="1">
      <alignment wrapText="1"/>
    </xf>
    <xf numFmtId="164" fontId="0" fillId="7" borderId="1" xfId="13" applyNumberFormat="1" applyFont="1" applyFill="1" applyBorder="1" applyAlignment="1">
      <alignment horizontal="center"/>
    </xf>
    <xf numFmtId="164" fontId="0" fillId="7" borderId="1" xfId="13" applyNumberFormat="1" applyFont="1" applyFill="1" applyBorder="1" applyAlignment="1">
      <alignment horizontal="center" vertical="center"/>
    </xf>
    <xf numFmtId="9" fontId="4" fillId="4" borderId="7" xfId="0" applyNumberFormat="1" applyFont="1" applyFill="1" applyBorder="1" applyAlignment="1">
      <alignment horizontal="center" vertical="center" wrapText="1"/>
    </xf>
    <xf numFmtId="0" fontId="4" fillId="4" borderId="1" xfId="0" applyFont="1" applyFill="1" applyBorder="1" applyAlignment="1">
      <alignment wrapText="1"/>
    </xf>
    <xf numFmtId="164" fontId="4" fillId="4" borderId="1" xfId="1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1" fillId="4" borderId="0" xfId="0" applyFont="1" applyFill="1" applyAlignment="1">
      <alignment vertical="center"/>
    </xf>
    <xf numFmtId="3" fontId="4" fillId="4" borderId="1" xfId="0" applyNumberFormat="1" applyFont="1" applyFill="1" applyBorder="1" applyAlignment="1">
      <alignment horizontal="center" vertical="center"/>
    </xf>
    <xf numFmtId="0" fontId="4" fillId="4" borderId="0" xfId="0" applyFont="1" applyFill="1" applyAlignment="1">
      <alignment horizontal="center" vertical="center" wrapText="1"/>
    </xf>
    <xf numFmtId="0" fontId="12" fillId="4" borderId="1" xfId="10" applyNumberFormat="1" applyFont="1" applyFill="1" applyBorder="1" applyAlignment="1">
      <alignment horizontal="left"/>
    </xf>
    <xf numFmtId="0" fontId="4" fillId="4" borderId="1" xfId="10" applyNumberFormat="1" applyFont="1" applyFill="1" applyBorder="1" applyAlignment="1">
      <alignment wrapText="1"/>
    </xf>
    <xf numFmtId="37" fontId="4" fillId="4" borderId="1" xfId="10" applyNumberFormat="1" applyFont="1" applyFill="1" applyBorder="1" applyAlignment="1">
      <alignment horizontal="center" vertical="center"/>
    </xf>
    <xf numFmtId="37" fontId="4" fillId="4" borderId="1" xfId="1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3" fontId="4" fillId="4" borderId="0" xfId="0" applyNumberFormat="1" applyFont="1" applyFill="1" applyAlignment="1">
      <alignment horizontal="center" vertical="center"/>
    </xf>
    <xf numFmtId="0" fontId="4" fillId="4" borderId="0" xfId="0" applyFont="1" applyFill="1" applyAlignment="1">
      <alignment horizontal="center" vertical="center"/>
    </xf>
    <xf numFmtId="14" fontId="0" fillId="4" borderId="1" xfId="0" applyNumberFormat="1" applyFill="1" applyBorder="1" applyAlignment="1">
      <alignment horizontal="center" vertical="center"/>
    </xf>
    <xf numFmtId="0" fontId="4" fillId="4" borderId="6" xfId="0" applyFont="1" applyFill="1" applyBorder="1" applyAlignment="1">
      <alignment horizontal="left" vertical="center" wrapText="1"/>
    </xf>
    <xf numFmtId="0" fontId="13" fillId="4" borderId="6" xfId="0" applyFont="1" applyFill="1" applyBorder="1" applyAlignment="1">
      <alignment horizontal="center" vertical="center" wrapText="1"/>
    </xf>
    <xf numFmtId="14" fontId="13" fillId="4" borderId="6"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0" fillId="4" borderId="0" xfId="0" applyFill="1"/>
    <xf numFmtId="0" fontId="0" fillId="4" borderId="4" xfId="0" applyFill="1" applyBorder="1"/>
    <xf numFmtId="0" fontId="18" fillId="4" borderId="0" xfId="0" applyFont="1" applyFill="1" applyAlignment="1">
      <alignment vertical="center"/>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0" fontId="0" fillId="4" borderId="1" xfId="0" applyFill="1" applyBorder="1" applyAlignment="1">
      <alignment vertical="center"/>
    </xf>
    <xf numFmtId="0" fontId="4" fillId="4" borderId="3" xfId="0" applyFont="1" applyFill="1" applyBorder="1" applyAlignment="1">
      <alignment vertical="center" wrapText="1"/>
    </xf>
    <xf numFmtId="164" fontId="0" fillId="4" borderId="1" xfId="10" applyNumberFormat="1" applyFont="1" applyFill="1" applyBorder="1" applyAlignment="1">
      <alignment horizontal="center" vertical="center"/>
    </xf>
    <xf numFmtId="0" fontId="18" fillId="4" borderId="4" xfId="0" applyFont="1" applyFill="1" applyBorder="1" applyAlignment="1">
      <alignment horizontal="right"/>
    </xf>
    <xf numFmtId="164" fontId="0" fillId="4" borderId="4" xfId="10" applyNumberFormat="1" applyFont="1" applyFill="1" applyBorder="1"/>
    <xf numFmtId="164" fontId="0" fillId="4" borderId="4" xfId="0" applyNumberFormat="1" applyFill="1" applyBorder="1"/>
    <xf numFmtId="169" fontId="0" fillId="4" borderId="4" xfId="10" applyNumberFormat="1" applyFont="1" applyFill="1" applyBorder="1"/>
    <xf numFmtId="0" fontId="4" fillId="4" borderId="7" xfId="0" applyFont="1" applyFill="1" applyBorder="1" applyAlignment="1">
      <alignment horizontal="left" vertical="center"/>
    </xf>
    <xf numFmtId="0" fontId="4" fillId="4" borderId="7" xfId="0" applyFont="1" applyFill="1" applyBorder="1" applyAlignment="1">
      <alignment horizontal="right" vertical="center" wrapText="1"/>
    </xf>
    <xf numFmtId="164" fontId="4" fillId="4" borderId="7"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0" fontId="4" fillId="0" borderId="5" xfId="0" applyFont="1" applyBorder="1" applyAlignment="1">
      <alignment horizontal="center" vertical="center" wrapText="1"/>
    </xf>
    <xf numFmtId="42" fontId="11" fillId="4" borderId="1" xfId="13" applyNumberFormat="1" applyFont="1" applyFill="1" applyBorder="1" applyAlignment="1">
      <alignment horizontal="right" vertical="center"/>
    </xf>
    <xf numFmtId="164" fontId="10" fillId="0" borderId="1" xfId="0" applyNumberFormat="1" applyFont="1" applyBorder="1"/>
    <xf numFmtId="0" fontId="22" fillId="4" borderId="1" xfId="0" applyFont="1" applyFill="1" applyBorder="1" applyAlignment="1">
      <alignment horizontal="left"/>
    </xf>
    <xf numFmtId="164" fontId="22" fillId="4" borderId="1" xfId="0" applyNumberFormat="1" applyFont="1" applyFill="1" applyBorder="1" applyAlignment="1">
      <alignment horizontal="left"/>
    </xf>
    <xf numFmtId="164" fontId="22" fillId="4" borderId="1" xfId="7" applyNumberFormat="1" applyFont="1" applyFill="1" applyBorder="1" applyAlignment="1">
      <alignment horizontal="center" vertical="center" wrapText="1"/>
    </xf>
    <xf numFmtId="164" fontId="22" fillId="4" borderId="1" xfId="0" applyNumberFormat="1" applyFont="1" applyFill="1" applyBorder="1" applyAlignment="1">
      <alignment horizontal="center"/>
    </xf>
    <xf numFmtId="164" fontId="22" fillId="2" borderId="6" xfId="0" applyNumberFormat="1" applyFont="1" applyFill="1" applyBorder="1" applyAlignment="1">
      <alignment horizontal="center" vertical="center"/>
    </xf>
    <xf numFmtId="0" fontId="22" fillId="2" borderId="6" xfId="0" applyFont="1" applyFill="1" applyBorder="1" applyAlignment="1">
      <alignment horizontal="left" vertical="center"/>
    </xf>
    <xf numFmtId="0" fontId="22" fillId="2" borderId="6" xfId="0" applyFont="1" applyFill="1" applyBorder="1" applyAlignment="1">
      <alignment horizontal="right" vertical="center" wrapText="1"/>
    </xf>
    <xf numFmtId="164" fontId="22" fillId="2" borderId="6" xfId="7" applyNumberFormat="1" applyFont="1" applyFill="1" applyBorder="1" applyAlignment="1">
      <alignment horizontal="center" vertical="center" wrapText="1"/>
    </xf>
    <xf numFmtId="9" fontId="22" fillId="2" borderId="6" xfId="0" applyNumberFormat="1" applyFont="1" applyFill="1" applyBorder="1" applyAlignment="1">
      <alignment horizontal="center" vertical="center" wrapText="1"/>
    </xf>
    <xf numFmtId="9" fontId="22" fillId="2" borderId="6" xfId="0" applyNumberFormat="1" applyFont="1" applyFill="1" applyBorder="1" applyAlignment="1">
      <alignment horizontal="center" vertical="center"/>
    </xf>
    <xf numFmtId="0" fontId="4" fillId="4" borderId="1" xfId="14" applyFont="1" applyFill="1" applyBorder="1" applyAlignment="1">
      <alignment horizontal="left"/>
    </xf>
    <xf numFmtId="164" fontId="4" fillId="4" borderId="1" xfId="14" applyNumberFormat="1" applyFont="1" applyFill="1" applyBorder="1" applyAlignment="1">
      <alignment horizontal="left" wrapText="1"/>
    </xf>
    <xf numFmtId="164" fontId="4" fillId="4" borderId="1" xfId="14" applyNumberFormat="1" applyFont="1" applyFill="1" applyBorder="1" applyAlignment="1">
      <alignment horizontal="center"/>
    </xf>
    <xf numFmtId="164" fontId="22" fillId="4" borderId="6" xfId="0" applyNumberFormat="1" applyFont="1" applyFill="1" applyBorder="1" applyAlignment="1">
      <alignment horizontal="center" vertical="center"/>
    </xf>
    <xf numFmtId="0" fontId="0" fillId="4" borderId="1" xfId="0" applyFill="1" applyBorder="1" applyAlignment="1">
      <alignment vertical="center" wrapText="1"/>
    </xf>
    <xf numFmtId="0" fontId="4" fillId="4" borderId="8" xfId="0" applyFont="1" applyFill="1" applyBorder="1" applyAlignment="1">
      <alignment wrapText="1"/>
    </xf>
    <xf numFmtId="164" fontId="4" fillId="4" borderId="1" xfId="0" applyNumberFormat="1" applyFont="1" applyFill="1" applyBorder="1" applyAlignment="1">
      <alignment horizontal="center" wrapText="1"/>
    </xf>
    <xf numFmtId="14" fontId="0" fillId="4" borderId="1" xfId="0" applyNumberFormat="1" applyFill="1" applyBorder="1" applyAlignment="1">
      <alignment horizontal="center"/>
    </xf>
    <xf numFmtId="0" fontId="4" fillId="4" borderId="1" xfId="0" applyFont="1" applyFill="1" applyBorder="1" applyAlignment="1">
      <alignment horizontal="left" wrapText="1"/>
    </xf>
    <xf numFmtId="44" fontId="0" fillId="0" borderId="1" xfId="13" applyFont="1" applyBorder="1"/>
    <xf numFmtId="0" fontId="26" fillId="7" borderId="0" xfId="0" applyFont="1" applyFill="1"/>
    <xf numFmtId="0" fontId="10" fillId="5" borderId="2" xfId="0" applyFont="1" applyFill="1" applyBorder="1" applyAlignment="1">
      <alignment horizontal="center" vertical="center" wrapText="1"/>
    </xf>
    <xf numFmtId="0" fontId="10" fillId="0" borderId="2" xfId="0" applyFont="1" applyBorder="1" applyAlignment="1">
      <alignment vertical="center" wrapText="1"/>
    </xf>
    <xf numFmtId="14" fontId="11" fillId="0" borderId="6" xfId="0" applyNumberFormat="1" applyFont="1" applyBorder="1" applyAlignment="1">
      <alignment horizontal="right" vertical="center"/>
    </xf>
    <xf numFmtId="14" fontId="11" fillId="0" borderId="6" xfId="0" applyNumberFormat="1" applyFont="1" applyBorder="1" applyAlignment="1">
      <alignment horizontal="right" vertical="center" wrapText="1"/>
    </xf>
    <xf numFmtId="14" fontId="11" fillId="0" borderId="1" xfId="0" applyNumberFormat="1" applyFont="1" applyBorder="1" applyAlignment="1">
      <alignment horizontal="right" vertical="center" wrapText="1"/>
    </xf>
    <xf numFmtId="0" fontId="13" fillId="0" borderId="1" xfId="0" applyFont="1" applyBorder="1" applyAlignment="1">
      <alignment wrapText="1"/>
    </xf>
    <xf numFmtId="0" fontId="4" fillId="0" borderId="1" xfId="0" applyFont="1" applyBorder="1"/>
    <xf numFmtId="0" fontId="11" fillId="7" borderId="1" xfId="5" applyFont="1" applyFill="1" applyBorder="1" applyAlignment="1">
      <alignment horizontal="center" vertical="center" wrapText="1"/>
    </xf>
    <xf numFmtId="0" fontId="0" fillId="0" borderId="1" xfId="0" applyBorder="1" applyAlignment="1">
      <alignment horizontal="left"/>
    </xf>
    <xf numFmtId="164" fontId="11" fillId="8" borderId="1" xfId="5" applyNumberFormat="1" applyFont="1" applyFill="1" applyBorder="1" applyAlignment="1">
      <alignment horizontal="center" vertical="center" wrapText="1"/>
    </xf>
    <xf numFmtId="44" fontId="11" fillId="8" borderId="1" xfId="5" applyNumberFormat="1" applyFont="1" applyFill="1" applyBorder="1" applyAlignment="1">
      <alignment horizontal="center" vertical="center" wrapText="1"/>
    </xf>
    <xf numFmtId="164" fontId="11" fillId="7" borderId="6" xfId="5" applyNumberFormat="1" applyFont="1" applyFill="1" applyBorder="1" applyAlignment="1">
      <alignment horizontal="center" vertical="center" wrapText="1"/>
    </xf>
    <xf numFmtId="44" fontId="11" fillId="7" borderId="6" xfId="5" applyNumberFormat="1" applyFont="1" applyFill="1" applyBorder="1" applyAlignment="1">
      <alignment horizontal="center" vertical="center" wrapText="1"/>
    </xf>
    <xf numFmtId="164" fontId="11" fillId="7" borderId="1" xfId="5" applyNumberFormat="1" applyFont="1" applyFill="1" applyBorder="1" applyAlignment="1">
      <alignment horizontal="right" vertical="center"/>
    </xf>
    <xf numFmtId="44" fontId="11" fillId="7" borderId="1" xfId="5" applyNumberFormat="1" applyFont="1" applyFill="1" applyBorder="1" applyAlignment="1">
      <alignment horizontal="left" vertical="center" wrapText="1"/>
    </xf>
    <xf numFmtId="164" fontId="0" fillId="7" borderId="1" xfId="0" applyNumberFormat="1" applyFill="1" applyBorder="1" applyAlignment="1">
      <alignment horizontal="center" wrapText="1"/>
    </xf>
    <xf numFmtId="0" fontId="0" fillId="7" borderId="1" xfId="0" applyFill="1" applyBorder="1" applyAlignment="1">
      <alignment horizontal="center" wrapText="1"/>
    </xf>
    <xf numFmtId="164" fontId="0" fillId="7" borderId="1" xfId="0" applyNumberFormat="1" applyFill="1" applyBorder="1" applyAlignment="1">
      <alignment vertical="center"/>
    </xf>
    <xf numFmtId="164" fontId="0" fillId="7" borderId="1" xfId="0" applyNumberFormat="1" applyFill="1" applyBorder="1" applyAlignment="1">
      <alignment horizontal="center" vertical="center" wrapText="1"/>
    </xf>
    <xf numFmtId="14" fontId="0" fillId="7" borderId="1" xfId="0" applyNumberFormat="1" applyFill="1" applyBorder="1" applyAlignment="1">
      <alignment vertical="center"/>
    </xf>
    <xf numFmtId="0" fontId="0" fillId="9" borderId="0" xfId="0" applyFill="1"/>
    <xf numFmtId="0" fontId="27" fillId="0" borderId="0" xfId="0" applyFont="1"/>
    <xf numFmtId="164" fontId="27" fillId="0" borderId="1" xfId="0" applyNumberFormat="1" applyFont="1" applyBorder="1"/>
    <xf numFmtId="0" fontId="27" fillId="0" borderId="1" xfId="0" applyFont="1" applyBorder="1"/>
    <xf numFmtId="164" fontId="27" fillId="0" borderId="5" xfId="0" applyNumberFormat="1" applyFont="1" applyBorder="1"/>
    <xf numFmtId="0" fontId="27" fillId="0" borderId="5" xfId="0" applyFont="1" applyBorder="1"/>
    <xf numFmtId="0" fontId="4" fillId="0" borderId="1" xfId="0" applyFont="1" applyBorder="1" applyAlignment="1">
      <alignment vertical="top" wrapText="1"/>
    </xf>
    <xf numFmtId="14" fontId="4" fillId="0" borderId="1" xfId="0" applyNumberFormat="1" applyFont="1" applyBorder="1" applyAlignment="1">
      <alignment horizontal="left" vertical="top" wrapText="1"/>
    </xf>
    <xf numFmtId="14" fontId="4" fillId="0" borderId="1" xfId="3" applyNumberFormat="1" applyFont="1" applyBorder="1" applyAlignment="1">
      <alignment horizontal="center" vertical="top" wrapText="1"/>
    </xf>
    <xf numFmtId="0" fontId="4" fillId="0" borderId="3" xfId="3" applyFont="1" applyBorder="1" applyAlignment="1">
      <alignment horizontal="left" vertical="top" wrapText="1"/>
    </xf>
    <xf numFmtId="0" fontId="4" fillId="0" borderId="1" xfId="3" applyFont="1" applyBorder="1" applyAlignment="1">
      <alignment horizontal="center" vertical="top" wrapText="1"/>
    </xf>
    <xf numFmtId="0" fontId="4" fillId="0" borderId="1" xfId="3" applyFont="1" applyBorder="1" applyAlignment="1">
      <alignment horizontal="left" vertical="top" wrapText="1"/>
    </xf>
    <xf numFmtId="164" fontId="4" fillId="0" borderId="1" xfId="3" applyNumberFormat="1" applyFont="1" applyBorder="1" applyAlignment="1">
      <alignment horizontal="right" vertical="top" wrapText="1"/>
    </xf>
    <xf numFmtId="164" fontId="4" fillId="0" borderId="2" xfId="3" applyNumberFormat="1" applyFont="1" applyBorder="1" applyAlignment="1">
      <alignment horizontal="right" vertical="top" wrapText="1"/>
    </xf>
    <xf numFmtId="0" fontId="4" fillId="0" borderId="3" xfId="0" applyFont="1" applyBorder="1" applyAlignment="1">
      <alignment vertical="top" wrapText="1"/>
    </xf>
    <xf numFmtId="14" fontId="4" fillId="0" borderId="1" xfId="0" quotePrefix="1" applyNumberFormat="1" applyFont="1" applyBorder="1" applyAlignment="1">
      <alignment horizontal="center" vertical="top" wrapText="1"/>
    </xf>
    <xf numFmtId="0" fontId="4" fillId="0" borderId="3" xfId="0" applyFont="1" applyBorder="1" applyAlignment="1">
      <alignment horizontal="left" vertical="top" wrapText="1"/>
    </xf>
    <xf numFmtId="0" fontId="4" fillId="0" borderId="1" xfId="0" applyFont="1" applyBorder="1" applyAlignment="1">
      <alignment horizontal="center" vertical="top" wrapText="1"/>
    </xf>
    <xf numFmtId="0" fontId="4" fillId="0" borderId="1" xfId="4" applyBorder="1" applyAlignment="1">
      <alignment vertical="top" wrapText="1"/>
    </xf>
    <xf numFmtId="164" fontId="4" fillId="0" borderId="1" xfId="4" applyNumberFormat="1" applyBorder="1" applyAlignment="1">
      <alignment vertical="top"/>
    </xf>
    <xf numFmtId="164" fontId="4" fillId="0" borderId="2" xfId="4" applyNumberFormat="1" applyBorder="1" applyAlignment="1">
      <alignment horizontal="right" vertical="top"/>
    </xf>
    <xf numFmtId="164" fontId="4" fillId="0" borderId="1" xfId="0" applyNumberFormat="1" applyFont="1" applyBorder="1" applyAlignment="1">
      <alignment horizontal="right" vertical="top" wrapText="1"/>
    </xf>
    <xf numFmtId="14" fontId="4" fillId="0" borderId="1" xfId="0" applyNumberFormat="1" applyFont="1" applyBorder="1" applyAlignment="1">
      <alignment horizontal="center" vertical="top" wrapText="1"/>
    </xf>
    <xf numFmtId="0" fontId="4" fillId="0" borderId="0" xfId="5" applyAlignment="1">
      <alignment horizontal="center" vertical="center"/>
    </xf>
    <xf numFmtId="0" fontId="4" fillId="2" borderId="1" xfId="5" applyFill="1" applyBorder="1" applyAlignment="1">
      <alignment horizontal="left" vertical="center"/>
    </xf>
    <xf numFmtId="0" fontId="4" fillId="2" borderId="1" xfId="5" applyFill="1" applyBorder="1" applyAlignment="1">
      <alignment horizontal="left" vertical="center" wrapText="1"/>
    </xf>
    <xf numFmtId="164" fontId="4" fillId="2" borderId="1" xfId="5" applyNumberFormat="1" applyFill="1" applyBorder="1" applyAlignment="1">
      <alignment horizontal="center" vertical="center" wrapText="1"/>
    </xf>
    <xf numFmtId="44" fontId="4" fillId="2" borderId="1" xfId="5" applyNumberFormat="1" applyFill="1" applyBorder="1" applyAlignment="1">
      <alignment horizontal="center" vertical="center" wrapText="1"/>
    </xf>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xf>
    <xf numFmtId="0" fontId="29" fillId="0" borderId="6" xfId="0" applyFont="1" applyBorder="1"/>
    <xf numFmtId="0" fontId="22" fillId="0" borderId="6" xfId="0" applyFont="1" applyBorder="1"/>
    <xf numFmtId="164" fontId="22" fillId="0" borderId="6" xfId="7" applyNumberFormat="1" applyFont="1" applyBorder="1" applyAlignment="1">
      <alignment horizontal="center" vertical="center" wrapText="1"/>
    </xf>
    <xf numFmtId="164" fontId="29" fillId="0" borderId="6" xfId="0" applyNumberFormat="1" applyFont="1" applyBorder="1" applyAlignment="1">
      <alignment horizontal="center"/>
    </xf>
    <xf numFmtId="164" fontId="22" fillId="0" borderId="6" xfId="0" applyNumberFormat="1" applyFont="1" applyBorder="1" applyAlignment="1">
      <alignment horizontal="center" vertical="center"/>
    </xf>
    <xf numFmtId="0" fontId="22" fillId="0" borderId="6" xfId="0" applyFont="1" applyBorder="1" applyAlignment="1">
      <alignment horizontal="center" vertical="center" wrapText="1"/>
    </xf>
    <xf numFmtId="14" fontId="22" fillId="0" borderId="6" xfId="0" applyNumberFormat="1" applyFont="1" applyBorder="1" applyAlignment="1">
      <alignment horizontal="center" vertical="center"/>
    </xf>
    <xf numFmtId="0" fontId="4" fillId="4" borderId="0" xfId="5" applyFill="1" applyAlignment="1">
      <alignment horizontal="center" vertical="center"/>
    </xf>
    <xf numFmtId="0" fontId="4" fillId="0" borderId="0" xfId="5" applyAlignment="1">
      <alignment horizontal="left" vertical="center"/>
    </xf>
    <xf numFmtId="0" fontId="4" fillId="0" borderId="0" xfId="5" applyAlignment="1">
      <alignment horizontal="left" vertical="center" wrapText="1"/>
    </xf>
    <xf numFmtId="164" fontId="4" fillId="0" borderId="0" xfId="5" applyNumberFormat="1" applyAlignment="1">
      <alignment horizontal="center" vertical="center"/>
    </xf>
    <xf numFmtId="164" fontId="4" fillId="0" borderId="0" xfId="5" applyNumberFormat="1" applyAlignment="1">
      <alignment horizontal="center" vertical="center" wrapText="1"/>
    </xf>
    <xf numFmtId="44" fontId="4" fillId="0" borderId="0" xfId="5" applyNumberFormat="1" applyAlignment="1">
      <alignment horizontal="center" vertical="center" wrapText="1"/>
    </xf>
    <xf numFmtId="0" fontId="33" fillId="0" borderId="1" xfId="0" applyFont="1" applyBorder="1"/>
    <xf numFmtId="164" fontId="33" fillId="0" borderId="1" xfId="0" applyNumberFormat="1" applyFont="1" applyBorder="1" applyAlignment="1">
      <alignment horizontal="left"/>
    </xf>
    <xf numFmtId="3" fontId="33" fillId="0" borderId="1" xfId="0" applyNumberFormat="1" applyFont="1" applyBorder="1"/>
    <xf numFmtId="164" fontId="22" fillId="0" borderId="1" xfId="7" applyNumberFormat="1" applyFont="1" applyBorder="1" applyAlignment="1">
      <alignment horizontal="center" vertical="center" wrapText="1"/>
    </xf>
    <xf numFmtId="0" fontId="22" fillId="0" borderId="4" xfId="0" applyFont="1" applyBorder="1" applyAlignment="1">
      <alignment horizontal="left" vertical="center"/>
    </xf>
    <xf numFmtId="0" fontId="22" fillId="0" borderId="4" xfId="0" applyFont="1" applyBorder="1" applyAlignment="1">
      <alignment horizontal="right" vertical="center" wrapText="1"/>
    </xf>
    <xf numFmtId="164" fontId="22" fillId="0" borderId="4" xfId="0" applyNumberFormat="1" applyFont="1" applyBorder="1" applyAlignment="1">
      <alignment horizontal="center" vertical="center"/>
    </xf>
    <xf numFmtId="164" fontId="22" fillId="0" borderId="4" xfId="7" applyNumberFormat="1" applyFont="1" applyBorder="1" applyAlignment="1">
      <alignment horizontal="center" vertical="center" wrapText="1"/>
    </xf>
    <xf numFmtId="9" fontId="22" fillId="0" borderId="4" xfId="0" applyNumberFormat="1" applyFont="1" applyBorder="1" applyAlignment="1">
      <alignment horizontal="center" vertical="center" wrapText="1"/>
    </xf>
    <xf numFmtId="9" fontId="22" fillId="0" borderId="4" xfId="0" applyNumberFormat="1" applyFont="1" applyBorder="1" applyAlignment="1">
      <alignment horizontal="center" vertical="center"/>
    </xf>
    <xf numFmtId="0" fontId="22" fillId="0" borderId="1" xfId="0" applyFont="1" applyBorder="1"/>
    <xf numFmtId="164" fontId="22" fillId="0" borderId="1" xfId="0" applyNumberFormat="1" applyFont="1" applyBorder="1" applyAlignment="1">
      <alignment horizontal="left"/>
    </xf>
    <xf numFmtId="164" fontId="22" fillId="0" borderId="1" xfId="0" applyNumberFormat="1" applyFont="1" applyBorder="1" applyAlignment="1">
      <alignment horizontal="center"/>
    </xf>
    <xf numFmtId="0" fontId="22" fillId="0" borderId="1" xfId="0" applyFont="1" applyBorder="1" applyAlignment="1">
      <alignment horizontal="left"/>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xf>
    <xf numFmtId="164" fontId="4" fillId="4" borderId="1" xfId="7" applyNumberForma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164" fontId="4" fillId="2" borderId="1" xfId="7" applyNumberFormat="1" applyFill="1" applyBorder="1" applyAlignment="1">
      <alignment horizontal="center" vertical="center" wrapText="1"/>
    </xf>
    <xf numFmtId="164" fontId="4" fillId="4" borderId="7" xfId="7" applyNumberFormat="1" applyFill="1" applyBorder="1" applyAlignment="1">
      <alignment horizontal="center" vertical="center" wrapText="1"/>
    </xf>
    <xf numFmtId="0" fontId="4" fillId="4" borderId="0" xfId="0" applyFont="1" applyFill="1" applyAlignment="1">
      <alignment horizontal="left" vertical="center"/>
    </xf>
    <xf numFmtId="0" fontId="4" fillId="4" borderId="0" xfId="0" applyFont="1" applyFill="1" applyAlignment="1">
      <alignment horizontal="right" vertical="center" wrapText="1"/>
    </xf>
    <xf numFmtId="164" fontId="4" fillId="4" borderId="0" xfId="0" applyNumberFormat="1" applyFont="1" applyFill="1" applyAlignment="1">
      <alignment horizontal="center" vertical="center"/>
    </xf>
    <xf numFmtId="164" fontId="4" fillId="4" borderId="0" xfId="7" applyNumberFormat="1" applyFill="1" applyAlignment="1">
      <alignment horizontal="center" vertical="center" wrapText="1"/>
    </xf>
    <xf numFmtId="9" fontId="4" fillId="4" borderId="0" xfId="0" applyNumberFormat="1" applyFont="1" applyFill="1" applyAlignment="1">
      <alignment horizontal="center" vertical="center" wrapText="1"/>
    </xf>
    <xf numFmtId="9" fontId="4" fillId="4" borderId="0" xfId="0" applyNumberFormat="1" applyFont="1" applyFill="1" applyAlignment="1">
      <alignment horizontal="center" vertical="center"/>
    </xf>
    <xf numFmtId="0" fontId="0" fillId="0" borderId="2" xfId="0" applyBorder="1" applyAlignment="1">
      <alignment wrapText="1"/>
    </xf>
    <xf numFmtId="164" fontId="0" fillId="0" borderId="1" xfId="0" applyNumberFormat="1" applyBorder="1" applyAlignment="1">
      <alignment horizontal="center"/>
    </xf>
    <xf numFmtId="164" fontId="4" fillId="0" borderId="1" xfId="7" applyNumberFormat="1" applyBorder="1" applyAlignment="1">
      <alignment horizontal="center" vertical="center" wrapText="1"/>
    </xf>
    <xf numFmtId="0" fontId="4" fillId="4" borderId="3" xfId="2" applyFill="1" applyBorder="1" applyAlignment="1">
      <alignment wrapText="1"/>
    </xf>
    <xf numFmtId="168" fontId="4" fillId="4" borderId="1" xfId="7" applyNumberFormat="1" applyFill="1" applyBorder="1" applyAlignment="1">
      <alignment horizontal="center" vertical="center"/>
    </xf>
    <xf numFmtId="164" fontId="4" fillId="4" borderId="1" xfId="2" applyNumberFormat="1" applyFill="1" applyBorder="1" applyAlignment="1">
      <alignment horizontal="center" vertical="center" wrapText="1"/>
    </xf>
    <xf numFmtId="0" fontId="4" fillId="4" borderId="1" xfId="2" applyFill="1" applyBorder="1"/>
    <xf numFmtId="3" fontId="4" fillId="4" borderId="1" xfId="2" applyNumberFormat="1" applyFill="1" applyBorder="1" applyAlignment="1">
      <alignment horizontal="center" vertical="center"/>
    </xf>
    <xf numFmtId="3" fontId="4" fillId="4" borderId="1" xfId="2" applyNumberFormat="1" applyFill="1" applyBorder="1" applyAlignment="1">
      <alignment horizontal="center" vertical="center" wrapText="1"/>
    </xf>
    <xf numFmtId="0" fontId="4" fillId="4" borderId="1" xfId="2" applyFill="1" applyBorder="1" applyAlignment="1">
      <alignment wrapText="1"/>
    </xf>
    <xf numFmtId="0" fontId="12" fillId="0" borderId="5" xfId="6" applyBorder="1" applyAlignment="1">
      <alignment horizontal="left" vertical="center" wrapText="1"/>
    </xf>
    <xf numFmtId="0" fontId="4" fillId="0" borderId="5" xfId="0" applyFont="1" applyBorder="1" applyAlignment="1">
      <alignment horizontal="left" vertical="center" wrapText="1"/>
    </xf>
    <xf numFmtId="164" fontId="4" fillId="0" borderId="1" xfId="0" applyNumberFormat="1" applyFont="1" applyBorder="1" applyAlignment="1">
      <alignment horizontal="center" vertical="center"/>
    </xf>
    <xf numFmtId="164" fontId="4" fillId="0" borderId="1" xfId="7" applyNumberFormat="1" applyBorder="1" applyAlignment="1">
      <alignment horizontal="center" vertical="center"/>
    </xf>
    <xf numFmtId="9" fontId="4" fillId="0" borderId="5" xfId="0" applyNumberFormat="1" applyFont="1" applyBorder="1" applyAlignment="1">
      <alignment horizontal="center" vertical="center" wrapText="1"/>
    </xf>
    <xf numFmtId="0" fontId="12" fillId="4" borderId="1" xfId="6" applyFill="1" applyBorder="1" applyAlignment="1">
      <alignment horizontal="left" vertical="center" wrapText="1"/>
    </xf>
    <xf numFmtId="0" fontId="12" fillId="4" borderId="6" xfId="6" applyFill="1" applyBorder="1" applyAlignment="1">
      <alignment horizontal="left" vertical="center" wrapText="1"/>
    </xf>
    <xf numFmtId="0" fontId="4" fillId="0" borderId="1" xfId="0" applyFont="1" applyBorder="1" applyAlignment="1">
      <alignment horizontal="center" vertical="center"/>
    </xf>
    <xf numFmtId="0" fontId="18" fillId="0" borderId="0" xfId="0" applyFont="1" applyAlignment="1">
      <alignment vertical="center"/>
    </xf>
    <xf numFmtId="0" fontId="0" fillId="0" borderId="0" xfId="0" applyAlignment="1">
      <alignment wrapText="1"/>
    </xf>
    <xf numFmtId="0" fontId="18" fillId="7" borderId="1" xfId="0" applyFont="1" applyFill="1" applyBorder="1" applyAlignment="1">
      <alignment vertical="center" wrapText="1"/>
    </xf>
    <xf numFmtId="0" fontId="33" fillId="0" borderId="1" xfId="14" applyFont="1" applyBorder="1" applyAlignment="1">
      <alignment wrapText="1"/>
    </xf>
    <xf numFmtId="0" fontId="4" fillId="0" borderId="1" xfId="0" applyFont="1" applyBorder="1" applyAlignment="1">
      <alignment horizontal="left" vertical="center" wrapText="1"/>
    </xf>
    <xf numFmtId="164" fontId="4" fillId="0" borderId="1" xfId="15" applyNumberFormat="1" applyFont="1" applyBorder="1"/>
    <xf numFmtId="164" fontId="13" fillId="0" borderId="11" xfId="15" applyNumberFormat="1" applyFont="1" applyBorder="1" applyAlignment="1">
      <alignment horizontal="center" wrapText="1" readingOrder="1"/>
    </xf>
    <xf numFmtId="6" fontId="13" fillId="4" borderId="11" xfId="15" applyNumberFormat="1" applyFont="1" applyFill="1" applyBorder="1" applyAlignment="1">
      <alignment horizontal="center" wrapText="1" readingOrder="1"/>
    </xf>
    <xf numFmtId="0" fontId="4" fillId="0" borderId="1" xfId="0" applyFont="1" applyBorder="1" applyAlignment="1">
      <alignment horizontal="left" vertical="center"/>
    </xf>
    <xf numFmtId="6" fontId="13" fillId="0" borderId="11" xfId="15" applyNumberFormat="1" applyFont="1" applyBorder="1" applyAlignment="1">
      <alignment horizontal="center" wrapText="1" readingOrder="1"/>
    </xf>
    <xf numFmtId="164" fontId="4" fillId="0" borderId="1" xfId="15" applyNumberFormat="1" applyFont="1" applyBorder="1" applyAlignment="1">
      <alignment horizontal="left" wrapText="1"/>
    </xf>
    <xf numFmtId="164" fontId="4" fillId="0" borderId="1" xfId="2" applyNumberFormat="1" applyBorder="1" applyAlignment="1">
      <alignment horizontal="center"/>
    </xf>
    <xf numFmtId="164" fontId="4" fillId="0" borderId="1" xfId="13" applyNumberFormat="1" applyBorder="1" applyAlignment="1">
      <alignment horizontal="center"/>
    </xf>
    <xf numFmtId="164" fontId="4" fillId="4" borderId="1" xfId="13" applyNumberFormat="1" applyFill="1" applyBorder="1" applyAlignment="1">
      <alignment horizontal="center"/>
    </xf>
    <xf numFmtId="164" fontId="4" fillId="0" borderId="1" xfId="13" applyNumberFormat="1" applyBorder="1" applyAlignment="1">
      <alignment horizontal="center" vertical="center"/>
    </xf>
    <xf numFmtId="164" fontId="4" fillId="4" borderId="1" xfId="13" applyNumberFormat="1" applyFill="1" applyBorder="1" applyAlignment="1">
      <alignment horizontal="center" vertical="center"/>
    </xf>
    <xf numFmtId="164" fontId="4" fillId="0" borderId="5" xfId="13" applyNumberFormat="1" applyBorder="1" applyAlignment="1">
      <alignment horizontal="center" vertical="center"/>
    </xf>
    <xf numFmtId="0" fontId="18" fillId="4" borderId="0" xfId="0" applyFont="1" applyFill="1" applyAlignment="1">
      <alignment horizontal="right"/>
    </xf>
    <xf numFmtId="164" fontId="0" fillId="4" borderId="0" xfId="13" applyNumberFormat="1" applyFont="1" applyFill="1" applyAlignment="1">
      <alignment horizontal="center"/>
    </xf>
    <xf numFmtId="164" fontId="0" fillId="4" borderId="0" xfId="0" applyNumberFormat="1" applyFill="1"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64" fontId="0" fillId="4" borderId="0" xfId="10" applyNumberFormat="1" applyFont="1" applyFill="1"/>
    <xf numFmtId="164" fontId="0" fillId="4" borderId="0" xfId="0" applyNumberFormat="1" applyFill="1"/>
    <xf numFmtId="169" fontId="0" fillId="4" borderId="0" xfId="10" applyNumberFormat="1" applyFont="1" applyFill="1"/>
    <xf numFmtId="164" fontId="4" fillId="4" borderId="1" xfId="13" applyNumberFormat="1" applyFill="1" applyBorder="1" applyAlignment="1">
      <alignment horizontal="center" vertical="center" wrapText="1"/>
    </xf>
    <xf numFmtId="164" fontId="4" fillId="4" borderId="1" xfId="13" applyNumberFormat="1" applyFill="1" applyBorder="1" applyAlignment="1">
      <alignment horizontal="center" wrapText="1"/>
    </xf>
    <xf numFmtId="164" fontId="4" fillId="0" borderId="1" xfId="7" applyNumberFormat="1" applyBorder="1"/>
    <xf numFmtId="6" fontId="4" fillId="0" borderId="1" xfId="0" applyNumberFormat="1" applyFont="1" applyBorder="1"/>
    <xf numFmtId="14" fontId="4" fillId="0" borderId="1" xfId="0" applyNumberFormat="1" applyFont="1" applyBorder="1" applyAlignment="1">
      <alignment horizontal="right"/>
    </xf>
    <xf numFmtId="49" fontId="4" fillId="0" borderId="1" xfId="0" applyNumberFormat="1" applyFont="1" applyBorder="1" applyAlignment="1">
      <alignment horizontal="right"/>
    </xf>
    <xf numFmtId="8" fontId="0" fillId="0" borderId="0" xfId="0" applyNumberFormat="1"/>
    <xf numFmtId="0" fontId="13" fillId="0" borderId="0" xfId="0" applyFont="1" applyAlignment="1">
      <alignment horizontal="left" vertical="center" wrapText="1" readingOrder="1"/>
    </xf>
    <xf numFmtId="44" fontId="4" fillId="7" borderId="0" xfId="13" applyFill="1"/>
    <xf numFmtId="0" fontId="4" fillId="0" borderId="1" xfId="0" applyFont="1" applyBorder="1" applyAlignment="1">
      <alignment horizontal="right"/>
    </xf>
    <xf numFmtId="0" fontId="0" fillId="0" borderId="1" xfId="0" applyBorder="1" applyAlignment="1">
      <alignment horizontal="right"/>
    </xf>
    <xf numFmtId="14" fontId="0" fillId="0" borderId="1" xfId="0" applyNumberFormat="1" applyBorder="1" applyAlignment="1">
      <alignment horizontal="right"/>
    </xf>
    <xf numFmtId="6" fontId="0" fillId="0" borderId="1" xfId="0" applyNumberFormat="1" applyBorder="1"/>
    <xf numFmtId="8" fontId="4" fillId="0" borderId="0" xfId="0" applyNumberFormat="1" applyFont="1"/>
    <xf numFmtId="14" fontId="0" fillId="0" borderId="1" xfId="0" applyNumberFormat="1" applyBorder="1"/>
    <xf numFmtId="14" fontId="4" fillId="0" borderId="1" xfId="0" applyNumberFormat="1" applyFont="1" applyBorder="1"/>
    <xf numFmtId="165" fontId="4" fillId="0" borderId="1" xfId="7" applyNumberFormat="1" applyBorder="1"/>
    <xf numFmtId="14" fontId="4" fillId="0" borderId="1" xfId="0" applyNumberFormat="1" applyFont="1" applyBorder="1" applyAlignment="1">
      <alignment horizontal="center"/>
    </xf>
    <xf numFmtId="167" fontId="4" fillId="0" borderId="1" xfId="7" applyNumberFormat="1" applyBorder="1"/>
    <xf numFmtId="14" fontId="0" fillId="0" borderId="1" xfId="0" applyNumberFormat="1" applyBorder="1" applyAlignment="1">
      <alignment horizontal="center"/>
    </xf>
    <xf numFmtId="5" fontId="0" fillId="0" borderId="1" xfId="7" applyNumberFormat="1" applyFont="1" applyBorder="1"/>
    <xf numFmtId="14" fontId="4" fillId="0" borderId="1" xfId="0" applyNumberFormat="1" applyFont="1" applyBorder="1" applyAlignment="1">
      <alignment horizontal="center" vertical="center" wrapText="1"/>
    </xf>
    <xf numFmtId="165" fontId="4" fillId="7" borderId="1" xfId="7" applyNumberFormat="1" applyFill="1" applyBorder="1"/>
    <xf numFmtId="0" fontId="4" fillId="0" borderId="1" xfId="5" applyBorder="1" applyAlignment="1">
      <alignment horizontal="center" vertical="center" wrapText="1"/>
    </xf>
    <xf numFmtId="164" fontId="4" fillId="0" borderId="1" xfId="7" applyNumberFormat="1" applyBorder="1" applyAlignment="1">
      <alignment vertical="center"/>
    </xf>
    <xf numFmtId="164" fontId="4" fillId="0" borderId="1" xfId="7" applyNumberFormat="1" applyBorder="1" applyAlignment="1">
      <alignment horizontal="right" vertical="center" wrapText="1"/>
    </xf>
    <xf numFmtId="164" fontId="4" fillId="0" borderId="1" xfId="0" applyNumberFormat="1" applyFont="1" applyBorder="1" applyAlignment="1">
      <alignment horizontal="right" vertical="center" wrapText="1"/>
    </xf>
    <xf numFmtId="44" fontId="4" fillId="0" borderId="1" xfId="0" applyNumberFormat="1" applyFont="1" applyBorder="1" applyAlignment="1">
      <alignment horizontal="center" vertical="center" wrapText="1"/>
    </xf>
    <xf numFmtId="164" fontId="4" fillId="0" borderId="1" xfId="0" applyNumberFormat="1" applyFont="1" applyBorder="1" applyAlignment="1">
      <alignment horizontal="right" vertical="center"/>
    </xf>
    <xf numFmtId="0" fontId="4" fillId="0" borderId="0" xfId="5" applyAlignment="1">
      <alignment horizontal="center" vertical="center" wrapText="1"/>
    </xf>
    <xf numFmtId="0" fontId="4" fillId="2" borderId="0" xfId="5" applyFill="1" applyAlignment="1">
      <alignment horizontal="center" vertical="center"/>
    </xf>
    <xf numFmtId="0" fontId="4" fillId="2" borderId="1" xfId="5" applyFill="1" applyBorder="1" applyAlignment="1">
      <alignment horizontal="center" vertical="center"/>
    </xf>
    <xf numFmtId="164" fontId="4" fillId="2" borderId="1" xfId="5" applyNumberFormat="1" applyFill="1" applyBorder="1" applyAlignment="1">
      <alignment vertical="center"/>
    </xf>
    <xf numFmtId="164" fontId="4" fillId="7" borderId="1" xfId="5" applyNumberFormat="1" applyFill="1" applyBorder="1" applyAlignment="1">
      <alignment horizontal="right" vertical="center"/>
    </xf>
    <xf numFmtId="44" fontId="4" fillId="7" borderId="1" xfId="5" applyNumberFormat="1" applyFill="1" applyBorder="1" applyAlignment="1">
      <alignment horizontal="left" vertical="center" wrapText="1"/>
    </xf>
    <xf numFmtId="44" fontId="4" fillId="7" borderId="1" xfId="5" applyNumberFormat="1" applyFill="1" applyBorder="1" applyAlignment="1">
      <alignment horizontal="center" vertical="center" wrapText="1"/>
    </xf>
    <xf numFmtId="164" fontId="4" fillId="0" borderId="0" xfId="5" applyNumberFormat="1" applyAlignment="1">
      <alignment vertical="center"/>
    </xf>
    <xf numFmtId="164" fontId="4" fillId="0" borderId="0" xfId="5" applyNumberFormat="1" applyAlignment="1">
      <alignment horizontal="right" vertical="center"/>
    </xf>
    <xf numFmtId="44" fontId="4" fillId="0" borderId="0" xfId="5" applyNumberFormat="1" applyAlignment="1">
      <alignment horizontal="left" vertical="center" wrapText="1"/>
    </xf>
    <xf numFmtId="0" fontId="4" fillId="0" borderId="1" xfId="0" applyFont="1" applyBorder="1" applyAlignment="1">
      <alignment vertical="center"/>
    </xf>
    <xf numFmtId="164" fontId="4" fillId="2" borderId="1" xfId="5" applyNumberFormat="1" applyFill="1" applyBorder="1" applyAlignment="1">
      <alignment horizontal="center" vertical="center"/>
    </xf>
    <xf numFmtId="14" fontId="0" fillId="0" borderId="0" xfId="0" applyNumberFormat="1"/>
    <xf numFmtId="14" fontId="0" fillId="0" borderId="10" xfId="0" applyNumberFormat="1" applyBorder="1" applyAlignment="1">
      <alignment horizontal="center" vertical="center"/>
    </xf>
    <xf numFmtId="0" fontId="14" fillId="0" borderId="0" xfId="0" applyFont="1" applyAlignment="1">
      <alignment horizontal="center"/>
    </xf>
    <xf numFmtId="42" fontId="11" fillId="0" borderId="1" xfId="13" applyNumberFormat="1" applyFont="1" applyBorder="1" applyAlignment="1">
      <alignment horizontal="right" vertical="center"/>
    </xf>
    <xf numFmtId="44" fontId="0" fillId="0" borderId="0" xfId="13" applyFont="1"/>
    <xf numFmtId="0" fontId="11" fillId="0" borderId="0" xfId="0" applyFont="1" applyAlignment="1">
      <alignment horizontal="left"/>
    </xf>
    <xf numFmtId="0" fontId="11" fillId="0" borderId="1" xfId="0" applyFont="1" applyBorder="1"/>
    <xf numFmtId="0" fontId="4" fillId="0" borderId="1" xfId="0" applyFont="1" applyBorder="1" applyAlignment="1">
      <alignment horizontal="center" wrapText="1"/>
    </xf>
    <xf numFmtId="164" fontId="11" fillId="0" borderId="1" xfId="0" applyNumberFormat="1" applyFont="1" applyBorder="1" applyAlignment="1">
      <alignment horizontal="right" vertical="center" wrapText="1"/>
    </xf>
    <xf numFmtId="0" fontId="11" fillId="0" borderId="0" xfId="0" applyFont="1" applyAlignment="1">
      <alignment vertical="center" wrapText="1"/>
    </xf>
    <xf numFmtId="0" fontId="11" fillId="0" borderId="5" xfId="0" applyFont="1" applyBorder="1"/>
    <xf numFmtId="164" fontId="11" fillId="0" borderId="5" xfId="0" applyNumberFormat="1" applyFont="1" applyBorder="1"/>
    <xf numFmtId="0" fontId="27" fillId="0" borderId="1" xfId="0" applyFont="1" applyBorder="1" applyAlignment="1">
      <alignment horizontal="right"/>
    </xf>
    <xf numFmtId="14" fontId="27" fillId="0" borderId="1" xfId="0" applyNumberFormat="1" applyFont="1" applyBorder="1" applyAlignment="1">
      <alignment horizontal="right"/>
    </xf>
    <xf numFmtId="0" fontId="11" fillId="0" borderId="1" xfId="0" applyFont="1" applyBorder="1" applyAlignment="1">
      <alignment horizontal="left"/>
    </xf>
    <xf numFmtId="14" fontId="27" fillId="0" borderId="1" xfId="0" applyNumberFormat="1" applyFont="1" applyBorder="1"/>
    <xf numFmtId="164" fontId="35" fillId="0" borderId="0" xfId="0" applyNumberFormat="1" applyFont="1"/>
    <xf numFmtId="0" fontId="11" fillId="0" borderId="1" xfId="0" applyFont="1" applyBorder="1" applyAlignment="1">
      <alignment vertical="center"/>
    </xf>
    <xf numFmtId="14" fontId="11" fillId="0" borderId="1" xfId="0" applyNumberFormat="1" applyFont="1" applyBorder="1" applyAlignment="1">
      <alignment horizontal="right" wrapText="1"/>
    </xf>
    <xf numFmtId="164" fontId="31" fillId="0" borderId="1" xfId="0" applyNumberFormat="1" applyFont="1" applyBorder="1"/>
    <xf numFmtId="164" fontId="11"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xf>
    <xf numFmtId="0" fontId="27" fillId="0" borderId="1" xfId="0" applyFont="1" applyBorder="1" applyAlignment="1">
      <alignment horizontal="left"/>
    </xf>
    <xf numFmtId="0" fontId="11" fillId="0" borderId="1" xfId="0" applyFont="1" applyBorder="1" applyAlignment="1">
      <alignment horizontal="right"/>
    </xf>
    <xf numFmtId="0" fontId="10" fillId="0" borderId="1" xfId="0" applyFont="1" applyBorder="1" applyAlignment="1">
      <alignment horizontal="right" wrapText="1"/>
    </xf>
    <xf numFmtId="6" fontId="10" fillId="0" borderId="1" xfId="0" applyNumberFormat="1" applyFont="1" applyBorder="1"/>
    <xf numFmtId="0" fontId="10" fillId="0" borderId="0" xfId="0" applyFont="1" applyAlignment="1">
      <alignment vertical="center" wrapText="1"/>
    </xf>
    <xf numFmtId="0" fontId="10" fillId="0" borderId="0" xfId="0" applyFont="1" applyAlignment="1">
      <alignment vertical="center"/>
    </xf>
    <xf numFmtId="6" fontId="10" fillId="0" borderId="0" xfId="0" applyNumberFormat="1" applyFont="1" applyAlignment="1">
      <alignment vertical="center"/>
    </xf>
    <xf numFmtId="164" fontId="10" fillId="0" borderId="0" xfId="0" applyNumberFormat="1" applyFont="1" applyAlignment="1">
      <alignment vertical="center"/>
    </xf>
    <xf numFmtId="164" fontId="11" fillId="0" borderId="0" xfId="0" applyNumberFormat="1" applyFont="1" applyAlignment="1">
      <alignment horizontal="center" wrapText="1"/>
    </xf>
    <xf numFmtId="6" fontId="10" fillId="0" borderId="0" xfId="0" applyNumberFormat="1" applyFont="1"/>
    <xf numFmtId="164" fontId="10" fillId="0" borderId="0" xfId="0" applyNumberFormat="1" applyFont="1" applyAlignment="1">
      <alignment horizontal="center"/>
    </xf>
    <xf numFmtId="0" fontId="10" fillId="0" borderId="0" xfId="0" applyFont="1" applyAlignment="1">
      <alignment horizontal="left" vertical="center" wrapText="1"/>
    </xf>
    <xf numFmtId="0" fontId="10" fillId="0" borderId="0" xfId="0" applyFont="1" applyAlignment="1">
      <alignment horizontal="center" vertical="center"/>
    </xf>
    <xf numFmtId="164" fontId="36" fillId="0" borderId="1" xfId="0" applyNumberFormat="1" applyFont="1" applyBorder="1"/>
    <xf numFmtId="14" fontId="11" fillId="0" borderId="1" xfId="0" applyNumberFormat="1" applyFont="1" applyBorder="1" applyAlignment="1">
      <alignment horizontal="center" vertical="center" wrapText="1"/>
    </xf>
    <xf numFmtId="0" fontId="11" fillId="0" borderId="3" xfId="0" applyFont="1" applyBorder="1" applyAlignment="1">
      <alignment vertical="center"/>
    </xf>
    <xf numFmtId="0" fontId="10" fillId="0" borderId="1" xfId="0" applyFont="1" applyBorder="1" applyAlignment="1">
      <alignment horizontal="center" vertical="center" wrapText="1"/>
    </xf>
    <xf numFmtId="14" fontId="11" fillId="0" borderId="1" xfId="0" applyNumberFormat="1" applyFont="1" applyBorder="1" applyAlignment="1">
      <alignment vertical="center" wrapText="1"/>
    </xf>
    <xf numFmtId="164" fontId="36" fillId="0" borderId="0" xfId="0" applyNumberFormat="1" applyFont="1"/>
    <xf numFmtId="164" fontId="11" fillId="0" borderId="1" xfId="8" applyNumberFormat="1" applyBorder="1" applyAlignment="1">
      <alignment horizontal="right" vertical="center"/>
    </xf>
    <xf numFmtId="0" fontId="11" fillId="0" borderId="1" xfId="12" applyFont="1" applyBorder="1" applyAlignment="1">
      <alignment horizontal="left" vertical="center"/>
    </xf>
    <xf numFmtId="0" fontId="11" fillId="0" borderId="1" xfId="12" applyFont="1" applyBorder="1" applyAlignment="1">
      <alignment vertical="center" wrapText="1"/>
    </xf>
    <xf numFmtId="164" fontId="11" fillId="0" borderId="1" xfId="12" applyNumberFormat="1" applyFont="1" applyBorder="1" applyAlignment="1">
      <alignment vertical="center"/>
    </xf>
    <xf numFmtId="6" fontId="11" fillId="0" borderId="1" xfId="0" applyNumberFormat="1" applyFont="1" applyBorder="1" applyAlignment="1">
      <alignment horizontal="center" vertical="center" wrapText="1"/>
    </xf>
    <xf numFmtId="164" fontId="28" fillId="0" borderId="0" xfId="0" applyNumberFormat="1" applyFont="1"/>
    <xf numFmtId="6" fontId="11" fillId="0" borderId="1" xfId="2" applyNumberFormat="1" applyFont="1" applyBorder="1" applyAlignment="1">
      <alignment horizontal="right" vertical="center"/>
    </xf>
    <xf numFmtId="164" fontId="11" fillId="0" borderId="1" xfId="0" applyNumberFormat="1" applyFont="1" applyBorder="1" applyAlignment="1">
      <alignment horizontal="right" vertical="center"/>
    </xf>
    <xf numFmtId="14" fontId="11" fillId="0" borderId="1" xfId="2" applyNumberFormat="1" applyFont="1" applyBorder="1" applyAlignment="1">
      <alignment vertical="center" wrapText="1"/>
    </xf>
    <xf numFmtId="0" fontId="11" fillId="0" borderId="1" xfId="8" applyBorder="1" applyAlignment="1">
      <alignment horizontal="left" vertical="center"/>
    </xf>
    <xf numFmtId="0" fontId="11" fillId="0" borderId="1" xfId="8" applyBorder="1" applyAlignment="1">
      <alignment horizontal="left" vertical="center" wrapText="1"/>
    </xf>
    <xf numFmtId="6" fontId="4" fillId="0" borderId="1" xfId="0" applyNumberFormat="1" applyFont="1" applyBorder="1" applyAlignment="1">
      <alignment horizontal="center" wrapText="1"/>
    </xf>
    <xf numFmtId="14" fontId="11" fillId="0" borderId="1" xfId="0" applyNumberFormat="1" applyFont="1" applyBorder="1" applyAlignment="1">
      <alignment vertical="center"/>
    </xf>
    <xf numFmtId="164" fontId="32" fillId="0" borderId="1" xfId="0" applyNumberFormat="1" applyFont="1" applyBorder="1"/>
    <xf numFmtId="0" fontId="11" fillId="0" borderId="1" xfId="8" applyBorder="1" applyAlignment="1">
      <alignment vertical="center"/>
    </xf>
    <xf numFmtId="0" fontId="11" fillId="0" borderId="1" xfId="8" applyBorder="1" applyAlignment="1">
      <alignment vertical="center" wrapText="1"/>
    </xf>
    <xf numFmtId="6" fontId="4" fillId="0" borderId="1" xfId="0" applyNumberFormat="1" applyFont="1" applyBorder="1" applyAlignment="1">
      <alignment horizontal="center" vertical="center" wrapText="1"/>
    </xf>
    <xf numFmtId="6" fontId="11" fillId="0" borderId="1" xfId="0" applyNumberFormat="1" applyFont="1" applyBorder="1" applyAlignment="1">
      <alignment horizontal="center" wrapText="1"/>
    </xf>
    <xf numFmtId="0" fontId="11" fillId="0" borderId="1" xfId="2" applyFont="1" applyBorder="1" applyAlignment="1">
      <alignment vertical="center" wrapText="1"/>
    </xf>
    <xf numFmtId="164" fontId="11" fillId="0" borderId="0" xfId="0" applyNumberFormat="1" applyFont="1" applyAlignment="1">
      <alignment horizontal="center" vertical="center" wrapText="1"/>
    </xf>
    <xf numFmtId="0" fontId="11" fillId="4" borderId="0" xfId="0" applyFont="1" applyFill="1"/>
    <xf numFmtId="0" fontId="11" fillId="4" borderId="0" xfId="0" applyFont="1" applyFill="1" applyAlignment="1">
      <alignment vertical="center" wrapText="1"/>
    </xf>
    <xf numFmtId="0" fontId="10" fillId="4" borderId="0" xfId="0" applyFont="1" applyFill="1" applyAlignment="1">
      <alignment vertical="center"/>
    </xf>
    <xf numFmtId="6" fontId="11" fillId="4" borderId="0" xfId="0" applyNumberFormat="1" applyFont="1" applyFill="1" applyAlignment="1">
      <alignment vertical="center"/>
    </xf>
    <xf numFmtId="164" fontId="11" fillId="4" borderId="0" xfId="0" applyNumberFormat="1" applyFont="1" applyFill="1" applyAlignment="1">
      <alignment vertical="center"/>
    </xf>
    <xf numFmtId="0" fontId="11" fillId="4" borderId="0" xfId="0" applyFont="1" applyFill="1" applyAlignment="1">
      <alignment horizontal="center" wrapText="1"/>
    </xf>
    <xf numFmtId="164" fontId="11" fillId="4" borderId="0" xfId="0" applyNumberFormat="1" applyFont="1" applyFill="1" applyAlignment="1">
      <alignment horizontal="center"/>
    </xf>
    <xf numFmtId="0" fontId="11" fillId="4" borderId="0" xfId="0" applyFont="1" applyFill="1" applyAlignment="1">
      <alignment horizontal="left" vertical="center" wrapText="1"/>
    </xf>
    <xf numFmtId="0" fontId="11" fillId="4" borderId="0" xfId="0" applyFont="1" applyFill="1" applyAlignment="1">
      <alignment horizontal="center" vertical="center"/>
    </xf>
    <xf numFmtId="0" fontId="11" fillId="4" borderId="0" xfId="0" applyFont="1" applyFill="1" applyAlignment="1">
      <alignment horizontal="center" vertical="center" wrapText="1"/>
    </xf>
    <xf numFmtId="6" fontId="11" fillId="0" borderId="1" xfId="0" applyNumberFormat="1" applyFont="1" applyBorder="1" applyAlignment="1">
      <alignment horizontal="right" vertical="center"/>
    </xf>
    <xf numFmtId="164" fontId="11" fillId="0" borderId="6" xfId="0" applyNumberFormat="1" applyFont="1" applyBorder="1" applyAlignment="1">
      <alignment horizontal="right" vertical="center"/>
    </xf>
    <xf numFmtId="164" fontId="11" fillId="0" borderId="0" xfId="0" applyNumberFormat="1" applyFont="1" applyAlignment="1">
      <alignment horizontal="right"/>
    </xf>
    <xf numFmtId="164" fontId="11" fillId="0" borderId="1" xfId="0" applyNumberFormat="1" applyFont="1" applyBorder="1" applyAlignment="1">
      <alignment horizontal="right"/>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6" fontId="11" fillId="0" borderId="5" xfId="0" applyNumberFormat="1" applyFont="1" applyBorder="1" applyAlignment="1">
      <alignment vertical="center"/>
    </xf>
    <xf numFmtId="6" fontId="11" fillId="0" borderId="5" xfId="0" applyNumberFormat="1" applyFont="1" applyBorder="1" applyAlignment="1">
      <alignment horizontal="center" vertical="center" wrapText="1"/>
    </xf>
    <xf numFmtId="164" fontId="11" fillId="0" borderId="5" xfId="0" applyNumberFormat="1" applyFont="1" applyBorder="1" applyAlignment="1">
      <alignment vertical="center"/>
    </xf>
    <xf numFmtId="14" fontId="11" fillId="0" borderId="5" xfId="0" applyNumberFormat="1" applyFont="1" applyBorder="1" applyAlignment="1">
      <alignment vertical="center"/>
    </xf>
    <xf numFmtId="14" fontId="11" fillId="0" borderId="5" xfId="0" applyNumberFormat="1" applyFont="1" applyBorder="1" applyAlignment="1">
      <alignment vertical="center" wrapText="1"/>
    </xf>
    <xf numFmtId="0" fontId="11" fillId="0" borderId="0" xfId="8" applyAlignment="1">
      <alignment horizontal="left" vertical="center"/>
    </xf>
    <xf numFmtId="0" fontId="11" fillId="0" borderId="0" xfId="8" applyAlignment="1">
      <alignment vertical="center" wrapText="1"/>
    </xf>
    <xf numFmtId="0" fontId="11" fillId="0" borderId="5" xfId="0" applyFont="1" applyBorder="1" applyAlignment="1">
      <alignment vertical="center" wrapText="1"/>
    </xf>
    <xf numFmtId="0" fontId="11" fillId="0" borderId="1" xfId="2" applyFont="1" applyBorder="1" applyAlignment="1">
      <alignment horizontal="left" vertical="center"/>
    </xf>
    <xf numFmtId="14" fontId="11" fillId="0" borderId="1" xfId="0" applyNumberFormat="1" applyFont="1" applyBorder="1" applyAlignment="1">
      <alignment horizontal="center" vertical="center"/>
    </xf>
    <xf numFmtId="6" fontId="11" fillId="0" borderId="0" xfId="0" applyNumberFormat="1" applyFont="1" applyAlignment="1">
      <alignment vertical="center"/>
    </xf>
    <xf numFmtId="164" fontId="11" fillId="0" borderId="0" xfId="0" applyNumberFormat="1" applyFont="1" applyAlignment="1">
      <alignment vertical="center"/>
    </xf>
    <xf numFmtId="6" fontId="11" fillId="0" borderId="0" xfId="0" applyNumberFormat="1" applyFont="1" applyAlignment="1">
      <alignment horizontal="center" vertical="center" wrapText="1"/>
    </xf>
    <xf numFmtId="14" fontId="11" fillId="0" borderId="0" xfId="0" applyNumberFormat="1" applyFont="1" applyAlignment="1">
      <alignment horizontal="center" vertical="center"/>
    </xf>
    <xf numFmtId="0" fontId="23" fillId="0" borderId="0" xfId="0" applyFont="1" applyAlignment="1">
      <alignment vertical="center" wrapText="1"/>
    </xf>
    <xf numFmtId="49" fontId="15" fillId="0" borderId="1" xfId="0" applyNumberFormat="1" applyFont="1" applyBorder="1" applyAlignment="1">
      <alignment horizontal="right" vertical="center"/>
    </xf>
    <xf numFmtId="164" fontId="15" fillId="0" borderId="1" xfId="0" applyNumberFormat="1" applyFont="1" applyBorder="1" applyAlignment="1">
      <alignment vertical="center"/>
    </xf>
    <xf numFmtId="0" fontId="15" fillId="0" borderId="1" xfId="0" applyFont="1" applyBorder="1" applyAlignment="1">
      <alignment vertical="center"/>
    </xf>
    <xf numFmtId="6" fontId="15" fillId="0" borderId="1" xfId="0" applyNumberFormat="1" applyFont="1" applyBorder="1" applyAlignment="1">
      <alignment vertical="center"/>
    </xf>
    <xf numFmtId="6" fontId="15" fillId="0" borderId="1" xfId="0" applyNumberFormat="1" applyFont="1" applyBorder="1" applyAlignment="1">
      <alignment horizontal="center" vertical="center" wrapText="1"/>
    </xf>
    <xf numFmtId="14" fontId="15" fillId="0" borderId="1" xfId="0" applyNumberFormat="1" applyFont="1" applyBorder="1" applyAlignment="1">
      <alignment vertical="center" wrapText="1"/>
    </xf>
    <xf numFmtId="0" fontId="15" fillId="0" borderId="1" xfId="0" applyFont="1" applyBorder="1" applyAlignment="1">
      <alignment vertical="center" wrapText="1"/>
    </xf>
    <xf numFmtId="164" fontId="11" fillId="0" borderId="1" xfId="0" applyNumberFormat="1" applyFont="1" applyBorder="1" applyAlignment="1">
      <alignment vertical="center" wrapText="1"/>
    </xf>
    <xf numFmtId="14" fontId="11" fillId="0" borderId="1" xfId="0" applyNumberFormat="1" applyFont="1" applyBorder="1" applyAlignment="1">
      <alignment horizontal="right" vertical="center"/>
    </xf>
    <xf numFmtId="6" fontId="11" fillId="0" borderId="0" xfId="0" applyNumberFormat="1" applyFont="1" applyAlignment="1">
      <alignment vertical="center" wrapText="1"/>
    </xf>
    <xf numFmtId="0" fontId="15" fillId="0" borderId="1" xfId="0" quotePrefix="1" applyFont="1" applyBorder="1" applyAlignment="1">
      <alignment horizontal="left" vertical="center"/>
    </xf>
    <xf numFmtId="0" fontId="11" fillId="0" borderId="1" xfId="0" applyFont="1" applyBorder="1" applyAlignment="1">
      <alignment horizontal="right" vertical="center"/>
    </xf>
    <xf numFmtId="6" fontId="11" fillId="0" borderId="6" xfId="0" applyNumberFormat="1" applyFont="1" applyBorder="1" applyAlignment="1">
      <alignment horizontal="center" vertical="center" wrapText="1"/>
    </xf>
    <xf numFmtId="164" fontId="22" fillId="0" borderId="1" xfId="7" applyNumberFormat="1" applyFont="1" applyFill="1" applyBorder="1" applyAlignment="1">
      <alignment horizontal="center" vertical="center" wrapText="1"/>
    </xf>
    <xf numFmtId="164" fontId="29" fillId="0" borderId="1" xfId="0" applyNumberFormat="1" applyFont="1" applyBorder="1" applyAlignment="1">
      <alignment horizontal="center"/>
    </xf>
    <xf numFmtId="164" fontId="22" fillId="0" borderId="6" xfId="13" applyNumberFormat="1" applyFont="1" applyBorder="1" applyAlignment="1">
      <alignment horizontal="center"/>
    </xf>
    <xf numFmtId="164" fontId="33" fillId="0" borderId="1" xfId="0" applyNumberFormat="1" applyFont="1" applyBorder="1"/>
    <xf numFmtId="164" fontId="22" fillId="0" borderId="1" xfId="13" applyNumberFormat="1" applyFont="1" applyFill="1" applyBorder="1" applyAlignment="1">
      <alignment horizontal="center"/>
    </xf>
    <xf numFmtId="0" fontId="34" fillId="0" borderId="1" xfId="0" applyFont="1" applyBorder="1"/>
    <xf numFmtId="164" fontId="34" fillId="0" borderId="1" xfId="16" applyNumberFormat="1" applyFont="1" applyFill="1" applyBorder="1" applyAlignment="1">
      <alignment horizontal="right"/>
    </xf>
    <xf numFmtId="14" fontId="11" fillId="0" borderId="1" xfId="11" quotePrefix="1" applyNumberFormat="1" applyFont="1" applyBorder="1" applyAlignment="1">
      <alignment horizontal="center" vertical="center" wrapText="1"/>
    </xf>
    <xf numFmtId="164" fontId="0" fillId="0" borderId="1" xfId="0" applyNumberFormat="1" applyBorder="1"/>
    <xf numFmtId="164" fontId="4" fillId="0" borderId="1" xfId="7" applyNumberFormat="1" applyFill="1" applyBorder="1"/>
    <xf numFmtId="8" fontId="0" fillId="0" borderId="2" xfId="0" applyNumberFormat="1" applyBorder="1"/>
    <xf numFmtId="164" fontId="4" fillId="7" borderId="0" xfId="13" applyNumberFormat="1" applyFill="1"/>
    <xf numFmtId="164" fontId="0" fillId="0" borderId="1" xfId="13" applyNumberFormat="1" applyFont="1" applyFill="1" applyBorder="1"/>
    <xf numFmtId="44" fontId="4" fillId="0" borderId="1" xfId="13" applyFill="1" applyBorder="1" applyAlignment="1">
      <alignment horizontal="right"/>
    </xf>
    <xf numFmtId="5" fontId="4" fillId="7" borderId="0" xfId="13" applyNumberFormat="1" applyFill="1"/>
    <xf numFmtId="42" fontId="4" fillId="7" borderId="0" xfId="13" applyNumberFormat="1" applyFill="1"/>
    <xf numFmtId="49" fontId="4" fillId="0" borderId="1" xfId="0" quotePrefix="1" applyNumberFormat="1" applyFont="1" applyBorder="1" applyAlignment="1">
      <alignment horizontal="right"/>
    </xf>
    <xf numFmtId="3" fontId="0" fillId="0" borderId="1" xfId="7" applyNumberFormat="1" applyFont="1" applyBorder="1"/>
    <xf numFmtId="3" fontId="4" fillId="0" borderId="1" xfId="7" applyNumberFormat="1" applyBorder="1"/>
    <xf numFmtId="3" fontId="0" fillId="7" borderId="1" xfId="0" applyNumberFormat="1" applyFill="1" applyBorder="1"/>
    <xf numFmtId="164" fontId="11" fillId="0" borderId="5" xfId="0" applyNumberFormat="1" applyFont="1" applyBorder="1" applyAlignment="1">
      <alignment horizontal="right" vertical="center" wrapText="1"/>
    </xf>
    <xf numFmtId="170" fontId="11" fillId="0" borderId="1" xfId="0" applyNumberFormat="1" applyFont="1" applyBorder="1" applyAlignment="1">
      <alignment horizontal="center" vertical="center"/>
    </xf>
    <xf numFmtId="49" fontId="11" fillId="0" borderId="1" xfId="0" applyNumberFormat="1" applyFont="1" applyBorder="1" applyAlignment="1">
      <alignment horizontal="left"/>
    </xf>
    <xf numFmtId="0" fontId="11" fillId="0" borderId="1" xfId="0" applyFont="1" applyBorder="1" applyAlignment="1">
      <alignment horizontal="center"/>
    </xf>
    <xf numFmtId="5" fontId="4" fillId="0" borderId="1" xfId="13" applyNumberFormat="1" applyFont="1" applyFill="1" applyBorder="1" applyAlignment="1">
      <alignment vertical="top" wrapText="1"/>
    </xf>
    <xf numFmtId="5" fontId="4" fillId="0" borderId="1" xfId="13" applyNumberFormat="1" applyFont="1" applyFill="1" applyBorder="1" applyAlignment="1">
      <alignment horizontal="right" vertical="top" wrapText="1"/>
    </xf>
    <xf numFmtId="5" fontId="4" fillId="0" borderId="2" xfId="13" applyNumberFormat="1" applyFont="1" applyFill="1" applyBorder="1" applyAlignment="1">
      <alignment horizontal="right" vertical="top" wrapText="1"/>
    </xf>
    <xf numFmtId="5" fontId="37" fillId="0" borderId="1" xfId="13" applyNumberFormat="1" applyFont="1" applyFill="1" applyBorder="1" applyAlignment="1">
      <alignment vertical="top" wrapText="1"/>
    </xf>
    <xf numFmtId="14" fontId="37" fillId="0" borderId="1" xfId="0" applyNumberFormat="1" applyFont="1" applyBorder="1" applyAlignment="1">
      <alignment horizontal="left" vertical="top" wrapText="1"/>
    </xf>
    <xf numFmtId="0" fontId="10" fillId="0" borderId="4" xfId="0" applyFont="1" applyBorder="1" applyAlignment="1">
      <alignment horizontal="center" vertical="center"/>
    </xf>
    <xf numFmtId="0" fontId="4" fillId="0" borderId="0" xfId="0" applyFont="1" applyAlignment="1">
      <alignment horizontal="left" wrapText="1"/>
    </xf>
    <xf numFmtId="0" fontId="10" fillId="0" borderId="0" xfId="0" applyFont="1" applyAlignment="1">
      <alignment horizontal="center" vertical="center" wrapText="1"/>
    </xf>
    <xf numFmtId="0" fontId="11" fillId="0" borderId="2" xfId="0" applyFont="1" applyBorder="1"/>
    <xf numFmtId="0" fontId="11" fillId="0" borderId="9" xfId="0" applyFont="1" applyBorder="1"/>
    <xf numFmtId="0" fontId="10" fillId="0" borderId="9" xfId="0" applyFont="1" applyBorder="1" applyAlignment="1">
      <alignment vertical="center"/>
    </xf>
    <xf numFmtId="164" fontId="11" fillId="0" borderId="9" xfId="0" applyNumberFormat="1" applyFont="1" applyBorder="1"/>
    <xf numFmtId="164" fontId="10" fillId="0" borderId="3" xfId="0" applyNumberFormat="1" applyFont="1" applyBorder="1"/>
    <xf numFmtId="0" fontId="4" fillId="0" borderId="2" xfId="0" applyFont="1" applyBorder="1" applyAlignment="1">
      <alignment horizontal="center" wrapText="1"/>
    </xf>
    <xf numFmtId="0" fontId="27" fillId="0" borderId="3" xfId="0" applyFont="1" applyBorder="1"/>
    <xf numFmtId="0" fontId="27" fillId="0" borderId="2" xfId="0" applyFont="1" applyBorder="1"/>
    <xf numFmtId="14" fontId="27" fillId="0" borderId="5" xfId="0" applyNumberFormat="1" applyFont="1" applyBorder="1"/>
    <xf numFmtId="0" fontId="38" fillId="0" borderId="0" xfId="0" applyFont="1" applyAlignment="1">
      <alignment horizontal="left" vertical="center" wrapText="1" readingOrder="1"/>
    </xf>
    <xf numFmtId="0" fontId="38" fillId="0" borderId="0" xfId="0" applyFont="1" applyAlignment="1">
      <alignment horizontal="left" wrapText="1" readingOrder="1"/>
    </xf>
    <xf numFmtId="5" fontId="0" fillId="0" borderId="1" xfId="13" applyNumberFormat="1" applyFont="1" applyFill="1" applyBorder="1"/>
    <xf numFmtId="164" fontId="4" fillId="4" borderId="1" xfId="13" applyNumberFormat="1" applyFont="1" applyFill="1" applyBorder="1"/>
    <xf numFmtId="6" fontId="4" fillId="0" borderId="1" xfId="13" applyNumberFormat="1" applyFill="1" applyBorder="1" applyAlignment="1">
      <alignment horizontal="right"/>
    </xf>
    <xf numFmtId="49" fontId="4" fillId="0" borderId="1" xfId="13" applyNumberFormat="1" applyFill="1" applyBorder="1" applyAlignment="1">
      <alignment horizontal="right"/>
    </xf>
    <xf numFmtId="6" fontId="4" fillId="0" borderId="1" xfId="13" applyNumberFormat="1" applyFont="1" applyFill="1" applyBorder="1"/>
    <xf numFmtId="164" fontId="11" fillId="4" borderId="1" xfId="11" applyNumberFormat="1" applyFont="1" applyFill="1" applyBorder="1" applyAlignment="1">
      <alignment vertical="center"/>
    </xf>
    <xf numFmtId="5" fontId="11" fillId="4" borderId="1" xfId="13" applyNumberFormat="1" applyFont="1" applyFill="1" applyBorder="1" applyAlignment="1">
      <alignment horizontal="right" vertical="center" wrapText="1"/>
    </xf>
    <xf numFmtId="3" fontId="11" fillId="4" borderId="1" xfId="11" applyNumberFormat="1" applyFont="1" applyFill="1" applyBorder="1" applyAlignment="1">
      <alignment horizontal="right" vertical="center" wrapText="1"/>
    </xf>
    <xf numFmtId="5" fontId="11" fillId="0" borderId="1" xfId="13" applyNumberFormat="1" applyFont="1" applyBorder="1" applyAlignment="1">
      <alignment horizontal="right" vertical="center" wrapText="1"/>
    </xf>
    <xf numFmtId="3" fontId="11" fillId="0" borderId="1" xfId="11" applyNumberFormat="1" applyFont="1" applyBorder="1" applyAlignment="1">
      <alignment horizontal="right" vertical="center" wrapText="1"/>
    </xf>
    <xf numFmtId="164" fontId="11" fillId="0" borderId="1" xfId="11" applyNumberFormat="1" applyFont="1" applyBorder="1" applyAlignment="1">
      <alignment vertical="center"/>
    </xf>
    <xf numFmtId="164" fontId="11" fillId="2" borderId="1" xfId="9" applyNumberFormat="1" applyFont="1" applyFill="1" applyBorder="1" applyAlignment="1">
      <alignment vertical="center"/>
    </xf>
    <xf numFmtId="5" fontId="11" fillId="2" borderId="1" xfId="9" applyNumberFormat="1" applyFont="1" applyFill="1" applyBorder="1" applyAlignment="1">
      <alignment horizontal="right" vertical="center"/>
    </xf>
    <xf numFmtId="3" fontId="11" fillId="2" borderId="1" xfId="9" applyNumberFormat="1" applyFont="1" applyFill="1" applyBorder="1" applyAlignment="1">
      <alignment horizontal="right" vertical="center"/>
    </xf>
    <xf numFmtId="3" fontId="11" fillId="0" borderId="1" xfId="13" applyNumberFormat="1" applyFont="1" applyFill="1" applyBorder="1" applyAlignment="1">
      <alignment horizontal="right" vertical="center" wrapText="1"/>
    </xf>
    <xf numFmtId="3" fontId="11" fillId="0" borderId="1" xfId="13" applyNumberFormat="1" applyFont="1" applyBorder="1" applyAlignment="1">
      <alignment horizontal="right" vertical="center" wrapText="1"/>
    </xf>
    <xf numFmtId="3" fontId="11" fillId="2" borderId="1" xfId="9" applyNumberFormat="1" applyFont="1" applyFill="1" applyBorder="1" applyAlignment="1">
      <alignment vertical="center"/>
    </xf>
    <xf numFmtId="0" fontId="4" fillId="0" borderId="3" xfId="3" applyFont="1" applyBorder="1" applyAlignment="1">
      <alignment horizontal="center" vertical="top" wrapText="1"/>
    </xf>
    <xf numFmtId="6" fontId="4" fillId="0" borderId="3" xfId="3" applyNumberFormat="1" applyFont="1" applyBorder="1" applyAlignment="1">
      <alignment horizontal="right" vertical="top" wrapText="1"/>
    </xf>
    <xf numFmtId="6" fontId="4" fillId="0" borderId="2" xfId="3" applyNumberFormat="1" applyFont="1" applyBorder="1" applyAlignment="1">
      <alignment horizontal="right" vertical="top" wrapText="1"/>
    </xf>
    <xf numFmtId="0" fontId="25" fillId="0" borderId="3" xfId="0" applyFont="1" applyBorder="1" applyAlignment="1">
      <alignment horizontal="center" vertical="top" wrapText="1"/>
    </xf>
    <xf numFmtId="6" fontId="25" fillId="0" borderId="3" xfId="3" applyNumberFormat="1" applyFont="1" applyBorder="1" applyAlignment="1">
      <alignment horizontal="center" vertical="top" wrapText="1"/>
    </xf>
    <xf numFmtId="164" fontId="4" fillId="0" borderId="3" xfId="3" applyNumberFormat="1" applyFont="1" applyBorder="1" applyAlignment="1">
      <alignment horizontal="right" vertical="top" wrapText="1"/>
    </xf>
    <xf numFmtId="0" fontId="25" fillId="0" borderId="3" xfId="3" applyFont="1" applyBorder="1" applyAlignment="1">
      <alignment horizontal="center" vertical="top" wrapText="1"/>
    </xf>
    <xf numFmtId="164" fontId="4" fillId="0" borderId="3" xfId="13" applyNumberFormat="1" applyFont="1" applyFill="1" applyBorder="1" applyAlignment="1">
      <alignment horizontal="right" vertical="top" wrapText="1"/>
    </xf>
    <xf numFmtId="5" fontId="39" fillId="0" borderId="3" xfId="13" applyNumberFormat="1" applyFont="1" applyFill="1" applyBorder="1" applyAlignment="1">
      <alignment horizontal="center" vertical="top" wrapText="1"/>
    </xf>
    <xf numFmtId="165" fontId="25" fillId="0" borderId="3" xfId="13" applyNumberFormat="1" applyFont="1" applyFill="1" applyBorder="1" applyAlignment="1">
      <alignment horizontal="center" vertical="top" wrapText="1"/>
    </xf>
    <xf numFmtId="165" fontId="30" fillId="0" borderId="3" xfId="13" applyNumberFormat="1" applyFont="1" applyFill="1" applyBorder="1" applyAlignment="1">
      <alignment horizontal="center" vertical="top" wrapText="1"/>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4" fillId="0" borderId="0" xfId="0" applyFont="1" applyAlignment="1">
      <alignment horizontal="left" wrapText="1"/>
    </xf>
    <xf numFmtId="0" fontId="9" fillId="0" borderId="4" xfId="0" applyFont="1" applyBorder="1" applyAlignment="1">
      <alignment horizontal="center" wrapText="1"/>
    </xf>
    <xf numFmtId="0" fontId="12" fillId="2" borderId="2" xfId="3" applyFont="1" applyFill="1" applyBorder="1" applyAlignment="1">
      <alignment horizontal="center" wrapText="1"/>
    </xf>
    <xf numFmtId="0" fontId="12" fillId="2" borderId="3" xfId="3" applyFont="1" applyFill="1" applyBorder="1" applyAlignment="1">
      <alignment horizontal="center" wrapText="1"/>
    </xf>
    <xf numFmtId="0" fontId="14" fillId="0" borderId="4" xfId="0" applyFont="1" applyBorder="1" applyAlignment="1">
      <alignment horizont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6" fillId="0" borderId="4" xfId="0" applyFont="1" applyBorder="1" applyAlignment="1">
      <alignment horizontal="center"/>
    </xf>
    <xf numFmtId="0" fontId="14" fillId="0" borderId="4" xfId="5" applyFont="1" applyBorder="1" applyAlignment="1">
      <alignment horizontal="center" vertical="center" wrapText="1"/>
    </xf>
    <xf numFmtId="0" fontId="5" fillId="0" borderId="4" xfId="0" applyFont="1" applyBorder="1" applyAlignment="1">
      <alignment horizontal="center" vertical="center" wrapText="1"/>
    </xf>
    <xf numFmtId="0" fontId="14" fillId="0" borderId="4" xfId="0" applyFont="1" applyBorder="1" applyAlignment="1">
      <alignment horizontal="center"/>
    </xf>
    <xf numFmtId="0" fontId="16" fillId="0" borderId="4" xfId="11" applyFont="1" applyBorder="1" applyAlignment="1">
      <alignment horizontal="center" vertical="center" wrapText="1"/>
    </xf>
    <xf numFmtId="0" fontId="10" fillId="6" borderId="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6" borderId="9" xfId="0" applyFont="1" applyFill="1" applyBorder="1" applyAlignment="1">
      <alignment vertical="center" wrapText="1"/>
    </xf>
    <xf numFmtId="0" fontId="11" fillId="6" borderId="3" xfId="0" applyFont="1" applyFill="1" applyBorder="1" applyAlignment="1">
      <alignment vertical="center" wrapText="1"/>
    </xf>
    <xf numFmtId="0" fontId="10" fillId="6" borderId="1" xfId="0" applyFont="1" applyFill="1" applyBorder="1" applyAlignment="1">
      <alignment horizontal="center" vertical="center" wrapText="1"/>
    </xf>
    <xf numFmtId="0" fontId="33" fillId="0" borderId="6" xfId="0" applyFont="1" applyBorder="1"/>
    <xf numFmtId="164" fontId="33" fillId="0" borderId="6" xfId="0" applyNumberFormat="1" applyFont="1" applyBorder="1" applyAlignment="1">
      <alignment horizontal="left"/>
    </xf>
    <xf numFmtId="3" fontId="33" fillId="0" borderId="6" xfId="0" applyNumberFormat="1" applyFont="1" applyBorder="1"/>
    <xf numFmtId="164" fontId="4" fillId="0" borderId="8" xfId="0" applyNumberFormat="1" applyFont="1" applyBorder="1" applyAlignment="1">
      <alignment horizontal="center" vertical="center"/>
    </xf>
    <xf numFmtId="0" fontId="11" fillId="0" borderId="0" xfId="0" quotePrefix="1" applyFont="1" applyAlignment="1">
      <alignment horizontal="right"/>
    </xf>
    <xf numFmtId="164" fontId="11" fillId="0" borderId="1" xfId="0" applyNumberFormat="1" applyFont="1" applyBorder="1" applyAlignment="1">
      <alignment horizontal="center"/>
    </xf>
    <xf numFmtId="164" fontId="10" fillId="0" borderId="9" xfId="0" applyNumberFormat="1" applyFont="1" applyBorder="1"/>
    <xf numFmtId="0" fontId="11" fillId="0" borderId="9" xfId="0" applyFont="1" applyBorder="1" applyAlignment="1">
      <alignment horizontal="center" wrapText="1"/>
    </xf>
    <xf numFmtId="14" fontId="11" fillId="0" borderId="0" xfId="0" applyNumberFormat="1" applyFont="1"/>
    <xf numFmtId="14" fontId="27" fillId="0" borderId="1" xfId="0" applyNumberFormat="1" applyFont="1" applyBorder="1" applyAlignment="1">
      <alignment horizontal="center"/>
    </xf>
    <xf numFmtId="0" fontId="27" fillId="0" borderId="1" xfId="0" applyFont="1" applyBorder="1" applyAlignment="1">
      <alignment horizontal="center"/>
    </xf>
    <xf numFmtId="14" fontId="11" fillId="0" borderId="1" xfId="0" applyNumberFormat="1" applyFont="1" applyBorder="1" applyAlignment="1">
      <alignment horizontal="center" wrapText="1"/>
    </xf>
    <xf numFmtId="0" fontId="4" fillId="0" borderId="1" xfId="0" applyFont="1" applyBorder="1" applyAlignment="1">
      <alignment horizontal="left" wrapText="1"/>
    </xf>
    <xf numFmtId="6" fontId="4" fillId="7" borderId="0" xfId="13" applyNumberFormat="1" applyFill="1"/>
    <xf numFmtId="164" fontId="4" fillId="0" borderId="1" xfId="13" applyNumberFormat="1" applyFont="1" applyFill="1" applyBorder="1"/>
  </cellXfs>
  <cellStyles count="17">
    <cellStyle name="Comma" xfId="10" builtinId="3"/>
    <cellStyle name="Comma 2 2" xfId="16" xr:uid="{E7012789-E6E9-4292-9175-3CF07DCB68DC}"/>
    <cellStyle name="Currency 2" xfId="1" xr:uid="{00000000-0005-0000-0000-000001000000}"/>
    <cellStyle name="Currency 2 2" xfId="13" xr:uid="{00000000-0005-0000-0000-000002000000}"/>
    <cellStyle name="Currency 3" xfId="7" xr:uid="{00000000-0005-0000-0000-000003000000}"/>
    <cellStyle name="Normal" xfId="0" builtinId="0"/>
    <cellStyle name="Normal 2" xfId="2" xr:uid="{00000000-0005-0000-0000-000005000000}"/>
    <cellStyle name="Normal 3" xfId="8" xr:uid="{00000000-0005-0000-0000-000006000000}"/>
    <cellStyle name="Normal 3 2" xfId="14" xr:uid="{00000000-0005-0000-0000-000007000000}"/>
    <cellStyle name="Normal 3 2 2" xfId="15" xr:uid="{1AD2CA95-D516-410F-9278-29E09DB79AAA}"/>
    <cellStyle name="Normal 4" xfId="11" xr:uid="{00000000-0005-0000-0000-000008000000}"/>
    <cellStyle name="Normal 7" xfId="12" xr:uid="{00000000-0005-0000-0000-000009000000}"/>
    <cellStyle name="Normal_FY 2002 Project Summary" xfId="5" xr:uid="{00000000-0005-0000-0000-00000A000000}"/>
    <cellStyle name="Normal_FY 2002 Project Summary 2" xfId="9" xr:uid="{00000000-0005-0000-0000-00000B000000}"/>
    <cellStyle name="Normal_Sheet1" xfId="6" xr:uid="{00000000-0005-0000-0000-00000C000000}"/>
    <cellStyle name="Normal_Sheet1 2" xfId="3" xr:uid="{00000000-0005-0000-0000-00000D000000}"/>
    <cellStyle name="Normal_Sheet1_SRT" xfId="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p, Debra" id="{8BD2B7DB-A28A-4DC7-AFE9-1519F4688082}" userId="S::Debra.Arp@iowadot.us::d48785bd-b7a7-40eb-a3fc-a599eb021d8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0-02-26T23:15:49.23" personId="{8BD2B7DB-A28A-4DC7-AFE9-1519F4688082}" id="{191E1F5E-36F4-4DDC-92DD-1067373672B4}">
    <text>When I did this report in Jan 2020, there were a few projects that either had balances remaining that were allowed to go on another project or where balances were accepted from another project.  I left these projects alone and did not make things complicated in order to get the report done quickly.  For next year, review the database notes carefully.  Most of these should be closed.  Discuss with me before finalizing the report to determine if we need to add notes and what they say.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7"/>
  <sheetViews>
    <sheetView tabSelected="1" zoomScale="90" zoomScaleNormal="90" workbookViewId="0">
      <selection activeCell="M9" sqref="M9"/>
    </sheetView>
  </sheetViews>
  <sheetFormatPr defaultRowHeight="12.75" x14ac:dyDescent="0.2"/>
  <cols>
    <col min="1" max="1" width="30.5703125" style="281" customWidth="1"/>
    <col min="2" max="2" width="39.140625" style="282" customWidth="1"/>
    <col min="3" max="3" width="14.7109375" style="283" customWidth="1"/>
    <col min="4" max="4" width="14.28515625" style="283" customWidth="1"/>
    <col min="5" max="5" width="22.7109375" style="284" customWidth="1"/>
    <col min="6" max="6" width="12.5703125" style="283" customWidth="1"/>
    <col min="7" max="7" width="15" style="283" customWidth="1"/>
    <col min="8" max="8" width="24" style="285" customWidth="1"/>
    <col min="9" max="9" width="17.28515625" style="285" customWidth="1"/>
    <col min="10" max="10" width="10.85546875" style="266" customWidth="1"/>
    <col min="11" max="256" width="9.140625" style="266"/>
    <col min="257" max="257" width="18.28515625" style="266" customWidth="1"/>
    <col min="258" max="258" width="48.5703125" style="266" customWidth="1"/>
    <col min="259" max="259" width="14.7109375" style="266" customWidth="1"/>
    <col min="260" max="260" width="14.28515625" style="266" customWidth="1"/>
    <col min="261" max="261" width="30.7109375" style="266" customWidth="1"/>
    <col min="262" max="262" width="12.5703125" style="266" customWidth="1"/>
    <col min="263" max="263" width="15" style="266" customWidth="1"/>
    <col min="264" max="264" width="17.85546875" style="266" customWidth="1"/>
    <col min="265" max="265" width="17.28515625" style="266" customWidth="1"/>
    <col min="266" max="266" width="10.85546875" style="266" customWidth="1"/>
    <col min="267" max="512" width="9.140625" style="266"/>
    <col min="513" max="513" width="18.28515625" style="266" customWidth="1"/>
    <col min="514" max="514" width="48.5703125" style="266" customWidth="1"/>
    <col min="515" max="515" width="14.7109375" style="266" customWidth="1"/>
    <col min="516" max="516" width="14.28515625" style="266" customWidth="1"/>
    <col min="517" max="517" width="30.7109375" style="266" customWidth="1"/>
    <col min="518" max="518" width="12.5703125" style="266" customWidth="1"/>
    <col min="519" max="519" width="15" style="266" customWidth="1"/>
    <col min="520" max="520" width="17.85546875" style="266" customWidth="1"/>
    <col min="521" max="521" width="17.28515625" style="266" customWidth="1"/>
    <col min="522" max="522" width="10.85546875" style="266" customWidth="1"/>
    <col min="523" max="768" width="9.140625" style="266"/>
    <col min="769" max="769" width="18.28515625" style="266" customWidth="1"/>
    <col min="770" max="770" width="48.5703125" style="266" customWidth="1"/>
    <col min="771" max="771" width="14.7109375" style="266" customWidth="1"/>
    <col min="772" max="772" width="14.28515625" style="266" customWidth="1"/>
    <col min="773" max="773" width="30.7109375" style="266" customWidth="1"/>
    <col min="774" max="774" width="12.5703125" style="266" customWidth="1"/>
    <col min="775" max="775" width="15" style="266" customWidth="1"/>
    <col min="776" max="776" width="17.85546875" style="266" customWidth="1"/>
    <col min="777" max="777" width="17.28515625" style="266" customWidth="1"/>
    <col min="778" max="778" width="10.85546875" style="266" customWidth="1"/>
    <col min="779" max="1024" width="9.140625" style="266"/>
    <col min="1025" max="1025" width="18.28515625" style="266" customWidth="1"/>
    <col min="1026" max="1026" width="48.5703125" style="266" customWidth="1"/>
    <col min="1027" max="1027" width="14.7109375" style="266" customWidth="1"/>
    <col min="1028" max="1028" width="14.28515625" style="266" customWidth="1"/>
    <col min="1029" max="1029" width="30.7109375" style="266" customWidth="1"/>
    <col min="1030" max="1030" width="12.5703125" style="266" customWidth="1"/>
    <col min="1031" max="1031" width="15" style="266" customWidth="1"/>
    <col min="1032" max="1032" width="17.85546875" style="266" customWidth="1"/>
    <col min="1033" max="1033" width="17.28515625" style="266" customWidth="1"/>
    <col min="1034" max="1034" width="10.85546875" style="266" customWidth="1"/>
    <col min="1035" max="1280" width="9.140625" style="266"/>
    <col min="1281" max="1281" width="18.28515625" style="266" customWidth="1"/>
    <col min="1282" max="1282" width="48.5703125" style="266" customWidth="1"/>
    <col min="1283" max="1283" width="14.7109375" style="266" customWidth="1"/>
    <col min="1284" max="1284" width="14.28515625" style="266" customWidth="1"/>
    <col min="1285" max="1285" width="30.7109375" style="266" customWidth="1"/>
    <col min="1286" max="1286" width="12.5703125" style="266" customWidth="1"/>
    <col min="1287" max="1287" width="15" style="266" customWidth="1"/>
    <col min="1288" max="1288" width="17.85546875" style="266" customWidth="1"/>
    <col min="1289" max="1289" width="17.28515625" style="266" customWidth="1"/>
    <col min="1290" max="1290" width="10.85546875" style="266" customWidth="1"/>
    <col min="1291" max="1536" width="9.140625" style="266"/>
    <col min="1537" max="1537" width="18.28515625" style="266" customWidth="1"/>
    <col min="1538" max="1538" width="48.5703125" style="266" customWidth="1"/>
    <col min="1539" max="1539" width="14.7109375" style="266" customWidth="1"/>
    <col min="1540" max="1540" width="14.28515625" style="266" customWidth="1"/>
    <col min="1541" max="1541" width="30.7109375" style="266" customWidth="1"/>
    <col min="1542" max="1542" width="12.5703125" style="266" customWidth="1"/>
    <col min="1543" max="1543" width="15" style="266" customWidth="1"/>
    <col min="1544" max="1544" width="17.85546875" style="266" customWidth="1"/>
    <col min="1545" max="1545" width="17.28515625" style="266" customWidth="1"/>
    <col min="1546" max="1546" width="10.85546875" style="266" customWidth="1"/>
    <col min="1547" max="1792" width="9.140625" style="266"/>
    <col min="1793" max="1793" width="18.28515625" style="266" customWidth="1"/>
    <col min="1794" max="1794" width="48.5703125" style="266" customWidth="1"/>
    <col min="1795" max="1795" width="14.7109375" style="266" customWidth="1"/>
    <col min="1796" max="1796" width="14.28515625" style="266" customWidth="1"/>
    <col min="1797" max="1797" width="30.7109375" style="266" customWidth="1"/>
    <col min="1798" max="1798" width="12.5703125" style="266" customWidth="1"/>
    <col min="1799" max="1799" width="15" style="266" customWidth="1"/>
    <col min="1800" max="1800" width="17.85546875" style="266" customWidth="1"/>
    <col min="1801" max="1801" width="17.28515625" style="266" customWidth="1"/>
    <col min="1802" max="1802" width="10.85546875" style="266" customWidth="1"/>
    <col min="1803" max="2048" width="9.140625" style="266"/>
    <col min="2049" max="2049" width="18.28515625" style="266" customWidth="1"/>
    <col min="2050" max="2050" width="48.5703125" style="266" customWidth="1"/>
    <col min="2051" max="2051" width="14.7109375" style="266" customWidth="1"/>
    <col min="2052" max="2052" width="14.28515625" style="266" customWidth="1"/>
    <col min="2053" max="2053" width="30.7109375" style="266" customWidth="1"/>
    <col min="2054" max="2054" width="12.5703125" style="266" customWidth="1"/>
    <col min="2055" max="2055" width="15" style="266" customWidth="1"/>
    <col min="2056" max="2056" width="17.85546875" style="266" customWidth="1"/>
    <col min="2057" max="2057" width="17.28515625" style="266" customWidth="1"/>
    <col min="2058" max="2058" width="10.85546875" style="266" customWidth="1"/>
    <col min="2059" max="2304" width="9.140625" style="266"/>
    <col min="2305" max="2305" width="18.28515625" style="266" customWidth="1"/>
    <col min="2306" max="2306" width="48.5703125" style="266" customWidth="1"/>
    <col min="2307" max="2307" width="14.7109375" style="266" customWidth="1"/>
    <col min="2308" max="2308" width="14.28515625" style="266" customWidth="1"/>
    <col min="2309" max="2309" width="30.7109375" style="266" customWidth="1"/>
    <col min="2310" max="2310" width="12.5703125" style="266" customWidth="1"/>
    <col min="2311" max="2311" width="15" style="266" customWidth="1"/>
    <col min="2312" max="2312" width="17.85546875" style="266" customWidth="1"/>
    <col min="2313" max="2313" width="17.28515625" style="266" customWidth="1"/>
    <col min="2314" max="2314" width="10.85546875" style="266" customWidth="1"/>
    <col min="2315" max="2560" width="9.140625" style="266"/>
    <col min="2561" max="2561" width="18.28515625" style="266" customWidth="1"/>
    <col min="2562" max="2562" width="48.5703125" style="266" customWidth="1"/>
    <col min="2563" max="2563" width="14.7109375" style="266" customWidth="1"/>
    <col min="2564" max="2564" width="14.28515625" style="266" customWidth="1"/>
    <col min="2565" max="2565" width="30.7109375" style="266" customWidth="1"/>
    <col min="2566" max="2566" width="12.5703125" style="266" customWidth="1"/>
    <col min="2567" max="2567" width="15" style="266" customWidth="1"/>
    <col min="2568" max="2568" width="17.85546875" style="266" customWidth="1"/>
    <col min="2569" max="2569" width="17.28515625" style="266" customWidth="1"/>
    <col min="2570" max="2570" width="10.85546875" style="266" customWidth="1"/>
    <col min="2571" max="2816" width="9.140625" style="266"/>
    <col min="2817" max="2817" width="18.28515625" style="266" customWidth="1"/>
    <col min="2818" max="2818" width="48.5703125" style="266" customWidth="1"/>
    <col min="2819" max="2819" width="14.7109375" style="266" customWidth="1"/>
    <col min="2820" max="2820" width="14.28515625" style="266" customWidth="1"/>
    <col min="2821" max="2821" width="30.7109375" style="266" customWidth="1"/>
    <col min="2822" max="2822" width="12.5703125" style="266" customWidth="1"/>
    <col min="2823" max="2823" width="15" style="266" customWidth="1"/>
    <col min="2824" max="2824" width="17.85546875" style="266" customWidth="1"/>
    <col min="2825" max="2825" width="17.28515625" style="266" customWidth="1"/>
    <col min="2826" max="2826" width="10.85546875" style="266" customWidth="1"/>
    <col min="2827" max="3072" width="9.140625" style="266"/>
    <col min="3073" max="3073" width="18.28515625" style="266" customWidth="1"/>
    <col min="3074" max="3074" width="48.5703125" style="266" customWidth="1"/>
    <col min="3075" max="3075" width="14.7109375" style="266" customWidth="1"/>
    <col min="3076" max="3076" width="14.28515625" style="266" customWidth="1"/>
    <col min="3077" max="3077" width="30.7109375" style="266" customWidth="1"/>
    <col min="3078" max="3078" width="12.5703125" style="266" customWidth="1"/>
    <col min="3079" max="3079" width="15" style="266" customWidth="1"/>
    <col min="3080" max="3080" width="17.85546875" style="266" customWidth="1"/>
    <col min="3081" max="3081" width="17.28515625" style="266" customWidth="1"/>
    <col min="3082" max="3082" width="10.85546875" style="266" customWidth="1"/>
    <col min="3083" max="3328" width="9.140625" style="266"/>
    <col min="3329" max="3329" width="18.28515625" style="266" customWidth="1"/>
    <col min="3330" max="3330" width="48.5703125" style="266" customWidth="1"/>
    <col min="3331" max="3331" width="14.7109375" style="266" customWidth="1"/>
    <col min="3332" max="3332" width="14.28515625" style="266" customWidth="1"/>
    <col min="3333" max="3333" width="30.7109375" style="266" customWidth="1"/>
    <col min="3334" max="3334" width="12.5703125" style="266" customWidth="1"/>
    <col min="3335" max="3335" width="15" style="266" customWidth="1"/>
    <col min="3336" max="3336" width="17.85546875" style="266" customWidth="1"/>
    <col min="3337" max="3337" width="17.28515625" style="266" customWidth="1"/>
    <col min="3338" max="3338" width="10.85546875" style="266" customWidth="1"/>
    <col min="3339" max="3584" width="9.140625" style="266"/>
    <col min="3585" max="3585" width="18.28515625" style="266" customWidth="1"/>
    <col min="3586" max="3586" width="48.5703125" style="266" customWidth="1"/>
    <col min="3587" max="3587" width="14.7109375" style="266" customWidth="1"/>
    <col min="3588" max="3588" width="14.28515625" style="266" customWidth="1"/>
    <col min="3589" max="3589" width="30.7109375" style="266" customWidth="1"/>
    <col min="3590" max="3590" width="12.5703125" style="266" customWidth="1"/>
    <col min="3591" max="3591" width="15" style="266" customWidth="1"/>
    <col min="3592" max="3592" width="17.85546875" style="266" customWidth="1"/>
    <col min="3593" max="3593" width="17.28515625" style="266" customWidth="1"/>
    <col min="3594" max="3594" width="10.85546875" style="266" customWidth="1"/>
    <col min="3595" max="3840" width="9.140625" style="266"/>
    <col min="3841" max="3841" width="18.28515625" style="266" customWidth="1"/>
    <col min="3842" max="3842" width="48.5703125" style="266" customWidth="1"/>
    <col min="3843" max="3843" width="14.7109375" style="266" customWidth="1"/>
    <col min="3844" max="3844" width="14.28515625" style="266" customWidth="1"/>
    <col min="3845" max="3845" width="30.7109375" style="266" customWidth="1"/>
    <col min="3846" max="3846" width="12.5703125" style="266" customWidth="1"/>
    <col min="3847" max="3847" width="15" style="266" customWidth="1"/>
    <col min="3848" max="3848" width="17.85546875" style="266" customWidth="1"/>
    <col min="3849" max="3849" width="17.28515625" style="266" customWidth="1"/>
    <col min="3850" max="3850" width="10.85546875" style="266" customWidth="1"/>
    <col min="3851" max="4096" width="9.140625" style="266"/>
    <col min="4097" max="4097" width="18.28515625" style="266" customWidth="1"/>
    <col min="4098" max="4098" width="48.5703125" style="266" customWidth="1"/>
    <col min="4099" max="4099" width="14.7109375" style="266" customWidth="1"/>
    <col min="4100" max="4100" width="14.28515625" style="266" customWidth="1"/>
    <col min="4101" max="4101" width="30.7109375" style="266" customWidth="1"/>
    <col min="4102" max="4102" width="12.5703125" style="266" customWidth="1"/>
    <col min="4103" max="4103" width="15" style="266" customWidth="1"/>
    <col min="4104" max="4104" width="17.85546875" style="266" customWidth="1"/>
    <col min="4105" max="4105" width="17.28515625" style="266" customWidth="1"/>
    <col min="4106" max="4106" width="10.85546875" style="266" customWidth="1"/>
    <col min="4107" max="4352" width="9.140625" style="266"/>
    <col min="4353" max="4353" width="18.28515625" style="266" customWidth="1"/>
    <col min="4354" max="4354" width="48.5703125" style="266" customWidth="1"/>
    <col min="4355" max="4355" width="14.7109375" style="266" customWidth="1"/>
    <col min="4356" max="4356" width="14.28515625" style="266" customWidth="1"/>
    <col min="4357" max="4357" width="30.7109375" style="266" customWidth="1"/>
    <col min="4358" max="4358" width="12.5703125" style="266" customWidth="1"/>
    <col min="4359" max="4359" width="15" style="266" customWidth="1"/>
    <col min="4360" max="4360" width="17.85546875" style="266" customWidth="1"/>
    <col min="4361" max="4361" width="17.28515625" style="266" customWidth="1"/>
    <col min="4362" max="4362" width="10.85546875" style="266" customWidth="1"/>
    <col min="4363" max="4608" width="9.140625" style="266"/>
    <col min="4609" max="4609" width="18.28515625" style="266" customWidth="1"/>
    <col min="4610" max="4610" width="48.5703125" style="266" customWidth="1"/>
    <col min="4611" max="4611" width="14.7109375" style="266" customWidth="1"/>
    <col min="4612" max="4612" width="14.28515625" style="266" customWidth="1"/>
    <col min="4613" max="4613" width="30.7109375" style="266" customWidth="1"/>
    <col min="4614" max="4614" width="12.5703125" style="266" customWidth="1"/>
    <col min="4615" max="4615" width="15" style="266" customWidth="1"/>
    <col min="4616" max="4616" width="17.85546875" style="266" customWidth="1"/>
    <col min="4617" max="4617" width="17.28515625" style="266" customWidth="1"/>
    <col min="4618" max="4618" width="10.85546875" style="266" customWidth="1"/>
    <col min="4619" max="4864" width="9.140625" style="266"/>
    <col min="4865" max="4865" width="18.28515625" style="266" customWidth="1"/>
    <col min="4866" max="4866" width="48.5703125" style="266" customWidth="1"/>
    <col min="4867" max="4867" width="14.7109375" style="266" customWidth="1"/>
    <col min="4868" max="4868" width="14.28515625" style="266" customWidth="1"/>
    <col min="4869" max="4869" width="30.7109375" style="266" customWidth="1"/>
    <col min="4870" max="4870" width="12.5703125" style="266" customWidth="1"/>
    <col min="4871" max="4871" width="15" style="266" customWidth="1"/>
    <col min="4872" max="4872" width="17.85546875" style="266" customWidth="1"/>
    <col min="4873" max="4873" width="17.28515625" style="266" customWidth="1"/>
    <col min="4874" max="4874" width="10.85546875" style="266" customWidth="1"/>
    <col min="4875" max="5120" width="9.140625" style="266"/>
    <col min="5121" max="5121" width="18.28515625" style="266" customWidth="1"/>
    <col min="5122" max="5122" width="48.5703125" style="266" customWidth="1"/>
    <col min="5123" max="5123" width="14.7109375" style="266" customWidth="1"/>
    <col min="5124" max="5124" width="14.28515625" style="266" customWidth="1"/>
    <col min="5125" max="5125" width="30.7109375" style="266" customWidth="1"/>
    <col min="5126" max="5126" width="12.5703125" style="266" customWidth="1"/>
    <col min="5127" max="5127" width="15" style="266" customWidth="1"/>
    <col min="5128" max="5128" width="17.85546875" style="266" customWidth="1"/>
    <col min="5129" max="5129" width="17.28515625" style="266" customWidth="1"/>
    <col min="5130" max="5130" width="10.85546875" style="266" customWidth="1"/>
    <col min="5131" max="5376" width="9.140625" style="266"/>
    <col min="5377" max="5377" width="18.28515625" style="266" customWidth="1"/>
    <col min="5378" max="5378" width="48.5703125" style="266" customWidth="1"/>
    <col min="5379" max="5379" width="14.7109375" style="266" customWidth="1"/>
    <col min="5380" max="5380" width="14.28515625" style="266" customWidth="1"/>
    <col min="5381" max="5381" width="30.7109375" style="266" customWidth="1"/>
    <col min="5382" max="5382" width="12.5703125" style="266" customWidth="1"/>
    <col min="5383" max="5383" width="15" style="266" customWidth="1"/>
    <col min="5384" max="5384" width="17.85546875" style="266" customWidth="1"/>
    <col min="5385" max="5385" width="17.28515625" style="266" customWidth="1"/>
    <col min="5386" max="5386" width="10.85546875" style="266" customWidth="1"/>
    <col min="5387" max="5632" width="9.140625" style="266"/>
    <col min="5633" max="5633" width="18.28515625" style="266" customWidth="1"/>
    <col min="5634" max="5634" width="48.5703125" style="266" customWidth="1"/>
    <col min="5635" max="5635" width="14.7109375" style="266" customWidth="1"/>
    <col min="5636" max="5636" width="14.28515625" style="266" customWidth="1"/>
    <col min="5637" max="5637" width="30.7109375" style="266" customWidth="1"/>
    <col min="5638" max="5638" width="12.5703125" style="266" customWidth="1"/>
    <col min="5639" max="5639" width="15" style="266" customWidth="1"/>
    <col min="5640" max="5640" width="17.85546875" style="266" customWidth="1"/>
    <col min="5641" max="5641" width="17.28515625" style="266" customWidth="1"/>
    <col min="5642" max="5642" width="10.85546875" style="266" customWidth="1"/>
    <col min="5643" max="5888" width="9.140625" style="266"/>
    <col min="5889" max="5889" width="18.28515625" style="266" customWidth="1"/>
    <col min="5890" max="5890" width="48.5703125" style="266" customWidth="1"/>
    <col min="5891" max="5891" width="14.7109375" style="266" customWidth="1"/>
    <col min="5892" max="5892" width="14.28515625" style="266" customWidth="1"/>
    <col min="5893" max="5893" width="30.7109375" style="266" customWidth="1"/>
    <col min="5894" max="5894" width="12.5703125" style="266" customWidth="1"/>
    <col min="5895" max="5895" width="15" style="266" customWidth="1"/>
    <col min="5896" max="5896" width="17.85546875" style="266" customWidth="1"/>
    <col min="5897" max="5897" width="17.28515625" style="266" customWidth="1"/>
    <col min="5898" max="5898" width="10.85546875" style="266" customWidth="1"/>
    <col min="5899" max="6144" width="9.140625" style="266"/>
    <col min="6145" max="6145" width="18.28515625" style="266" customWidth="1"/>
    <col min="6146" max="6146" width="48.5703125" style="266" customWidth="1"/>
    <col min="6147" max="6147" width="14.7109375" style="266" customWidth="1"/>
    <col min="6148" max="6148" width="14.28515625" style="266" customWidth="1"/>
    <col min="6149" max="6149" width="30.7109375" style="266" customWidth="1"/>
    <col min="6150" max="6150" width="12.5703125" style="266" customWidth="1"/>
    <col min="6151" max="6151" width="15" style="266" customWidth="1"/>
    <col min="6152" max="6152" width="17.85546875" style="266" customWidth="1"/>
    <col min="6153" max="6153" width="17.28515625" style="266" customWidth="1"/>
    <col min="6154" max="6154" width="10.85546875" style="266" customWidth="1"/>
    <col min="6155" max="6400" width="9.140625" style="266"/>
    <col min="6401" max="6401" width="18.28515625" style="266" customWidth="1"/>
    <col min="6402" max="6402" width="48.5703125" style="266" customWidth="1"/>
    <col min="6403" max="6403" width="14.7109375" style="266" customWidth="1"/>
    <col min="6404" max="6404" width="14.28515625" style="266" customWidth="1"/>
    <col min="6405" max="6405" width="30.7109375" style="266" customWidth="1"/>
    <col min="6406" max="6406" width="12.5703125" style="266" customWidth="1"/>
    <col min="6407" max="6407" width="15" style="266" customWidth="1"/>
    <col min="6408" max="6408" width="17.85546875" style="266" customWidth="1"/>
    <col min="6409" max="6409" width="17.28515625" style="266" customWidth="1"/>
    <col min="6410" max="6410" width="10.85546875" style="266" customWidth="1"/>
    <col min="6411" max="6656" width="9.140625" style="266"/>
    <col min="6657" max="6657" width="18.28515625" style="266" customWidth="1"/>
    <col min="6658" max="6658" width="48.5703125" style="266" customWidth="1"/>
    <col min="6659" max="6659" width="14.7109375" style="266" customWidth="1"/>
    <col min="6660" max="6660" width="14.28515625" style="266" customWidth="1"/>
    <col min="6661" max="6661" width="30.7109375" style="266" customWidth="1"/>
    <col min="6662" max="6662" width="12.5703125" style="266" customWidth="1"/>
    <col min="6663" max="6663" width="15" style="266" customWidth="1"/>
    <col min="6664" max="6664" width="17.85546875" style="266" customWidth="1"/>
    <col min="6665" max="6665" width="17.28515625" style="266" customWidth="1"/>
    <col min="6666" max="6666" width="10.85546875" style="266" customWidth="1"/>
    <col min="6667" max="6912" width="9.140625" style="266"/>
    <col min="6913" max="6913" width="18.28515625" style="266" customWidth="1"/>
    <col min="6914" max="6914" width="48.5703125" style="266" customWidth="1"/>
    <col min="6915" max="6915" width="14.7109375" style="266" customWidth="1"/>
    <col min="6916" max="6916" width="14.28515625" style="266" customWidth="1"/>
    <col min="6917" max="6917" width="30.7109375" style="266" customWidth="1"/>
    <col min="6918" max="6918" width="12.5703125" style="266" customWidth="1"/>
    <col min="6919" max="6919" width="15" style="266" customWidth="1"/>
    <col min="6920" max="6920" width="17.85546875" style="266" customWidth="1"/>
    <col min="6921" max="6921" width="17.28515625" style="266" customWidth="1"/>
    <col min="6922" max="6922" width="10.85546875" style="266" customWidth="1"/>
    <col min="6923" max="7168" width="9.140625" style="266"/>
    <col min="7169" max="7169" width="18.28515625" style="266" customWidth="1"/>
    <col min="7170" max="7170" width="48.5703125" style="266" customWidth="1"/>
    <col min="7171" max="7171" width="14.7109375" style="266" customWidth="1"/>
    <col min="7172" max="7172" width="14.28515625" style="266" customWidth="1"/>
    <col min="7173" max="7173" width="30.7109375" style="266" customWidth="1"/>
    <col min="7174" max="7174" width="12.5703125" style="266" customWidth="1"/>
    <col min="7175" max="7175" width="15" style="266" customWidth="1"/>
    <col min="7176" max="7176" width="17.85546875" style="266" customWidth="1"/>
    <col min="7177" max="7177" width="17.28515625" style="266" customWidth="1"/>
    <col min="7178" max="7178" width="10.85546875" style="266" customWidth="1"/>
    <col min="7179" max="7424" width="9.140625" style="266"/>
    <col min="7425" max="7425" width="18.28515625" style="266" customWidth="1"/>
    <col min="7426" max="7426" width="48.5703125" style="266" customWidth="1"/>
    <col min="7427" max="7427" width="14.7109375" style="266" customWidth="1"/>
    <col min="7428" max="7428" width="14.28515625" style="266" customWidth="1"/>
    <col min="7429" max="7429" width="30.7109375" style="266" customWidth="1"/>
    <col min="7430" max="7430" width="12.5703125" style="266" customWidth="1"/>
    <col min="7431" max="7431" width="15" style="266" customWidth="1"/>
    <col min="7432" max="7432" width="17.85546875" style="266" customWidth="1"/>
    <col min="7433" max="7433" width="17.28515625" style="266" customWidth="1"/>
    <col min="7434" max="7434" width="10.85546875" style="266" customWidth="1"/>
    <col min="7435" max="7680" width="9.140625" style="266"/>
    <col min="7681" max="7681" width="18.28515625" style="266" customWidth="1"/>
    <col min="7682" max="7682" width="48.5703125" style="266" customWidth="1"/>
    <col min="7683" max="7683" width="14.7109375" style="266" customWidth="1"/>
    <col min="7684" max="7684" width="14.28515625" style="266" customWidth="1"/>
    <col min="7685" max="7685" width="30.7109375" style="266" customWidth="1"/>
    <col min="7686" max="7686" width="12.5703125" style="266" customWidth="1"/>
    <col min="7687" max="7687" width="15" style="266" customWidth="1"/>
    <col min="7688" max="7688" width="17.85546875" style="266" customWidth="1"/>
    <col min="7689" max="7689" width="17.28515625" style="266" customWidth="1"/>
    <col min="7690" max="7690" width="10.85546875" style="266" customWidth="1"/>
    <col min="7691" max="7936" width="9.140625" style="266"/>
    <col min="7937" max="7937" width="18.28515625" style="266" customWidth="1"/>
    <col min="7938" max="7938" width="48.5703125" style="266" customWidth="1"/>
    <col min="7939" max="7939" width="14.7109375" style="266" customWidth="1"/>
    <col min="7940" max="7940" width="14.28515625" style="266" customWidth="1"/>
    <col min="7941" max="7941" width="30.7109375" style="266" customWidth="1"/>
    <col min="7942" max="7942" width="12.5703125" style="266" customWidth="1"/>
    <col min="7943" max="7943" width="15" style="266" customWidth="1"/>
    <col min="7944" max="7944" width="17.85546875" style="266" customWidth="1"/>
    <col min="7945" max="7945" width="17.28515625" style="266" customWidth="1"/>
    <col min="7946" max="7946" width="10.85546875" style="266" customWidth="1"/>
    <col min="7947" max="8192" width="9.140625" style="266"/>
    <col min="8193" max="8193" width="18.28515625" style="266" customWidth="1"/>
    <col min="8194" max="8194" width="48.5703125" style="266" customWidth="1"/>
    <col min="8195" max="8195" width="14.7109375" style="266" customWidth="1"/>
    <col min="8196" max="8196" width="14.28515625" style="266" customWidth="1"/>
    <col min="8197" max="8197" width="30.7109375" style="266" customWidth="1"/>
    <col min="8198" max="8198" width="12.5703125" style="266" customWidth="1"/>
    <col min="8199" max="8199" width="15" style="266" customWidth="1"/>
    <col min="8200" max="8200" width="17.85546875" style="266" customWidth="1"/>
    <col min="8201" max="8201" width="17.28515625" style="266" customWidth="1"/>
    <col min="8202" max="8202" width="10.85546875" style="266" customWidth="1"/>
    <col min="8203" max="8448" width="9.140625" style="266"/>
    <col min="8449" max="8449" width="18.28515625" style="266" customWidth="1"/>
    <col min="8450" max="8450" width="48.5703125" style="266" customWidth="1"/>
    <col min="8451" max="8451" width="14.7109375" style="266" customWidth="1"/>
    <col min="8452" max="8452" width="14.28515625" style="266" customWidth="1"/>
    <col min="8453" max="8453" width="30.7109375" style="266" customWidth="1"/>
    <col min="8454" max="8454" width="12.5703125" style="266" customWidth="1"/>
    <col min="8455" max="8455" width="15" style="266" customWidth="1"/>
    <col min="8456" max="8456" width="17.85546875" style="266" customWidth="1"/>
    <col min="8457" max="8457" width="17.28515625" style="266" customWidth="1"/>
    <col min="8458" max="8458" width="10.85546875" style="266" customWidth="1"/>
    <col min="8459" max="8704" width="9.140625" style="266"/>
    <col min="8705" max="8705" width="18.28515625" style="266" customWidth="1"/>
    <col min="8706" max="8706" width="48.5703125" style="266" customWidth="1"/>
    <col min="8707" max="8707" width="14.7109375" style="266" customWidth="1"/>
    <col min="8708" max="8708" width="14.28515625" style="266" customWidth="1"/>
    <col min="8709" max="8709" width="30.7109375" style="266" customWidth="1"/>
    <col min="8710" max="8710" width="12.5703125" style="266" customWidth="1"/>
    <col min="8711" max="8711" width="15" style="266" customWidth="1"/>
    <col min="8712" max="8712" width="17.85546875" style="266" customWidth="1"/>
    <col min="8713" max="8713" width="17.28515625" style="266" customWidth="1"/>
    <col min="8714" max="8714" width="10.85546875" style="266" customWidth="1"/>
    <col min="8715" max="8960" width="9.140625" style="266"/>
    <col min="8961" max="8961" width="18.28515625" style="266" customWidth="1"/>
    <col min="8962" max="8962" width="48.5703125" style="266" customWidth="1"/>
    <col min="8963" max="8963" width="14.7109375" style="266" customWidth="1"/>
    <col min="8964" max="8964" width="14.28515625" style="266" customWidth="1"/>
    <col min="8965" max="8965" width="30.7109375" style="266" customWidth="1"/>
    <col min="8966" max="8966" width="12.5703125" style="266" customWidth="1"/>
    <col min="8967" max="8967" width="15" style="266" customWidth="1"/>
    <col min="8968" max="8968" width="17.85546875" style="266" customWidth="1"/>
    <col min="8969" max="8969" width="17.28515625" style="266" customWidth="1"/>
    <col min="8970" max="8970" width="10.85546875" style="266" customWidth="1"/>
    <col min="8971" max="9216" width="9.140625" style="266"/>
    <col min="9217" max="9217" width="18.28515625" style="266" customWidth="1"/>
    <col min="9218" max="9218" width="48.5703125" style="266" customWidth="1"/>
    <col min="9219" max="9219" width="14.7109375" style="266" customWidth="1"/>
    <col min="9220" max="9220" width="14.28515625" style="266" customWidth="1"/>
    <col min="9221" max="9221" width="30.7109375" style="266" customWidth="1"/>
    <col min="9222" max="9222" width="12.5703125" style="266" customWidth="1"/>
    <col min="9223" max="9223" width="15" style="266" customWidth="1"/>
    <col min="9224" max="9224" width="17.85546875" style="266" customWidth="1"/>
    <col min="9225" max="9225" width="17.28515625" style="266" customWidth="1"/>
    <col min="9226" max="9226" width="10.85546875" style="266" customWidth="1"/>
    <col min="9227" max="9472" width="9.140625" style="266"/>
    <col min="9473" max="9473" width="18.28515625" style="266" customWidth="1"/>
    <col min="9474" max="9474" width="48.5703125" style="266" customWidth="1"/>
    <col min="9475" max="9475" width="14.7109375" style="266" customWidth="1"/>
    <col min="9476" max="9476" width="14.28515625" style="266" customWidth="1"/>
    <col min="9477" max="9477" width="30.7109375" style="266" customWidth="1"/>
    <col min="9478" max="9478" width="12.5703125" style="266" customWidth="1"/>
    <col min="9479" max="9479" width="15" style="266" customWidth="1"/>
    <col min="9480" max="9480" width="17.85546875" style="266" customWidth="1"/>
    <col min="9481" max="9481" width="17.28515625" style="266" customWidth="1"/>
    <col min="9482" max="9482" width="10.85546875" style="266" customWidth="1"/>
    <col min="9483" max="9728" width="9.140625" style="266"/>
    <col min="9729" max="9729" width="18.28515625" style="266" customWidth="1"/>
    <col min="9730" max="9730" width="48.5703125" style="266" customWidth="1"/>
    <col min="9731" max="9731" width="14.7109375" style="266" customWidth="1"/>
    <col min="9732" max="9732" width="14.28515625" style="266" customWidth="1"/>
    <col min="9733" max="9733" width="30.7109375" style="266" customWidth="1"/>
    <col min="9734" max="9734" width="12.5703125" style="266" customWidth="1"/>
    <col min="9735" max="9735" width="15" style="266" customWidth="1"/>
    <col min="9736" max="9736" width="17.85546875" style="266" customWidth="1"/>
    <col min="9737" max="9737" width="17.28515625" style="266" customWidth="1"/>
    <col min="9738" max="9738" width="10.85546875" style="266" customWidth="1"/>
    <col min="9739" max="9984" width="9.140625" style="266"/>
    <col min="9985" max="9985" width="18.28515625" style="266" customWidth="1"/>
    <col min="9986" max="9986" width="48.5703125" style="266" customWidth="1"/>
    <col min="9987" max="9987" width="14.7109375" style="266" customWidth="1"/>
    <col min="9988" max="9988" width="14.28515625" style="266" customWidth="1"/>
    <col min="9989" max="9989" width="30.7109375" style="266" customWidth="1"/>
    <col min="9990" max="9990" width="12.5703125" style="266" customWidth="1"/>
    <col min="9991" max="9991" width="15" style="266" customWidth="1"/>
    <col min="9992" max="9992" width="17.85546875" style="266" customWidth="1"/>
    <col min="9993" max="9993" width="17.28515625" style="266" customWidth="1"/>
    <col min="9994" max="9994" width="10.85546875" style="266" customWidth="1"/>
    <col min="9995" max="10240" width="9.140625" style="266"/>
    <col min="10241" max="10241" width="18.28515625" style="266" customWidth="1"/>
    <col min="10242" max="10242" width="48.5703125" style="266" customWidth="1"/>
    <col min="10243" max="10243" width="14.7109375" style="266" customWidth="1"/>
    <col min="10244" max="10244" width="14.28515625" style="266" customWidth="1"/>
    <col min="10245" max="10245" width="30.7109375" style="266" customWidth="1"/>
    <col min="10246" max="10246" width="12.5703125" style="266" customWidth="1"/>
    <col min="10247" max="10247" width="15" style="266" customWidth="1"/>
    <col min="10248" max="10248" width="17.85546875" style="266" customWidth="1"/>
    <col min="10249" max="10249" width="17.28515625" style="266" customWidth="1"/>
    <col min="10250" max="10250" width="10.85546875" style="266" customWidth="1"/>
    <col min="10251" max="10496" width="9.140625" style="266"/>
    <col min="10497" max="10497" width="18.28515625" style="266" customWidth="1"/>
    <col min="10498" max="10498" width="48.5703125" style="266" customWidth="1"/>
    <col min="10499" max="10499" width="14.7109375" style="266" customWidth="1"/>
    <col min="10500" max="10500" width="14.28515625" style="266" customWidth="1"/>
    <col min="10501" max="10501" width="30.7109375" style="266" customWidth="1"/>
    <col min="10502" max="10502" width="12.5703125" style="266" customWidth="1"/>
    <col min="10503" max="10503" width="15" style="266" customWidth="1"/>
    <col min="10504" max="10504" width="17.85546875" style="266" customWidth="1"/>
    <col min="10505" max="10505" width="17.28515625" style="266" customWidth="1"/>
    <col min="10506" max="10506" width="10.85546875" style="266" customWidth="1"/>
    <col min="10507" max="10752" width="9.140625" style="266"/>
    <col min="10753" max="10753" width="18.28515625" style="266" customWidth="1"/>
    <col min="10754" max="10754" width="48.5703125" style="266" customWidth="1"/>
    <col min="10755" max="10755" width="14.7109375" style="266" customWidth="1"/>
    <col min="10756" max="10756" width="14.28515625" style="266" customWidth="1"/>
    <col min="10757" max="10757" width="30.7109375" style="266" customWidth="1"/>
    <col min="10758" max="10758" width="12.5703125" style="266" customWidth="1"/>
    <col min="10759" max="10759" width="15" style="266" customWidth="1"/>
    <col min="10760" max="10760" width="17.85546875" style="266" customWidth="1"/>
    <col min="10761" max="10761" width="17.28515625" style="266" customWidth="1"/>
    <col min="10762" max="10762" width="10.85546875" style="266" customWidth="1"/>
    <col min="10763" max="11008" width="9.140625" style="266"/>
    <col min="11009" max="11009" width="18.28515625" style="266" customWidth="1"/>
    <col min="11010" max="11010" width="48.5703125" style="266" customWidth="1"/>
    <col min="11011" max="11011" width="14.7109375" style="266" customWidth="1"/>
    <col min="11012" max="11012" width="14.28515625" style="266" customWidth="1"/>
    <col min="11013" max="11013" width="30.7109375" style="266" customWidth="1"/>
    <col min="11014" max="11014" width="12.5703125" style="266" customWidth="1"/>
    <col min="11015" max="11015" width="15" style="266" customWidth="1"/>
    <col min="11016" max="11016" width="17.85546875" style="266" customWidth="1"/>
    <col min="11017" max="11017" width="17.28515625" style="266" customWidth="1"/>
    <col min="11018" max="11018" width="10.85546875" style="266" customWidth="1"/>
    <col min="11019" max="11264" width="9.140625" style="266"/>
    <col min="11265" max="11265" width="18.28515625" style="266" customWidth="1"/>
    <col min="11266" max="11266" width="48.5703125" style="266" customWidth="1"/>
    <col min="11267" max="11267" width="14.7109375" style="266" customWidth="1"/>
    <col min="11268" max="11268" width="14.28515625" style="266" customWidth="1"/>
    <col min="11269" max="11269" width="30.7109375" style="266" customWidth="1"/>
    <col min="11270" max="11270" width="12.5703125" style="266" customWidth="1"/>
    <col min="11271" max="11271" width="15" style="266" customWidth="1"/>
    <col min="11272" max="11272" width="17.85546875" style="266" customWidth="1"/>
    <col min="11273" max="11273" width="17.28515625" style="266" customWidth="1"/>
    <col min="11274" max="11274" width="10.85546875" style="266" customWidth="1"/>
    <col min="11275" max="11520" width="9.140625" style="266"/>
    <col min="11521" max="11521" width="18.28515625" style="266" customWidth="1"/>
    <col min="11522" max="11522" width="48.5703125" style="266" customWidth="1"/>
    <col min="11523" max="11523" width="14.7109375" style="266" customWidth="1"/>
    <col min="11524" max="11524" width="14.28515625" style="266" customWidth="1"/>
    <col min="11525" max="11525" width="30.7109375" style="266" customWidth="1"/>
    <col min="11526" max="11526" width="12.5703125" style="266" customWidth="1"/>
    <col min="11527" max="11527" width="15" style="266" customWidth="1"/>
    <col min="11528" max="11528" width="17.85546875" style="266" customWidth="1"/>
    <col min="11529" max="11529" width="17.28515625" style="266" customWidth="1"/>
    <col min="11530" max="11530" width="10.85546875" style="266" customWidth="1"/>
    <col min="11531" max="11776" width="9.140625" style="266"/>
    <col min="11777" max="11777" width="18.28515625" style="266" customWidth="1"/>
    <col min="11778" max="11778" width="48.5703125" style="266" customWidth="1"/>
    <col min="11779" max="11779" width="14.7109375" style="266" customWidth="1"/>
    <col min="11780" max="11780" width="14.28515625" style="266" customWidth="1"/>
    <col min="11781" max="11781" width="30.7109375" style="266" customWidth="1"/>
    <col min="11782" max="11782" width="12.5703125" style="266" customWidth="1"/>
    <col min="11783" max="11783" width="15" style="266" customWidth="1"/>
    <col min="11784" max="11784" width="17.85546875" style="266" customWidth="1"/>
    <col min="11785" max="11785" width="17.28515625" style="266" customWidth="1"/>
    <col min="11786" max="11786" width="10.85546875" style="266" customWidth="1"/>
    <col min="11787" max="12032" width="9.140625" style="266"/>
    <col min="12033" max="12033" width="18.28515625" style="266" customWidth="1"/>
    <col min="12034" max="12034" width="48.5703125" style="266" customWidth="1"/>
    <col min="12035" max="12035" width="14.7109375" style="266" customWidth="1"/>
    <col min="12036" max="12036" width="14.28515625" style="266" customWidth="1"/>
    <col min="12037" max="12037" width="30.7109375" style="266" customWidth="1"/>
    <col min="12038" max="12038" width="12.5703125" style="266" customWidth="1"/>
    <col min="12039" max="12039" width="15" style="266" customWidth="1"/>
    <col min="12040" max="12040" width="17.85546875" style="266" customWidth="1"/>
    <col min="12041" max="12041" width="17.28515625" style="266" customWidth="1"/>
    <col min="12042" max="12042" width="10.85546875" style="266" customWidth="1"/>
    <col min="12043" max="12288" width="9.140625" style="266"/>
    <col min="12289" max="12289" width="18.28515625" style="266" customWidth="1"/>
    <col min="12290" max="12290" width="48.5703125" style="266" customWidth="1"/>
    <col min="12291" max="12291" width="14.7109375" style="266" customWidth="1"/>
    <col min="12292" max="12292" width="14.28515625" style="266" customWidth="1"/>
    <col min="12293" max="12293" width="30.7109375" style="266" customWidth="1"/>
    <col min="12294" max="12294" width="12.5703125" style="266" customWidth="1"/>
    <col min="12295" max="12295" width="15" style="266" customWidth="1"/>
    <col min="12296" max="12296" width="17.85546875" style="266" customWidth="1"/>
    <col min="12297" max="12297" width="17.28515625" style="266" customWidth="1"/>
    <col min="12298" max="12298" width="10.85546875" style="266" customWidth="1"/>
    <col min="12299" max="12544" width="9.140625" style="266"/>
    <col min="12545" max="12545" width="18.28515625" style="266" customWidth="1"/>
    <col min="12546" max="12546" width="48.5703125" style="266" customWidth="1"/>
    <col min="12547" max="12547" width="14.7109375" style="266" customWidth="1"/>
    <col min="12548" max="12548" width="14.28515625" style="266" customWidth="1"/>
    <col min="12549" max="12549" width="30.7109375" style="266" customWidth="1"/>
    <col min="12550" max="12550" width="12.5703125" style="266" customWidth="1"/>
    <col min="12551" max="12551" width="15" style="266" customWidth="1"/>
    <col min="12552" max="12552" width="17.85546875" style="266" customWidth="1"/>
    <col min="12553" max="12553" width="17.28515625" style="266" customWidth="1"/>
    <col min="12554" max="12554" width="10.85546875" style="266" customWidth="1"/>
    <col min="12555" max="12800" width="9.140625" style="266"/>
    <col min="12801" max="12801" width="18.28515625" style="266" customWidth="1"/>
    <col min="12802" max="12802" width="48.5703125" style="266" customWidth="1"/>
    <col min="12803" max="12803" width="14.7109375" style="266" customWidth="1"/>
    <col min="12804" max="12804" width="14.28515625" style="266" customWidth="1"/>
    <col min="12805" max="12805" width="30.7109375" style="266" customWidth="1"/>
    <col min="12806" max="12806" width="12.5703125" style="266" customWidth="1"/>
    <col min="12807" max="12807" width="15" style="266" customWidth="1"/>
    <col min="12808" max="12808" width="17.85546875" style="266" customWidth="1"/>
    <col min="12809" max="12809" width="17.28515625" style="266" customWidth="1"/>
    <col min="12810" max="12810" width="10.85546875" style="266" customWidth="1"/>
    <col min="12811" max="13056" width="9.140625" style="266"/>
    <col min="13057" max="13057" width="18.28515625" style="266" customWidth="1"/>
    <col min="13058" max="13058" width="48.5703125" style="266" customWidth="1"/>
    <col min="13059" max="13059" width="14.7109375" style="266" customWidth="1"/>
    <col min="13060" max="13060" width="14.28515625" style="266" customWidth="1"/>
    <col min="13061" max="13061" width="30.7109375" style="266" customWidth="1"/>
    <col min="13062" max="13062" width="12.5703125" style="266" customWidth="1"/>
    <col min="13063" max="13063" width="15" style="266" customWidth="1"/>
    <col min="13064" max="13064" width="17.85546875" style="266" customWidth="1"/>
    <col min="13065" max="13065" width="17.28515625" style="266" customWidth="1"/>
    <col min="13066" max="13066" width="10.85546875" style="266" customWidth="1"/>
    <col min="13067" max="13312" width="9.140625" style="266"/>
    <col min="13313" max="13313" width="18.28515625" style="266" customWidth="1"/>
    <col min="13314" max="13314" width="48.5703125" style="266" customWidth="1"/>
    <col min="13315" max="13315" width="14.7109375" style="266" customWidth="1"/>
    <col min="13316" max="13316" width="14.28515625" style="266" customWidth="1"/>
    <col min="13317" max="13317" width="30.7109375" style="266" customWidth="1"/>
    <col min="13318" max="13318" width="12.5703125" style="266" customWidth="1"/>
    <col min="13319" max="13319" width="15" style="266" customWidth="1"/>
    <col min="13320" max="13320" width="17.85546875" style="266" customWidth="1"/>
    <col min="13321" max="13321" width="17.28515625" style="266" customWidth="1"/>
    <col min="13322" max="13322" width="10.85546875" style="266" customWidth="1"/>
    <col min="13323" max="13568" width="9.140625" style="266"/>
    <col min="13569" max="13569" width="18.28515625" style="266" customWidth="1"/>
    <col min="13570" max="13570" width="48.5703125" style="266" customWidth="1"/>
    <col min="13571" max="13571" width="14.7109375" style="266" customWidth="1"/>
    <col min="13572" max="13572" width="14.28515625" style="266" customWidth="1"/>
    <col min="13573" max="13573" width="30.7109375" style="266" customWidth="1"/>
    <col min="13574" max="13574" width="12.5703125" style="266" customWidth="1"/>
    <col min="13575" max="13575" width="15" style="266" customWidth="1"/>
    <col min="13576" max="13576" width="17.85546875" style="266" customWidth="1"/>
    <col min="13577" max="13577" width="17.28515625" style="266" customWidth="1"/>
    <col min="13578" max="13578" width="10.85546875" style="266" customWidth="1"/>
    <col min="13579" max="13824" width="9.140625" style="266"/>
    <col min="13825" max="13825" width="18.28515625" style="266" customWidth="1"/>
    <col min="13826" max="13826" width="48.5703125" style="266" customWidth="1"/>
    <col min="13827" max="13827" width="14.7109375" style="266" customWidth="1"/>
    <col min="13828" max="13828" width="14.28515625" style="266" customWidth="1"/>
    <col min="13829" max="13829" width="30.7109375" style="266" customWidth="1"/>
    <col min="13830" max="13830" width="12.5703125" style="266" customWidth="1"/>
    <col min="13831" max="13831" width="15" style="266" customWidth="1"/>
    <col min="13832" max="13832" width="17.85546875" style="266" customWidth="1"/>
    <col min="13833" max="13833" width="17.28515625" style="266" customWidth="1"/>
    <col min="13834" max="13834" width="10.85546875" style="266" customWidth="1"/>
    <col min="13835" max="14080" width="9.140625" style="266"/>
    <col min="14081" max="14081" width="18.28515625" style="266" customWidth="1"/>
    <col min="14082" max="14082" width="48.5703125" style="266" customWidth="1"/>
    <col min="14083" max="14083" width="14.7109375" style="266" customWidth="1"/>
    <col min="14084" max="14084" width="14.28515625" style="266" customWidth="1"/>
    <col min="14085" max="14085" width="30.7109375" style="266" customWidth="1"/>
    <col min="14086" max="14086" width="12.5703125" style="266" customWidth="1"/>
    <col min="14087" max="14087" width="15" style="266" customWidth="1"/>
    <col min="14088" max="14088" width="17.85546875" style="266" customWidth="1"/>
    <col min="14089" max="14089" width="17.28515625" style="266" customWidth="1"/>
    <col min="14090" max="14090" width="10.85546875" style="266" customWidth="1"/>
    <col min="14091" max="14336" width="9.140625" style="266"/>
    <col min="14337" max="14337" width="18.28515625" style="266" customWidth="1"/>
    <col min="14338" max="14338" width="48.5703125" style="266" customWidth="1"/>
    <col min="14339" max="14339" width="14.7109375" style="266" customWidth="1"/>
    <col min="14340" max="14340" width="14.28515625" style="266" customWidth="1"/>
    <col min="14341" max="14341" width="30.7109375" style="266" customWidth="1"/>
    <col min="14342" max="14342" width="12.5703125" style="266" customWidth="1"/>
    <col min="14343" max="14343" width="15" style="266" customWidth="1"/>
    <col min="14344" max="14344" width="17.85546875" style="266" customWidth="1"/>
    <col min="14345" max="14345" width="17.28515625" style="266" customWidth="1"/>
    <col min="14346" max="14346" width="10.85546875" style="266" customWidth="1"/>
    <col min="14347" max="14592" width="9.140625" style="266"/>
    <col min="14593" max="14593" width="18.28515625" style="266" customWidth="1"/>
    <col min="14594" max="14594" width="48.5703125" style="266" customWidth="1"/>
    <col min="14595" max="14595" width="14.7109375" style="266" customWidth="1"/>
    <col min="14596" max="14596" width="14.28515625" style="266" customWidth="1"/>
    <col min="14597" max="14597" width="30.7109375" style="266" customWidth="1"/>
    <col min="14598" max="14598" width="12.5703125" style="266" customWidth="1"/>
    <col min="14599" max="14599" width="15" style="266" customWidth="1"/>
    <col min="14600" max="14600" width="17.85546875" style="266" customWidth="1"/>
    <col min="14601" max="14601" width="17.28515625" style="266" customWidth="1"/>
    <col min="14602" max="14602" width="10.85546875" style="266" customWidth="1"/>
    <col min="14603" max="14848" width="9.140625" style="266"/>
    <col min="14849" max="14849" width="18.28515625" style="266" customWidth="1"/>
    <col min="14850" max="14850" width="48.5703125" style="266" customWidth="1"/>
    <col min="14851" max="14851" width="14.7109375" style="266" customWidth="1"/>
    <col min="14852" max="14852" width="14.28515625" style="266" customWidth="1"/>
    <col min="14853" max="14853" width="30.7109375" style="266" customWidth="1"/>
    <col min="14854" max="14854" width="12.5703125" style="266" customWidth="1"/>
    <col min="14855" max="14855" width="15" style="266" customWidth="1"/>
    <col min="14856" max="14856" width="17.85546875" style="266" customWidth="1"/>
    <col min="14857" max="14857" width="17.28515625" style="266" customWidth="1"/>
    <col min="14858" max="14858" width="10.85546875" style="266" customWidth="1"/>
    <col min="14859" max="15104" width="9.140625" style="266"/>
    <col min="15105" max="15105" width="18.28515625" style="266" customWidth="1"/>
    <col min="15106" max="15106" width="48.5703125" style="266" customWidth="1"/>
    <col min="15107" max="15107" width="14.7109375" style="266" customWidth="1"/>
    <col min="15108" max="15108" width="14.28515625" style="266" customWidth="1"/>
    <col min="15109" max="15109" width="30.7109375" style="266" customWidth="1"/>
    <col min="15110" max="15110" width="12.5703125" style="266" customWidth="1"/>
    <col min="15111" max="15111" width="15" style="266" customWidth="1"/>
    <col min="15112" max="15112" width="17.85546875" style="266" customWidth="1"/>
    <col min="15113" max="15113" width="17.28515625" style="266" customWidth="1"/>
    <col min="15114" max="15114" width="10.85546875" style="266" customWidth="1"/>
    <col min="15115" max="15360" width="9.140625" style="266"/>
    <col min="15361" max="15361" width="18.28515625" style="266" customWidth="1"/>
    <col min="15362" max="15362" width="48.5703125" style="266" customWidth="1"/>
    <col min="15363" max="15363" width="14.7109375" style="266" customWidth="1"/>
    <col min="15364" max="15364" width="14.28515625" style="266" customWidth="1"/>
    <col min="15365" max="15365" width="30.7109375" style="266" customWidth="1"/>
    <col min="15366" max="15366" width="12.5703125" style="266" customWidth="1"/>
    <col min="15367" max="15367" width="15" style="266" customWidth="1"/>
    <col min="15368" max="15368" width="17.85546875" style="266" customWidth="1"/>
    <col min="15369" max="15369" width="17.28515625" style="266" customWidth="1"/>
    <col min="15370" max="15370" width="10.85546875" style="266" customWidth="1"/>
    <col min="15371" max="15616" width="9.140625" style="266"/>
    <col min="15617" max="15617" width="18.28515625" style="266" customWidth="1"/>
    <col min="15618" max="15618" width="48.5703125" style="266" customWidth="1"/>
    <col min="15619" max="15619" width="14.7109375" style="266" customWidth="1"/>
    <col min="15620" max="15620" width="14.28515625" style="266" customWidth="1"/>
    <col min="15621" max="15621" width="30.7109375" style="266" customWidth="1"/>
    <col min="15622" max="15622" width="12.5703125" style="266" customWidth="1"/>
    <col min="15623" max="15623" width="15" style="266" customWidth="1"/>
    <col min="15624" max="15624" width="17.85546875" style="266" customWidth="1"/>
    <col min="15625" max="15625" width="17.28515625" style="266" customWidth="1"/>
    <col min="15626" max="15626" width="10.85546875" style="266" customWidth="1"/>
    <col min="15627" max="15872" width="9.140625" style="266"/>
    <col min="15873" max="15873" width="18.28515625" style="266" customWidth="1"/>
    <col min="15874" max="15874" width="48.5703125" style="266" customWidth="1"/>
    <col min="15875" max="15875" width="14.7109375" style="266" customWidth="1"/>
    <col min="15876" max="15876" width="14.28515625" style="266" customWidth="1"/>
    <col min="15877" max="15877" width="30.7109375" style="266" customWidth="1"/>
    <col min="15878" max="15878" width="12.5703125" style="266" customWidth="1"/>
    <col min="15879" max="15879" width="15" style="266" customWidth="1"/>
    <col min="15880" max="15880" width="17.85546875" style="266" customWidth="1"/>
    <col min="15881" max="15881" width="17.28515625" style="266" customWidth="1"/>
    <col min="15882" max="15882" width="10.85546875" style="266" customWidth="1"/>
    <col min="15883" max="16128" width="9.140625" style="266"/>
    <col min="16129" max="16129" width="18.28515625" style="266" customWidth="1"/>
    <col min="16130" max="16130" width="48.5703125" style="266" customWidth="1"/>
    <col min="16131" max="16131" width="14.7109375" style="266" customWidth="1"/>
    <col min="16132" max="16132" width="14.28515625" style="266" customWidth="1"/>
    <col min="16133" max="16133" width="30.7109375" style="266" customWidth="1"/>
    <col min="16134" max="16134" width="12.5703125" style="266" customWidth="1"/>
    <col min="16135" max="16135" width="15" style="266" customWidth="1"/>
    <col min="16136" max="16136" width="17.85546875" style="266" customWidth="1"/>
    <col min="16137" max="16137" width="17.28515625" style="266" customWidth="1"/>
    <col min="16138" max="16138" width="10.85546875" style="266" customWidth="1"/>
    <col min="16139" max="16384" width="9.140625" style="266"/>
  </cols>
  <sheetData>
    <row r="1" spans="1:9" ht="15.75" x14ac:dyDescent="0.2">
      <c r="A1" s="577" t="s">
        <v>1231</v>
      </c>
      <c r="B1" s="577"/>
      <c r="C1" s="577"/>
      <c r="D1" s="577"/>
      <c r="E1" s="577"/>
      <c r="F1" s="577"/>
      <c r="G1" s="577"/>
      <c r="H1" s="577"/>
      <c r="I1" s="577"/>
    </row>
    <row r="2" spans="1:9" ht="33.75" customHeight="1" x14ac:dyDescent="0.2">
      <c r="A2" s="267" t="s">
        <v>89</v>
      </c>
      <c r="B2" s="268" t="s">
        <v>0</v>
      </c>
      <c r="C2" s="269" t="s">
        <v>1</v>
      </c>
      <c r="D2" s="269" t="s">
        <v>90</v>
      </c>
      <c r="E2" s="269" t="s">
        <v>91</v>
      </c>
      <c r="F2" s="269" t="s">
        <v>92</v>
      </c>
      <c r="G2" s="269" t="s">
        <v>93</v>
      </c>
      <c r="H2" s="270" t="s">
        <v>94</v>
      </c>
      <c r="I2" s="270" t="s">
        <v>95</v>
      </c>
    </row>
    <row r="3" spans="1:9" ht="37.9" customHeight="1" x14ac:dyDescent="0.25">
      <c r="A3" s="286" t="s">
        <v>1232</v>
      </c>
      <c r="B3" s="287" t="s">
        <v>744</v>
      </c>
      <c r="C3" s="288">
        <v>546870</v>
      </c>
      <c r="D3" s="288">
        <v>300000</v>
      </c>
      <c r="E3" s="506" t="s">
        <v>98</v>
      </c>
      <c r="F3" s="298">
        <v>0</v>
      </c>
      <c r="G3" s="288">
        <v>300000</v>
      </c>
      <c r="H3" s="300" t="s">
        <v>1233</v>
      </c>
      <c r="I3" s="301">
        <v>45992</v>
      </c>
    </row>
    <row r="4" spans="1:9" ht="33.75" customHeight="1" x14ac:dyDescent="0.25">
      <c r="A4" s="286" t="s">
        <v>802</v>
      </c>
      <c r="B4" s="287" t="s">
        <v>1234</v>
      </c>
      <c r="C4" s="288">
        <v>60000</v>
      </c>
      <c r="D4" s="288">
        <v>30000</v>
      </c>
      <c r="E4" s="506" t="s">
        <v>98</v>
      </c>
      <c r="F4" s="298">
        <v>0</v>
      </c>
      <c r="G4" s="288">
        <v>30000</v>
      </c>
      <c r="H4" s="300" t="s">
        <v>1233</v>
      </c>
      <c r="I4" s="301">
        <v>45901</v>
      </c>
    </row>
    <row r="5" spans="1:9" ht="32.450000000000003" customHeight="1" x14ac:dyDescent="0.25">
      <c r="A5" s="286" t="s">
        <v>1105</v>
      </c>
      <c r="B5" s="287" t="s">
        <v>1235</v>
      </c>
      <c r="C5" s="288">
        <v>132000</v>
      </c>
      <c r="D5" s="288">
        <v>92000</v>
      </c>
      <c r="E5" s="506" t="s">
        <v>98</v>
      </c>
      <c r="F5" s="298">
        <v>0</v>
      </c>
      <c r="G5" s="288">
        <v>92000</v>
      </c>
      <c r="H5" s="300" t="s">
        <v>1233</v>
      </c>
      <c r="I5" s="301">
        <v>45901</v>
      </c>
    </row>
    <row r="6" spans="1:9" ht="32.450000000000003" customHeight="1" x14ac:dyDescent="0.25">
      <c r="A6" s="286" t="s">
        <v>1004</v>
      </c>
      <c r="B6" s="287" t="s">
        <v>1236</v>
      </c>
      <c r="C6" s="288">
        <v>108400</v>
      </c>
      <c r="D6" s="288">
        <v>72900</v>
      </c>
      <c r="E6" s="506" t="s">
        <v>98</v>
      </c>
      <c r="F6" s="298">
        <v>0</v>
      </c>
      <c r="G6" s="288">
        <v>72900</v>
      </c>
      <c r="H6" s="300" t="s">
        <v>1233</v>
      </c>
      <c r="I6" s="301">
        <v>45901</v>
      </c>
    </row>
    <row r="7" spans="1:9" ht="32.450000000000003" customHeight="1" x14ac:dyDescent="0.25">
      <c r="A7" s="286" t="s">
        <v>591</v>
      </c>
      <c r="B7" s="287" t="s">
        <v>1237</v>
      </c>
      <c r="C7" s="288">
        <v>85000</v>
      </c>
      <c r="D7" s="288">
        <v>68000</v>
      </c>
      <c r="E7" s="506" t="s">
        <v>98</v>
      </c>
      <c r="F7" s="298">
        <v>0</v>
      </c>
      <c r="G7" s="288">
        <v>68000</v>
      </c>
      <c r="H7" s="300" t="s">
        <v>1233</v>
      </c>
      <c r="I7" s="301">
        <v>45901</v>
      </c>
    </row>
    <row r="8" spans="1:9" ht="25.9" customHeight="1" x14ac:dyDescent="0.25">
      <c r="A8" s="286" t="s">
        <v>872</v>
      </c>
      <c r="B8" s="287" t="s">
        <v>1238</v>
      </c>
      <c r="C8" s="288">
        <v>150000</v>
      </c>
      <c r="D8" s="288">
        <v>125000</v>
      </c>
      <c r="E8" s="506" t="s">
        <v>98</v>
      </c>
      <c r="F8" s="298">
        <v>0</v>
      </c>
      <c r="G8" s="288">
        <v>125000</v>
      </c>
      <c r="H8" s="300" t="s">
        <v>1233</v>
      </c>
      <c r="I8" s="301">
        <v>45901</v>
      </c>
    </row>
    <row r="9" spans="1:9" ht="25.9" customHeight="1" x14ac:dyDescent="0.25">
      <c r="A9" s="286" t="s">
        <v>425</v>
      </c>
      <c r="B9" s="287" t="s">
        <v>874</v>
      </c>
      <c r="C9" s="288">
        <v>421000</v>
      </c>
      <c r="D9" s="288">
        <v>300000</v>
      </c>
      <c r="E9" s="506" t="s">
        <v>98</v>
      </c>
      <c r="F9" s="298">
        <v>0</v>
      </c>
      <c r="G9" s="288">
        <v>300000</v>
      </c>
      <c r="H9" s="300" t="s">
        <v>1233</v>
      </c>
      <c r="I9" s="301">
        <v>45992</v>
      </c>
    </row>
    <row r="10" spans="1:9" ht="25.9" customHeight="1" x14ac:dyDescent="0.25">
      <c r="A10" s="286" t="s">
        <v>612</v>
      </c>
      <c r="B10" s="287" t="s">
        <v>1239</v>
      </c>
      <c r="C10" s="288">
        <v>40000</v>
      </c>
      <c r="D10" s="288">
        <v>30000</v>
      </c>
      <c r="E10" s="506" t="s">
        <v>98</v>
      </c>
      <c r="F10" s="298">
        <v>0</v>
      </c>
      <c r="G10" s="288">
        <v>30000</v>
      </c>
      <c r="H10" s="300" t="s">
        <v>1233</v>
      </c>
      <c r="I10" s="301">
        <v>45901</v>
      </c>
    </row>
    <row r="11" spans="1:9" ht="25.9" customHeight="1" x14ac:dyDescent="0.25">
      <c r="A11" s="598" t="s">
        <v>587</v>
      </c>
      <c r="B11" s="599" t="s">
        <v>1240</v>
      </c>
      <c r="C11" s="600">
        <v>375000</v>
      </c>
      <c r="D11" s="600">
        <v>300000</v>
      </c>
      <c r="E11" s="506" t="s">
        <v>98</v>
      </c>
      <c r="F11" s="298">
        <v>0</v>
      </c>
      <c r="G11" s="600">
        <v>300000</v>
      </c>
      <c r="H11" s="300" t="s">
        <v>1233</v>
      </c>
      <c r="I11" s="301">
        <v>45992</v>
      </c>
    </row>
    <row r="12" spans="1:9" ht="25.9" customHeight="1" x14ac:dyDescent="0.25">
      <c r="A12" s="598" t="s">
        <v>427</v>
      </c>
      <c r="B12" s="599" t="s">
        <v>1241</v>
      </c>
      <c r="C12" s="600">
        <v>135000</v>
      </c>
      <c r="D12" s="600">
        <v>114750</v>
      </c>
      <c r="E12" s="506" t="s">
        <v>98</v>
      </c>
      <c r="F12" s="298">
        <v>0</v>
      </c>
      <c r="G12" s="600">
        <v>114750</v>
      </c>
      <c r="H12" s="300" t="s">
        <v>1233</v>
      </c>
      <c r="I12" s="301">
        <v>45901</v>
      </c>
    </row>
    <row r="13" spans="1:9" ht="25.9" customHeight="1" x14ac:dyDescent="0.25">
      <c r="A13" s="598" t="s">
        <v>1242</v>
      </c>
      <c r="B13" s="599" t="s">
        <v>1243</v>
      </c>
      <c r="C13" s="600">
        <v>138880</v>
      </c>
      <c r="D13" s="600">
        <v>118048</v>
      </c>
      <c r="E13" s="506" t="s">
        <v>98</v>
      </c>
      <c r="F13" s="298">
        <v>0</v>
      </c>
      <c r="G13" s="600">
        <v>118048</v>
      </c>
      <c r="H13" s="300" t="s">
        <v>1233</v>
      </c>
      <c r="I13" s="301">
        <v>45901</v>
      </c>
    </row>
    <row r="14" spans="1:9" ht="25.9" customHeight="1" x14ac:dyDescent="0.25">
      <c r="A14" s="273"/>
      <c r="B14" s="274"/>
      <c r="C14" s="508"/>
      <c r="D14" s="508"/>
      <c r="E14" s="275"/>
      <c r="F14" s="276"/>
      <c r="G14" s="277"/>
      <c r="H14" s="278"/>
      <c r="I14" s="279"/>
    </row>
    <row r="15" spans="1:9" s="280" customFormat="1" ht="25.9" customHeight="1" x14ac:dyDescent="0.2">
      <c r="A15" s="207"/>
      <c r="B15" s="208" t="s">
        <v>104</v>
      </c>
      <c r="C15" s="206">
        <f>SUM(C3:C13)</f>
        <v>2192150</v>
      </c>
      <c r="D15" s="206">
        <f>SUM(D3:D13)</f>
        <v>1550698</v>
      </c>
      <c r="E15" s="209"/>
      <c r="F15" s="206">
        <f>SUM(F3:F14)</f>
        <v>0</v>
      </c>
      <c r="G15" s="206">
        <f>SUM(G3:G10)</f>
        <v>1017900</v>
      </c>
      <c r="H15" s="210"/>
      <c r="I15" s="211"/>
    </row>
    <row r="16" spans="1:9" ht="15.75" x14ac:dyDescent="0.2">
      <c r="A16" s="577" t="s">
        <v>1100</v>
      </c>
      <c r="B16" s="577"/>
      <c r="C16" s="577"/>
      <c r="D16" s="577"/>
      <c r="E16" s="577"/>
      <c r="F16" s="577"/>
      <c r="G16" s="577"/>
      <c r="H16" s="577"/>
      <c r="I16" s="577"/>
    </row>
    <row r="17" spans="1:9" ht="33.75" customHeight="1" x14ac:dyDescent="0.2">
      <c r="A17" s="267" t="s">
        <v>89</v>
      </c>
      <c r="B17" s="268" t="s">
        <v>0</v>
      </c>
      <c r="C17" s="269" t="s">
        <v>1</v>
      </c>
      <c r="D17" s="269" t="s">
        <v>90</v>
      </c>
      <c r="E17" s="269" t="s">
        <v>91</v>
      </c>
      <c r="F17" s="269" t="s">
        <v>92</v>
      </c>
      <c r="G17" s="269" t="s">
        <v>93</v>
      </c>
      <c r="H17" s="270" t="s">
        <v>94</v>
      </c>
      <c r="I17" s="270" t="s">
        <v>95</v>
      </c>
    </row>
    <row r="18" spans="1:9" ht="37.9" customHeight="1" x14ac:dyDescent="0.25">
      <c r="A18" s="286" t="s">
        <v>951</v>
      </c>
      <c r="B18" s="287" t="s">
        <v>1101</v>
      </c>
      <c r="C18" s="288">
        <v>685000</v>
      </c>
      <c r="D18" s="288">
        <v>300000</v>
      </c>
      <c r="E18" s="506" t="s">
        <v>98</v>
      </c>
      <c r="F18" s="298">
        <v>0</v>
      </c>
      <c r="G18" s="288">
        <v>300000</v>
      </c>
      <c r="H18" s="300" t="s">
        <v>331</v>
      </c>
      <c r="I18" s="301">
        <v>45352</v>
      </c>
    </row>
    <row r="19" spans="1:9" ht="33.75" customHeight="1" x14ac:dyDescent="0.25">
      <c r="A19" s="286" t="s">
        <v>417</v>
      </c>
      <c r="B19" s="287" t="s">
        <v>1102</v>
      </c>
      <c r="C19" s="288">
        <v>418286</v>
      </c>
      <c r="D19" s="288">
        <v>300000</v>
      </c>
      <c r="E19" s="506" t="s">
        <v>98</v>
      </c>
      <c r="F19" s="298">
        <v>0</v>
      </c>
      <c r="G19" s="288">
        <v>300000</v>
      </c>
      <c r="H19" s="300" t="s">
        <v>331</v>
      </c>
      <c r="I19" s="301">
        <v>45627</v>
      </c>
    </row>
    <row r="20" spans="1:9" ht="32.450000000000003" customHeight="1" x14ac:dyDescent="0.25">
      <c r="A20" s="286" t="s">
        <v>607</v>
      </c>
      <c r="B20" s="287" t="s">
        <v>1103</v>
      </c>
      <c r="C20" s="288">
        <v>633500</v>
      </c>
      <c r="D20" s="288">
        <v>300000</v>
      </c>
      <c r="E20" s="506" t="s">
        <v>98</v>
      </c>
      <c r="F20" s="298">
        <v>0</v>
      </c>
      <c r="G20" s="288">
        <v>300000</v>
      </c>
      <c r="H20" s="300" t="s">
        <v>572</v>
      </c>
      <c r="I20" s="301"/>
    </row>
    <row r="21" spans="1:9" ht="25.9" customHeight="1" x14ac:dyDescent="0.25">
      <c r="A21" s="286" t="s">
        <v>602</v>
      </c>
      <c r="B21" s="287" t="s">
        <v>1104</v>
      </c>
      <c r="C21" s="288">
        <v>90000</v>
      </c>
      <c r="D21" s="288">
        <v>63000</v>
      </c>
      <c r="E21" s="506" t="s">
        <v>98</v>
      </c>
      <c r="F21" s="298">
        <v>63000</v>
      </c>
      <c r="G21" s="288">
        <v>0</v>
      </c>
      <c r="H21" s="300" t="s">
        <v>235</v>
      </c>
      <c r="I21" s="301">
        <v>45188</v>
      </c>
    </row>
    <row r="22" spans="1:9" ht="25.9" customHeight="1" x14ac:dyDescent="0.25">
      <c r="A22" s="286" t="s">
        <v>1105</v>
      </c>
      <c r="B22" s="287" t="s">
        <v>1106</v>
      </c>
      <c r="C22" s="288">
        <v>58000</v>
      </c>
      <c r="D22" s="288">
        <v>40600</v>
      </c>
      <c r="E22" s="506" t="s">
        <v>98</v>
      </c>
      <c r="F22" s="298">
        <v>0</v>
      </c>
      <c r="G22" s="288">
        <v>40600</v>
      </c>
      <c r="H22" s="300" t="s">
        <v>331</v>
      </c>
      <c r="I22" s="301">
        <v>45383</v>
      </c>
    </row>
    <row r="23" spans="1:9" ht="25.9" customHeight="1" x14ac:dyDescent="0.25">
      <c r="A23" s="286" t="s">
        <v>108</v>
      </c>
      <c r="B23" s="287" t="s">
        <v>863</v>
      </c>
      <c r="C23" s="288">
        <v>21000</v>
      </c>
      <c r="D23" s="288">
        <v>17850</v>
      </c>
      <c r="E23" s="506" t="s">
        <v>98</v>
      </c>
      <c r="F23" s="298">
        <v>900</v>
      </c>
      <c r="G23" s="288">
        <v>16950</v>
      </c>
      <c r="H23" s="300" t="s">
        <v>331</v>
      </c>
      <c r="I23" s="301">
        <v>45383</v>
      </c>
    </row>
    <row r="24" spans="1:9" ht="25.9" customHeight="1" x14ac:dyDescent="0.25">
      <c r="A24" s="273"/>
      <c r="B24" s="274"/>
      <c r="C24" s="508"/>
      <c r="D24" s="508"/>
      <c r="E24" s="275"/>
      <c r="F24" s="276"/>
      <c r="G24" s="277"/>
      <c r="H24" s="278"/>
      <c r="I24" s="279"/>
    </row>
    <row r="25" spans="1:9" s="280" customFormat="1" ht="25.9" customHeight="1" x14ac:dyDescent="0.2">
      <c r="A25" s="207"/>
      <c r="B25" s="208" t="s">
        <v>104</v>
      </c>
      <c r="C25" s="206">
        <f>SUM(C18:C23)</f>
        <v>1905786</v>
      </c>
      <c r="D25" s="206">
        <f>SUM(D18:D23)</f>
        <v>1021450</v>
      </c>
      <c r="E25" s="209"/>
      <c r="F25" s="206">
        <f>SUM(F18:F23)</f>
        <v>63900</v>
      </c>
      <c r="G25" s="206">
        <f>SUM(G18:G23)</f>
        <v>957550</v>
      </c>
      <c r="H25" s="210"/>
      <c r="I25" s="211"/>
    </row>
    <row r="26" spans="1:9" ht="24.4" customHeight="1" x14ac:dyDescent="0.2">
      <c r="A26" s="577" t="s">
        <v>994</v>
      </c>
      <c r="B26" s="577"/>
      <c r="C26" s="577"/>
      <c r="D26" s="577"/>
      <c r="E26" s="577"/>
      <c r="F26" s="577"/>
      <c r="G26" s="577"/>
      <c r="H26" s="577"/>
      <c r="I26" s="577"/>
    </row>
    <row r="27" spans="1:9" ht="38.25" x14ac:dyDescent="0.2">
      <c r="A27" s="267" t="s">
        <v>89</v>
      </c>
      <c r="B27" s="268" t="s">
        <v>0</v>
      </c>
      <c r="C27" s="269" t="s">
        <v>1</v>
      </c>
      <c r="D27" s="269" t="s">
        <v>90</v>
      </c>
      <c r="E27" s="269" t="s">
        <v>91</v>
      </c>
      <c r="F27" s="269" t="s">
        <v>92</v>
      </c>
      <c r="G27" s="269" t="s">
        <v>93</v>
      </c>
      <c r="H27" s="270" t="s">
        <v>94</v>
      </c>
      <c r="I27" s="270" t="s">
        <v>95</v>
      </c>
    </row>
    <row r="28" spans="1:9" ht="33.75" customHeight="1" x14ac:dyDescent="0.2">
      <c r="A28" s="286" t="s">
        <v>995</v>
      </c>
      <c r="B28" s="287" t="s">
        <v>874</v>
      </c>
      <c r="C28" s="288">
        <v>550000</v>
      </c>
      <c r="D28" s="288">
        <v>150000</v>
      </c>
      <c r="E28" s="506" t="s">
        <v>98</v>
      </c>
      <c r="F28" s="509">
        <v>0</v>
      </c>
      <c r="G28" s="288">
        <v>0</v>
      </c>
      <c r="H28" s="300" t="s">
        <v>572</v>
      </c>
      <c r="I28" s="301"/>
    </row>
    <row r="29" spans="1:9" ht="37.9" customHeight="1" x14ac:dyDescent="0.2">
      <c r="A29" s="286" t="s">
        <v>110</v>
      </c>
      <c r="B29" s="287" t="s">
        <v>996</v>
      </c>
      <c r="C29" s="288">
        <v>292405</v>
      </c>
      <c r="D29" s="288">
        <v>150000</v>
      </c>
      <c r="E29" s="506" t="s">
        <v>98</v>
      </c>
      <c r="F29" s="509">
        <v>147020</v>
      </c>
      <c r="G29" s="288">
        <v>2980</v>
      </c>
      <c r="H29" s="300" t="s">
        <v>235</v>
      </c>
      <c r="I29" s="301">
        <v>44787</v>
      </c>
    </row>
    <row r="30" spans="1:9" ht="33.75" customHeight="1" x14ac:dyDescent="0.2">
      <c r="A30" s="286" t="s">
        <v>580</v>
      </c>
      <c r="B30" s="287" t="s">
        <v>997</v>
      </c>
      <c r="C30" s="288">
        <v>357600</v>
      </c>
      <c r="D30" s="288">
        <v>150000</v>
      </c>
      <c r="E30" s="506" t="s">
        <v>98</v>
      </c>
      <c r="F30" s="509">
        <v>150000</v>
      </c>
      <c r="G30" s="288">
        <v>0</v>
      </c>
      <c r="H30" s="300" t="s">
        <v>235</v>
      </c>
      <c r="I30" s="301">
        <v>45281</v>
      </c>
    </row>
    <row r="31" spans="1:9" ht="32.450000000000003" customHeight="1" x14ac:dyDescent="0.2">
      <c r="A31" s="286" t="s">
        <v>427</v>
      </c>
      <c r="B31" s="287" t="s">
        <v>998</v>
      </c>
      <c r="C31" s="288">
        <v>315600</v>
      </c>
      <c r="D31" s="288">
        <v>149298</v>
      </c>
      <c r="E31" s="506" t="s">
        <v>98</v>
      </c>
      <c r="F31" s="509">
        <v>89462</v>
      </c>
      <c r="G31" s="288">
        <v>59836</v>
      </c>
      <c r="H31" s="300" t="s">
        <v>331</v>
      </c>
      <c r="I31" s="301">
        <v>45382</v>
      </c>
    </row>
    <row r="32" spans="1:9" ht="25.9" customHeight="1" x14ac:dyDescent="0.2">
      <c r="A32" s="286" t="s">
        <v>96</v>
      </c>
      <c r="B32" s="287" t="s">
        <v>999</v>
      </c>
      <c r="C32" s="288">
        <v>299400</v>
      </c>
      <c r="D32" s="288">
        <v>150000</v>
      </c>
      <c r="E32" s="506" t="s">
        <v>98</v>
      </c>
      <c r="F32" s="509">
        <v>0</v>
      </c>
      <c r="G32" s="288">
        <v>0</v>
      </c>
      <c r="H32" s="300" t="s">
        <v>572</v>
      </c>
      <c r="I32" s="301"/>
    </row>
    <row r="33" spans="1:9" ht="25.9" customHeight="1" x14ac:dyDescent="0.2">
      <c r="A33" s="286" t="s">
        <v>793</v>
      </c>
      <c r="B33" s="287" t="s">
        <v>1000</v>
      </c>
      <c r="C33" s="288">
        <v>85000</v>
      </c>
      <c r="D33" s="288">
        <v>63750</v>
      </c>
      <c r="E33" s="506" t="s">
        <v>98</v>
      </c>
      <c r="F33" s="509">
        <v>7011</v>
      </c>
      <c r="G33" s="288">
        <v>56739</v>
      </c>
      <c r="H33" s="300" t="s">
        <v>331</v>
      </c>
      <c r="I33" s="301">
        <v>45382</v>
      </c>
    </row>
    <row r="34" spans="1:9" ht="25.9" customHeight="1" x14ac:dyDescent="0.2">
      <c r="A34" s="286" t="s">
        <v>108</v>
      </c>
      <c r="B34" s="287" t="s">
        <v>1001</v>
      </c>
      <c r="C34" s="288">
        <v>94000</v>
      </c>
      <c r="D34" s="288">
        <v>75000</v>
      </c>
      <c r="E34" s="506" t="s">
        <v>98</v>
      </c>
      <c r="F34" s="509">
        <v>0</v>
      </c>
      <c r="G34" s="288">
        <v>0</v>
      </c>
      <c r="H34" s="300" t="s">
        <v>572</v>
      </c>
      <c r="I34" s="301"/>
    </row>
    <row r="35" spans="1:9" ht="25.9" customHeight="1" x14ac:dyDescent="0.2">
      <c r="A35" s="286" t="s">
        <v>1002</v>
      </c>
      <c r="B35" s="287" t="s">
        <v>864</v>
      </c>
      <c r="C35" s="288">
        <v>35258</v>
      </c>
      <c r="D35" s="288">
        <v>21154</v>
      </c>
      <c r="E35" s="506" t="s">
        <v>98</v>
      </c>
      <c r="F35" s="509">
        <v>14966</v>
      </c>
      <c r="G35" s="288">
        <v>0</v>
      </c>
      <c r="H35" s="300" t="s">
        <v>235</v>
      </c>
      <c r="I35" s="301">
        <v>44958</v>
      </c>
    </row>
    <row r="36" spans="1:9" ht="25.9" customHeight="1" x14ac:dyDescent="0.2">
      <c r="A36" s="286" t="s">
        <v>1003</v>
      </c>
      <c r="B36" s="287" t="s">
        <v>864</v>
      </c>
      <c r="C36" s="288">
        <v>35808</v>
      </c>
      <c r="D36" s="288">
        <v>26856</v>
      </c>
      <c r="E36" s="506" t="s">
        <v>98</v>
      </c>
      <c r="F36" s="509">
        <v>25690</v>
      </c>
      <c r="G36" s="288">
        <v>1166</v>
      </c>
      <c r="H36" s="300" t="s">
        <v>331</v>
      </c>
      <c r="I36" s="301">
        <v>45352</v>
      </c>
    </row>
    <row r="37" spans="1:9" ht="25.9" customHeight="1" x14ac:dyDescent="0.2">
      <c r="A37" s="286" t="s">
        <v>1004</v>
      </c>
      <c r="B37" s="287" t="s">
        <v>1005</v>
      </c>
      <c r="C37" s="288">
        <v>42500</v>
      </c>
      <c r="D37" s="288">
        <v>36125</v>
      </c>
      <c r="E37" s="506" t="s">
        <v>98</v>
      </c>
      <c r="F37" s="509">
        <v>21077</v>
      </c>
      <c r="G37" s="288">
        <v>15048</v>
      </c>
      <c r="H37" s="300" t="s">
        <v>1107</v>
      </c>
      <c r="I37" s="279">
        <v>45323</v>
      </c>
    </row>
    <row r="38" spans="1:9" ht="25.9" customHeight="1" x14ac:dyDescent="0.2">
      <c r="A38" s="286" t="s">
        <v>1006</v>
      </c>
      <c r="B38" s="287" t="s">
        <v>810</v>
      </c>
      <c r="C38" s="288">
        <v>50000</v>
      </c>
      <c r="D38" s="288">
        <v>42500</v>
      </c>
      <c r="E38" s="506" t="s">
        <v>98</v>
      </c>
      <c r="F38" s="509">
        <v>42000</v>
      </c>
      <c r="G38" s="288">
        <v>500</v>
      </c>
      <c r="H38" s="300" t="s">
        <v>1107</v>
      </c>
      <c r="I38" s="301">
        <v>45323</v>
      </c>
    </row>
    <row r="39" spans="1:9" ht="25.9" customHeight="1" x14ac:dyDescent="0.2">
      <c r="A39" s="286" t="s">
        <v>1007</v>
      </c>
      <c r="B39" s="287" t="s">
        <v>1008</v>
      </c>
      <c r="C39" s="288">
        <v>75000</v>
      </c>
      <c r="D39" s="288">
        <v>63750</v>
      </c>
      <c r="E39" s="506" t="s">
        <v>98</v>
      </c>
      <c r="F39" s="509">
        <v>54931</v>
      </c>
      <c r="G39" s="288">
        <v>0</v>
      </c>
      <c r="H39" s="300" t="s">
        <v>235</v>
      </c>
      <c r="I39" s="279">
        <v>45048</v>
      </c>
    </row>
    <row r="40" spans="1:9" s="280" customFormat="1" ht="25.9" customHeight="1" x14ac:dyDescent="0.25">
      <c r="A40" s="273"/>
      <c r="B40" s="274"/>
      <c r="C40" s="508"/>
      <c r="D40" s="508"/>
      <c r="E40" s="275"/>
      <c r="F40" s="276"/>
      <c r="G40" s="277"/>
      <c r="H40" s="278"/>
      <c r="I40" s="279"/>
    </row>
    <row r="41" spans="1:9" ht="25.9" customHeight="1" x14ac:dyDescent="0.2">
      <c r="A41" s="207"/>
      <c r="B41" s="208" t="s">
        <v>104</v>
      </c>
      <c r="C41" s="206">
        <f>SUM(C28:C39)</f>
        <v>2232571</v>
      </c>
      <c r="D41" s="206">
        <f>SUM(D28:D39)</f>
        <v>1078433</v>
      </c>
      <c r="E41" s="209"/>
      <c r="F41" s="206">
        <f>SUM(F28:F39)</f>
        <v>552157</v>
      </c>
      <c r="G41" s="206">
        <f>SUM(G28:G39)</f>
        <v>136269</v>
      </c>
      <c r="H41" s="210"/>
      <c r="I41" s="211"/>
    </row>
    <row r="42" spans="1:9" ht="15.75" x14ac:dyDescent="0.2">
      <c r="A42" s="577" t="s">
        <v>945</v>
      </c>
      <c r="B42" s="577"/>
      <c r="C42" s="577"/>
      <c r="D42" s="577"/>
      <c r="E42" s="577"/>
      <c r="F42" s="577"/>
      <c r="G42" s="577"/>
      <c r="H42" s="577"/>
      <c r="I42" s="577"/>
    </row>
    <row r="43" spans="1:9" ht="33.75" customHeight="1" x14ac:dyDescent="0.2">
      <c r="A43" s="267" t="s">
        <v>89</v>
      </c>
      <c r="B43" s="268" t="s">
        <v>0</v>
      </c>
      <c r="C43" s="269" t="s">
        <v>1</v>
      </c>
      <c r="D43" s="269" t="s">
        <v>90</v>
      </c>
      <c r="E43" s="269" t="s">
        <v>91</v>
      </c>
      <c r="F43" s="269" t="s">
        <v>92</v>
      </c>
      <c r="G43" s="269" t="s">
        <v>93</v>
      </c>
      <c r="H43" s="270" t="s">
        <v>94</v>
      </c>
      <c r="I43" s="270" t="s">
        <v>95</v>
      </c>
    </row>
    <row r="44" spans="1:9" ht="37.9" customHeight="1" x14ac:dyDescent="0.2">
      <c r="A44" s="286" t="s">
        <v>793</v>
      </c>
      <c r="B44" s="287" t="s">
        <v>946</v>
      </c>
      <c r="C44" s="288">
        <v>384000</v>
      </c>
      <c r="D44" s="288">
        <v>150000</v>
      </c>
      <c r="E44" s="506" t="s">
        <v>98</v>
      </c>
      <c r="F44" s="507">
        <v>150000</v>
      </c>
      <c r="G44" s="288">
        <v>0</v>
      </c>
      <c r="H44" s="300" t="s">
        <v>235</v>
      </c>
      <c r="I44" s="301">
        <v>44986</v>
      </c>
    </row>
    <row r="45" spans="1:9" ht="33.75" customHeight="1" x14ac:dyDescent="0.2">
      <c r="A45" s="286" t="s">
        <v>802</v>
      </c>
      <c r="B45" s="287" t="s">
        <v>947</v>
      </c>
      <c r="C45" s="288">
        <v>65921</v>
      </c>
      <c r="D45" s="288">
        <v>32960</v>
      </c>
      <c r="E45" s="506" t="s">
        <v>98</v>
      </c>
      <c r="F45" s="507">
        <v>25312</v>
      </c>
      <c r="G45" s="288">
        <v>0</v>
      </c>
      <c r="H45" s="300" t="s">
        <v>235</v>
      </c>
      <c r="I45" s="301">
        <v>44986</v>
      </c>
    </row>
    <row r="46" spans="1:9" ht="32.450000000000003" customHeight="1" x14ac:dyDescent="0.2">
      <c r="A46" s="286" t="s">
        <v>591</v>
      </c>
      <c r="B46" s="287" t="s">
        <v>948</v>
      </c>
      <c r="C46" s="288">
        <v>140000</v>
      </c>
      <c r="D46" s="288">
        <v>70000</v>
      </c>
      <c r="E46" s="506" t="s">
        <v>98</v>
      </c>
      <c r="F46" s="507">
        <v>70000</v>
      </c>
      <c r="G46" s="288">
        <v>0</v>
      </c>
      <c r="H46" s="300" t="s">
        <v>235</v>
      </c>
      <c r="I46" s="301">
        <v>44986</v>
      </c>
    </row>
    <row r="47" spans="1:9" ht="25.9" customHeight="1" x14ac:dyDescent="0.2">
      <c r="A47" s="286" t="s">
        <v>602</v>
      </c>
      <c r="B47" s="287" t="s">
        <v>949</v>
      </c>
      <c r="C47" s="288">
        <v>45000</v>
      </c>
      <c r="D47" s="288">
        <v>22500</v>
      </c>
      <c r="E47" s="506" t="s">
        <v>98</v>
      </c>
      <c r="F47" s="507">
        <v>15808</v>
      </c>
      <c r="G47" s="288">
        <v>0</v>
      </c>
      <c r="H47" s="300" t="s">
        <v>235</v>
      </c>
      <c r="I47" s="301">
        <v>44348</v>
      </c>
    </row>
    <row r="48" spans="1:9" ht="25.9" customHeight="1" x14ac:dyDescent="0.2">
      <c r="A48" s="286" t="s">
        <v>802</v>
      </c>
      <c r="B48" s="287" t="s">
        <v>950</v>
      </c>
      <c r="C48" s="288">
        <v>30000</v>
      </c>
      <c r="D48" s="288">
        <v>15000</v>
      </c>
      <c r="E48" s="506" t="s">
        <v>98</v>
      </c>
      <c r="F48" s="507">
        <v>15000</v>
      </c>
      <c r="G48" s="288">
        <v>0</v>
      </c>
      <c r="H48" s="300" t="s">
        <v>235</v>
      </c>
      <c r="I48" s="301">
        <v>44713</v>
      </c>
    </row>
    <row r="49" spans="1:9" ht="25.9" customHeight="1" x14ac:dyDescent="0.2">
      <c r="A49" s="286" t="s">
        <v>951</v>
      </c>
      <c r="B49" s="287" t="s">
        <v>952</v>
      </c>
      <c r="C49" s="288">
        <v>120000</v>
      </c>
      <c r="D49" s="288">
        <v>75000</v>
      </c>
      <c r="E49" s="506" t="s">
        <v>98</v>
      </c>
      <c r="F49" s="507">
        <v>75000</v>
      </c>
      <c r="G49" s="288">
        <v>0</v>
      </c>
      <c r="H49" s="300" t="s">
        <v>235</v>
      </c>
      <c r="I49" s="301">
        <v>44256</v>
      </c>
    </row>
    <row r="50" spans="1:9" ht="25.9" customHeight="1" x14ac:dyDescent="0.2">
      <c r="A50" s="286" t="s">
        <v>872</v>
      </c>
      <c r="B50" s="287" t="s">
        <v>953</v>
      </c>
      <c r="C50" s="288">
        <v>101140</v>
      </c>
      <c r="D50" s="288">
        <v>75000</v>
      </c>
      <c r="E50" s="506" t="s">
        <v>98</v>
      </c>
      <c r="F50" s="507">
        <v>70204</v>
      </c>
      <c r="G50" s="288">
        <v>0</v>
      </c>
      <c r="H50" s="300" t="s">
        <v>235</v>
      </c>
      <c r="I50" s="301">
        <v>44713</v>
      </c>
    </row>
    <row r="51" spans="1:9" ht="25.9" customHeight="1" x14ac:dyDescent="0.2">
      <c r="A51" s="286" t="s">
        <v>584</v>
      </c>
      <c r="B51" s="287" t="s">
        <v>954</v>
      </c>
      <c r="C51" s="288">
        <v>16000</v>
      </c>
      <c r="D51" s="288">
        <v>8000</v>
      </c>
      <c r="E51" s="506" t="s">
        <v>98</v>
      </c>
      <c r="F51" s="507">
        <v>8000</v>
      </c>
      <c r="G51" s="288">
        <v>0</v>
      </c>
      <c r="H51" s="300" t="s">
        <v>235</v>
      </c>
      <c r="I51" s="301">
        <v>44958</v>
      </c>
    </row>
    <row r="52" spans="1:9" ht="25.9" customHeight="1" x14ac:dyDescent="0.2">
      <c r="A52" s="286" t="s">
        <v>423</v>
      </c>
      <c r="B52" s="287" t="s">
        <v>864</v>
      </c>
      <c r="C52" s="288">
        <v>66000</v>
      </c>
      <c r="D52" s="288">
        <v>49500</v>
      </c>
      <c r="E52" s="506" t="s">
        <v>98</v>
      </c>
      <c r="F52" s="507">
        <v>28037</v>
      </c>
      <c r="G52" s="288">
        <v>0</v>
      </c>
      <c r="H52" s="300" t="s">
        <v>235</v>
      </c>
      <c r="I52" s="301">
        <v>44440</v>
      </c>
    </row>
    <row r="53" spans="1:9" s="280" customFormat="1" ht="25.9" customHeight="1" x14ac:dyDescent="0.2">
      <c r="A53" s="286" t="s">
        <v>955</v>
      </c>
      <c r="B53" s="287" t="s">
        <v>800</v>
      </c>
      <c r="C53" s="288">
        <v>85000</v>
      </c>
      <c r="D53" s="288">
        <v>68000</v>
      </c>
      <c r="E53" s="506" t="s">
        <v>98</v>
      </c>
      <c r="F53" s="507">
        <v>37355</v>
      </c>
      <c r="G53" s="288">
        <v>0</v>
      </c>
      <c r="H53" s="300" t="s">
        <v>235</v>
      </c>
      <c r="I53" s="279">
        <v>44986</v>
      </c>
    </row>
    <row r="54" spans="1:9" s="280" customFormat="1" ht="25.9" customHeight="1" x14ac:dyDescent="0.2">
      <c r="A54" s="286" t="s">
        <v>587</v>
      </c>
      <c r="B54" s="287" t="s">
        <v>956</v>
      </c>
      <c r="C54" s="288">
        <v>68400</v>
      </c>
      <c r="D54" s="288">
        <v>58140</v>
      </c>
      <c r="E54" s="506" t="s">
        <v>98</v>
      </c>
      <c r="F54" s="507">
        <v>55272</v>
      </c>
      <c r="G54" s="288">
        <v>0</v>
      </c>
      <c r="H54" s="300" t="s">
        <v>235</v>
      </c>
      <c r="I54" s="279">
        <v>44713</v>
      </c>
    </row>
    <row r="55" spans="1:9" s="280" customFormat="1" ht="25.9" customHeight="1" x14ac:dyDescent="0.2">
      <c r="A55" s="286" t="s">
        <v>589</v>
      </c>
      <c r="B55" s="287" t="s">
        <v>957</v>
      </c>
      <c r="C55" s="288">
        <v>195000</v>
      </c>
      <c r="D55" s="288">
        <v>150000</v>
      </c>
      <c r="E55" s="506" t="s">
        <v>98</v>
      </c>
      <c r="F55" s="507">
        <v>150000</v>
      </c>
      <c r="G55" s="288">
        <v>0</v>
      </c>
      <c r="H55" s="300" t="s">
        <v>235</v>
      </c>
      <c r="I55" s="279">
        <v>44916</v>
      </c>
    </row>
    <row r="56" spans="1:9" ht="14.45" customHeight="1" x14ac:dyDescent="0.25">
      <c r="A56" s="273"/>
      <c r="B56" s="274"/>
      <c r="C56" s="508"/>
      <c r="D56" s="508"/>
      <c r="E56" s="275"/>
      <c r="F56" s="276"/>
      <c r="G56" s="277"/>
      <c r="H56" s="278"/>
      <c r="I56" s="279"/>
    </row>
    <row r="57" spans="1:9" s="280" customFormat="1" ht="25.9" customHeight="1" x14ac:dyDescent="0.2">
      <c r="A57" s="207"/>
      <c r="B57" s="208" t="s">
        <v>104</v>
      </c>
      <c r="C57" s="206">
        <f>SUM(C44:C55)</f>
        <v>1316461</v>
      </c>
      <c r="D57" s="206">
        <f>SUM(D44:D55)</f>
        <v>774100</v>
      </c>
      <c r="E57" s="209"/>
      <c r="F57" s="206">
        <f>SUM(F44:F55)</f>
        <v>699988</v>
      </c>
      <c r="G57" s="206">
        <f>SUM(G44:G55)</f>
        <v>0</v>
      </c>
      <c r="H57" s="210"/>
      <c r="I57" s="211"/>
    </row>
    <row r="58" spans="1:9" ht="36" customHeight="1" x14ac:dyDescent="0.2"/>
    <row r="59" spans="1:9" ht="28.9" customHeight="1" x14ac:dyDescent="0.2">
      <c r="A59" s="577" t="s">
        <v>862</v>
      </c>
      <c r="B59" s="577"/>
      <c r="C59" s="577"/>
      <c r="D59" s="577"/>
      <c r="E59" s="577"/>
      <c r="F59" s="577"/>
      <c r="G59" s="577"/>
      <c r="H59" s="577"/>
      <c r="I59" s="577"/>
    </row>
    <row r="60" spans="1:9" s="280" customFormat="1" ht="25.9" customHeight="1" x14ac:dyDescent="0.2">
      <c r="A60" s="267" t="s">
        <v>89</v>
      </c>
      <c r="B60" s="268" t="s">
        <v>0</v>
      </c>
      <c r="C60" s="269" t="s">
        <v>1</v>
      </c>
      <c r="D60" s="269" t="s">
        <v>90</v>
      </c>
      <c r="E60" s="269" t="s">
        <v>91</v>
      </c>
      <c r="F60" s="269" t="s">
        <v>92</v>
      </c>
      <c r="G60" s="269" t="s">
        <v>93</v>
      </c>
      <c r="H60" s="270" t="s">
        <v>94</v>
      </c>
      <c r="I60" s="270" t="s">
        <v>95</v>
      </c>
    </row>
    <row r="61" spans="1:9" s="280" customFormat="1" ht="25.9" customHeight="1" x14ac:dyDescent="0.25">
      <c r="A61" s="286" t="s">
        <v>585</v>
      </c>
      <c r="B61" s="287" t="s">
        <v>863</v>
      </c>
      <c r="C61" s="288">
        <v>1050000</v>
      </c>
      <c r="D61" s="288">
        <v>150000</v>
      </c>
      <c r="E61" s="506" t="s">
        <v>98</v>
      </c>
      <c r="F61" s="298">
        <v>150000</v>
      </c>
      <c r="G61" s="509">
        <v>0</v>
      </c>
      <c r="H61" s="300" t="s">
        <v>235</v>
      </c>
      <c r="I61" s="301">
        <v>44713</v>
      </c>
    </row>
    <row r="62" spans="1:9" s="280" customFormat="1" ht="25.9" customHeight="1" x14ac:dyDescent="0.25">
      <c r="A62" s="286" t="s">
        <v>793</v>
      </c>
      <c r="B62" s="287" t="s">
        <v>794</v>
      </c>
      <c r="C62" s="288">
        <v>360000</v>
      </c>
      <c r="D62" s="288">
        <v>150000</v>
      </c>
      <c r="E62" s="506" t="s">
        <v>98</v>
      </c>
      <c r="F62" s="298">
        <v>150000</v>
      </c>
      <c r="G62" s="509">
        <v>0</v>
      </c>
      <c r="H62" s="300" t="s">
        <v>235</v>
      </c>
      <c r="I62" s="301">
        <v>44326</v>
      </c>
    </row>
    <row r="63" spans="1:9" s="280" customFormat="1" ht="25.9" customHeight="1" x14ac:dyDescent="0.25">
      <c r="A63" s="286" t="s">
        <v>414</v>
      </c>
      <c r="B63" s="287" t="s">
        <v>864</v>
      </c>
      <c r="C63" s="288">
        <v>168750</v>
      </c>
      <c r="D63" s="288">
        <v>75000</v>
      </c>
      <c r="E63" s="506" t="s">
        <v>98</v>
      </c>
      <c r="F63" s="298">
        <v>75000</v>
      </c>
      <c r="G63" s="509">
        <v>0</v>
      </c>
      <c r="H63" s="300" t="s">
        <v>235</v>
      </c>
      <c r="I63" s="301">
        <v>44273</v>
      </c>
    </row>
    <row r="64" spans="1:9" s="280" customFormat="1" ht="25.9" customHeight="1" x14ac:dyDescent="0.25">
      <c r="A64" s="286" t="s">
        <v>865</v>
      </c>
      <c r="B64" s="287" t="s">
        <v>744</v>
      </c>
      <c r="C64" s="288">
        <v>300000</v>
      </c>
      <c r="D64" s="288">
        <v>150000</v>
      </c>
      <c r="E64" s="506" t="s">
        <v>98</v>
      </c>
      <c r="F64" s="298">
        <v>150000</v>
      </c>
      <c r="G64" s="509">
        <v>0</v>
      </c>
      <c r="H64" s="300" t="s">
        <v>235</v>
      </c>
      <c r="I64" s="301">
        <v>44621</v>
      </c>
    </row>
    <row r="65" spans="1:9" s="280" customFormat="1" ht="25.9" customHeight="1" x14ac:dyDescent="0.25">
      <c r="A65" s="286" t="s">
        <v>866</v>
      </c>
      <c r="B65" s="287" t="s">
        <v>867</v>
      </c>
      <c r="C65" s="288">
        <v>55000</v>
      </c>
      <c r="D65" s="288">
        <v>30250</v>
      </c>
      <c r="E65" s="506" t="s">
        <v>98</v>
      </c>
      <c r="F65" s="298">
        <v>30250</v>
      </c>
      <c r="G65" s="509">
        <v>0</v>
      </c>
      <c r="H65" s="300" t="s">
        <v>235</v>
      </c>
      <c r="I65" s="301">
        <v>44313</v>
      </c>
    </row>
    <row r="66" spans="1:9" s="280" customFormat="1" ht="25.9" customHeight="1" x14ac:dyDescent="0.25">
      <c r="A66" s="286" t="s">
        <v>868</v>
      </c>
      <c r="B66" s="287" t="s">
        <v>869</v>
      </c>
      <c r="C66" s="288">
        <v>250000</v>
      </c>
      <c r="D66" s="288">
        <v>150000</v>
      </c>
      <c r="E66" s="506" t="s">
        <v>98</v>
      </c>
      <c r="F66" s="298">
        <v>150000</v>
      </c>
      <c r="G66" s="509">
        <v>0</v>
      </c>
      <c r="H66" s="300" t="s">
        <v>235</v>
      </c>
      <c r="I66" s="301">
        <v>44523</v>
      </c>
    </row>
    <row r="67" spans="1:9" s="280" customFormat="1" ht="25.9" customHeight="1" x14ac:dyDescent="0.25">
      <c r="A67" s="286" t="s">
        <v>108</v>
      </c>
      <c r="B67" s="287" t="s">
        <v>870</v>
      </c>
      <c r="C67" s="288">
        <v>177900</v>
      </c>
      <c r="D67" s="288">
        <v>150000</v>
      </c>
      <c r="E67" s="506" t="s">
        <v>98</v>
      </c>
      <c r="F67" s="298">
        <v>150000</v>
      </c>
      <c r="G67" s="509">
        <v>0</v>
      </c>
      <c r="H67" s="300" t="s">
        <v>235</v>
      </c>
      <c r="I67" s="301">
        <v>44362</v>
      </c>
    </row>
    <row r="68" spans="1:9" s="280" customFormat="1" ht="25.9" customHeight="1" x14ac:dyDescent="0.25">
      <c r="A68" s="286" t="s">
        <v>587</v>
      </c>
      <c r="B68" s="287" t="s">
        <v>871</v>
      </c>
      <c r="C68" s="288">
        <v>149800</v>
      </c>
      <c r="D68" s="288">
        <v>104860</v>
      </c>
      <c r="E68" s="506" t="s">
        <v>98</v>
      </c>
      <c r="F68" s="298">
        <v>104860</v>
      </c>
      <c r="G68" s="509">
        <v>0</v>
      </c>
      <c r="H68" s="300" t="s">
        <v>235</v>
      </c>
      <c r="I68" s="301">
        <v>44532</v>
      </c>
    </row>
    <row r="69" spans="1:9" s="280" customFormat="1" ht="25.9" customHeight="1" x14ac:dyDescent="0.25">
      <c r="A69" s="286" t="s">
        <v>872</v>
      </c>
      <c r="B69" s="287" t="s">
        <v>873</v>
      </c>
      <c r="C69" s="288">
        <v>101140</v>
      </c>
      <c r="D69" s="288">
        <v>75000</v>
      </c>
      <c r="E69" s="506" t="s">
        <v>98</v>
      </c>
      <c r="F69" s="298">
        <v>75000</v>
      </c>
      <c r="G69" s="509">
        <v>0</v>
      </c>
      <c r="H69" s="300" t="s">
        <v>235</v>
      </c>
      <c r="I69" s="301">
        <v>44265</v>
      </c>
    </row>
    <row r="70" spans="1:9" s="280" customFormat="1" ht="14.25" customHeight="1" x14ac:dyDescent="0.25">
      <c r="A70" s="286" t="s">
        <v>425</v>
      </c>
      <c r="B70" s="287" t="s">
        <v>874</v>
      </c>
      <c r="C70" s="288">
        <v>233500</v>
      </c>
      <c r="D70" s="288">
        <v>150000</v>
      </c>
      <c r="E70" s="506" t="s">
        <v>98</v>
      </c>
      <c r="F70" s="298">
        <v>150000</v>
      </c>
      <c r="G70" s="509">
        <v>0</v>
      </c>
      <c r="H70" s="300" t="s">
        <v>235</v>
      </c>
      <c r="I70" s="279">
        <v>44593</v>
      </c>
    </row>
    <row r="71" spans="1:9" ht="18.75" customHeight="1" x14ac:dyDescent="0.25">
      <c r="A71" s="273"/>
      <c r="B71" s="274"/>
      <c r="C71" s="508"/>
      <c r="D71" s="508"/>
      <c r="E71" s="275"/>
      <c r="F71" s="276"/>
      <c r="G71" s="277"/>
      <c r="H71" s="278"/>
      <c r="I71" s="279"/>
    </row>
    <row r="72" spans="1:9" s="9" customFormat="1" ht="33.75" customHeight="1" x14ac:dyDescent="0.2">
      <c r="A72" s="207"/>
      <c r="B72" s="208" t="s">
        <v>104</v>
      </c>
      <c r="C72" s="206">
        <f>SUM(C61:C70)</f>
        <v>2846090</v>
      </c>
      <c r="D72" s="206">
        <f>SUM(D61:D70)</f>
        <v>1185110</v>
      </c>
      <c r="E72" s="209"/>
      <c r="F72" s="206">
        <f>SUM(F61:F70)</f>
        <v>1185110</v>
      </c>
      <c r="G72" s="206">
        <f>SUM(G61:G70)</f>
        <v>0</v>
      </c>
      <c r="H72" s="210"/>
      <c r="I72" s="211"/>
    </row>
    <row r="73" spans="1:9" ht="57" customHeight="1" x14ac:dyDescent="0.2">
      <c r="A73" s="290"/>
      <c r="B73" s="291"/>
      <c r="C73" s="292"/>
      <c r="D73" s="292"/>
      <c r="E73" s="293"/>
      <c r="F73" s="292"/>
      <c r="G73" s="292"/>
      <c r="H73" s="294"/>
      <c r="I73" s="295"/>
    </row>
    <row r="74" spans="1:9" s="280" customFormat="1" ht="25.9" customHeight="1" x14ac:dyDescent="0.2">
      <c r="A74" s="577" t="s">
        <v>792</v>
      </c>
      <c r="B74" s="577"/>
      <c r="C74" s="577"/>
      <c r="D74" s="577"/>
      <c r="E74" s="577"/>
      <c r="F74" s="577"/>
      <c r="G74" s="577"/>
      <c r="H74" s="577"/>
      <c r="I74" s="577"/>
    </row>
    <row r="75" spans="1:9" s="280" customFormat="1" ht="25.9" customHeight="1" x14ac:dyDescent="0.2">
      <c r="A75" s="267" t="s">
        <v>89</v>
      </c>
      <c r="B75" s="268" t="s">
        <v>0</v>
      </c>
      <c r="C75" s="269" t="s">
        <v>1</v>
      </c>
      <c r="D75" s="269" t="s">
        <v>90</v>
      </c>
      <c r="E75" s="269" t="s">
        <v>91</v>
      </c>
      <c r="F75" s="269" t="s">
        <v>92</v>
      </c>
      <c r="G75" s="269" t="s">
        <v>93</v>
      </c>
      <c r="H75" s="270" t="s">
        <v>94</v>
      </c>
      <c r="I75" s="270" t="s">
        <v>95</v>
      </c>
    </row>
    <row r="76" spans="1:9" s="280" customFormat="1" ht="25.9" customHeight="1" x14ac:dyDescent="0.25">
      <c r="A76" s="296" t="s">
        <v>793</v>
      </c>
      <c r="B76" s="297" t="s">
        <v>794</v>
      </c>
      <c r="C76" s="510">
        <v>282000</v>
      </c>
      <c r="D76" s="510">
        <v>149460</v>
      </c>
      <c r="E76" s="506" t="s">
        <v>98</v>
      </c>
      <c r="F76" s="298">
        <f>1806+828+751+932+64+564+7633+436+363+3566+5517+65901+6422+29407+24293+977</f>
        <v>149460</v>
      </c>
      <c r="G76" s="277">
        <v>0</v>
      </c>
      <c r="H76" s="300" t="s">
        <v>235</v>
      </c>
      <c r="I76" s="301">
        <v>44067</v>
      </c>
    </row>
    <row r="77" spans="1:9" s="280" customFormat="1" ht="25.9" customHeight="1" x14ac:dyDescent="0.25">
      <c r="A77" s="296" t="s">
        <v>96</v>
      </c>
      <c r="B77" s="297" t="s">
        <v>795</v>
      </c>
      <c r="C77" s="510">
        <v>480250</v>
      </c>
      <c r="D77" s="510">
        <v>150000</v>
      </c>
      <c r="E77" s="506" t="s">
        <v>98</v>
      </c>
      <c r="F77" s="298">
        <v>0</v>
      </c>
      <c r="G77" s="277">
        <v>0</v>
      </c>
      <c r="H77" s="300" t="s">
        <v>958</v>
      </c>
      <c r="I77" s="301"/>
    </row>
    <row r="78" spans="1:9" s="280" customFormat="1" ht="25.9" customHeight="1" x14ac:dyDescent="0.25">
      <c r="A78" s="296" t="s">
        <v>602</v>
      </c>
      <c r="B78" s="297" t="s">
        <v>796</v>
      </c>
      <c r="C78" s="510">
        <v>75000</v>
      </c>
      <c r="D78" s="510">
        <v>37500</v>
      </c>
      <c r="E78" s="506" t="s">
        <v>98</v>
      </c>
      <c r="F78" s="298">
        <f>23846+13654</f>
        <v>37500</v>
      </c>
      <c r="G78" s="277">
        <v>0</v>
      </c>
      <c r="H78" s="300" t="s">
        <v>235</v>
      </c>
      <c r="I78" s="301">
        <v>43844</v>
      </c>
    </row>
    <row r="79" spans="1:9" s="280" customFormat="1" ht="25.9" customHeight="1" x14ac:dyDescent="0.25">
      <c r="A79" s="296" t="s">
        <v>797</v>
      </c>
      <c r="B79" s="296" t="s">
        <v>798</v>
      </c>
      <c r="C79" s="510">
        <v>24800</v>
      </c>
      <c r="D79" s="510">
        <v>14880</v>
      </c>
      <c r="E79" s="506" t="s">
        <v>98</v>
      </c>
      <c r="F79" s="298">
        <f>14880</f>
        <v>14880</v>
      </c>
      <c r="G79" s="277">
        <v>0</v>
      </c>
      <c r="H79" s="300" t="s">
        <v>235</v>
      </c>
      <c r="I79" s="301">
        <v>43700</v>
      </c>
    </row>
    <row r="80" spans="1:9" s="280" customFormat="1" ht="25.9" customHeight="1" x14ac:dyDescent="0.25">
      <c r="A80" s="296" t="s">
        <v>587</v>
      </c>
      <c r="B80" s="297" t="s">
        <v>799</v>
      </c>
      <c r="C80" s="510">
        <v>656500</v>
      </c>
      <c r="D80" s="510">
        <v>150000</v>
      </c>
      <c r="E80" s="506" t="s">
        <v>98</v>
      </c>
      <c r="F80" s="298">
        <f>150000</f>
        <v>150000</v>
      </c>
      <c r="G80" s="277">
        <v>0</v>
      </c>
      <c r="H80" s="300" t="s">
        <v>235</v>
      </c>
      <c r="I80" s="301">
        <v>44166</v>
      </c>
    </row>
    <row r="81" spans="1:9" s="280" customFormat="1" ht="25.9" customHeight="1" x14ac:dyDescent="0.25">
      <c r="A81" s="296" t="s">
        <v>102</v>
      </c>
      <c r="B81" s="296" t="s">
        <v>800</v>
      </c>
      <c r="C81" s="510">
        <v>65000</v>
      </c>
      <c r="D81" s="510">
        <v>48750</v>
      </c>
      <c r="E81" s="506" t="s">
        <v>98</v>
      </c>
      <c r="F81" s="298">
        <f>48750</f>
        <v>48750</v>
      </c>
      <c r="G81" s="277">
        <v>0</v>
      </c>
      <c r="H81" s="300" t="s">
        <v>235</v>
      </c>
      <c r="I81" s="301">
        <v>43844</v>
      </c>
    </row>
    <row r="82" spans="1:9" s="280" customFormat="1" ht="25.9" customHeight="1" x14ac:dyDescent="0.25">
      <c r="A82" s="296" t="s">
        <v>589</v>
      </c>
      <c r="B82" s="297" t="s">
        <v>799</v>
      </c>
      <c r="C82" s="510">
        <v>600000</v>
      </c>
      <c r="D82" s="510">
        <v>150000</v>
      </c>
      <c r="E82" s="506" t="s">
        <v>98</v>
      </c>
      <c r="F82" s="298">
        <f>135000+15000</f>
        <v>150000</v>
      </c>
      <c r="G82" s="277">
        <v>0</v>
      </c>
      <c r="H82" s="300" t="s">
        <v>235</v>
      </c>
      <c r="I82" s="301">
        <v>43618</v>
      </c>
    </row>
    <row r="83" spans="1:9" ht="18.75" customHeight="1" x14ac:dyDescent="0.25">
      <c r="A83" s="296" t="s">
        <v>591</v>
      </c>
      <c r="B83" s="296" t="s">
        <v>801</v>
      </c>
      <c r="C83" s="510">
        <v>20500</v>
      </c>
      <c r="D83" s="510">
        <v>16400</v>
      </c>
      <c r="E83" s="506" t="s">
        <v>98</v>
      </c>
      <c r="F83" s="298">
        <v>0</v>
      </c>
      <c r="G83" s="277">
        <v>0</v>
      </c>
      <c r="H83" s="300" t="s">
        <v>958</v>
      </c>
      <c r="I83" s="301"/>
    </row>
    <row r="84" spans="1:9" s="9" customFormat="1" ht="33.75" customHeight="1" x14ac:dyDescent="0.25">
      <c r="A84" s="296" t="s">
        <v>802</v>
      </c>
      <c r="B84" s="296" t="s">
        <v>803</v>
      </c>
      <c r="C84" s="510">
        <v>30000</v>
      </c>
      <c r="D84" s="510">
        <v>15000</v>
      </c>
      <c r="E84" s="506" t="s">
        <v>98</v>
      </c>
      <c r="F84" s="298">
        <f>3110+10757</f>
        <v>13867</v>
      </c>
      <c r="G84" s="277">
        <v>0</v>
      </c>
      <c r="H84" s="300" t="s">
        <v>235</v>
      </c>
      <c r="I84" s="301">
        <v>43986</v>
      </c>
    </row>
    <row r="85" spans="1:9" s="10" customFormat="1" ht="57" customHeight="1" x14ac:dyDescent="0.2">
      <c r="A85" s="207"/>
      <c r="B85" s="208" t="s">
        <v>104</v>
      </c>
      <c r="C85" s="206">
        <f>SUM(C76:C84)</f>
        <v>2234050</v>
      </c>
      <c r="D85" s="206">
        <f>SUM(D76:D84)</f>
        <v>731990</v>
      </c>
      <c r="E85" s="209"/>
      <c r="F85" s="206">
        <f>SUM(F76:F84)</f>
        <v>564457</v>
      </c>
      <c r="G85" s="206">
        <f>SUM(G76:G84)</f>
        <v>0</v>
      </c>
      <c r="H85" s="210"/>
      <c r="I85" s="211"/>
    </row>
    <row r="86" spans="1:9" s="168" customFormat="1" ht="15" x14ac:dyDescent="0.2">
      <c r="A86" s="195"/>
      <c r="B86" s="266"/>
      <c r="C86" s="266"/>
      <c r="D86" s="266"/>
      <c r="E86" s="266"/>
      <c r="F86" s="266"/>
      <c r="G86" s="266"/>
      <c r="H86" s="266"/>
      <c r="I86" s="266"/>
    </row>
    <row r="87" spans="1:9" s="168" customFormat="1" ht="28.5" customHeight="1" x14ac:dyDescent="0.2">
      <c r="A87" s="281"/>
      <c r="B87" s="282"/>
      <c r="C87" s="283"/>
      <c r="D87" s="283"/>
      <c r="E87" s="284"/>
      <c r="F87" s="283"/>
      <c r="G87" s="283"/>
      <c r="H87" s="285"/>
      <c r="I87" s="285"/>
    </row>
    <row r="88" spans="1:9" s="168" customFormat="1" ht="15.75" x14ac:dyDescent="0.2">
      <c r="A88" s="577" t="s">
        <v>730</v>
      </c>
      <c r="B88" s="577"/>
      <c r="C88" s="577"/>
      <c r="D88" s="577"/>
      <c r="E88" s="577"/>
      <c r="F88" s="577"/>
      <c r="G88" s="577"/>
      <c r="H88" s="577"/>
      <c r="I88" s="577"/>
    </row>
    <row r="89" spans="1:9" s="168" customFormat="1" ht="38.25" x14ac:dyDescent="0.2">
      <c r="A89" s="267" t="s">
        <v>89</v>
      </c>
      <c r="B89" s="268" t="s">
        <v>0</v>
      </c>
      <c r="C89" s="269" t="s">
        <v>1</v>
      </c>
      <c r="D89" s="269" t="s">
        <v>90</v>
      </c>
      <c r="E89" s="269" t="s">
        <v>91</v>
      </c>
      <c r="F89" s="269" t="s">
        <v>92</v>
      </c>
      <c r="G89" s="269" t="s">
        <v>93</v>
      </c>
      <c r="H89" s="270" t="s">
        <v>94</v>
      </c>
      <c r="I89" s="270" t="s">
        <v>95</v>
      </c>
    </row>
    <row r="90" spans="1:9" s="168" customFormat="1" ht="44.25" customHeight="1" x14ac:dyDescent="0.25">
      <c r="A90" s="299" t="s">
        <v>420</v>
      </c>
      <c r="B90" s="297" t="s">
        <v>731</v>
      </c>
      <c r="C90" s="298">
        <v>550000</v>
      </c>
      <c r="D90" s="298">
        <v>150000</v>
      </c>
      <c r="E90" s="289" t="s">
        <v>98</v>
      </c>
      <c r="F90" s="205">
        <v>150000</v>
      </c>
      <c r="G90" s="215">
        <v>0</v>
      </c>
      <c r="H90" s="271" t="s">
        <v>235</v>
      </c>
      <c r="I90" s="272">
        <v>44106</v>
      </c>
    </row>
    <row r="91" spans="1:9" s="11" customFormat="1" ht="27" customHeight="1" x14ac:dyDescent="0.25">
      <c r="A91" s="299" t="s">
        <v>732</v>
      </c>
      <c r="B91" s="297" t="s">
        <v>733</v>
      </c>
      <c r="C91" s="298">
        <v>343000</v>
      </c>
      <c r="D91" s="298">
        <v>150000</v>
      </c>
      <c r="E91" s="506" t="s">
        <v>98</v>
      </c>
      <c r="F91" s="298">
        <v>150000</v>
      </c>
      <c r="G91" s="277">
        <v>0</v>
      </c>
      <c r="H91" s="300" t="s">
        <v>235</v>
      </c>
      <c r="I91" s="301">
        <v>44228</v>
      </c>
    </row>
    <row r="92" spans="1:9" s="168" customFormat="1" ht="33.75" customHeight="1" x14ac:dyDescent="0.25">
      <c r="A92" s="202" t="s">
        <v>102</v>
      </c>
      <c r="B92" s="203" t="s">
        <v>734</v>
      </c>
      <c r="C92" s="205">
        <v>63000</v>
      </c>
      <c r="D92" s="205">
        <v>47250</v>
      </c>
      <c r="E92" s="204" t="s">
        <v>98</v>
      </c>
      <c r="F92" s="205">
        <v>47250</v>
      </c>
      <c r="G92" s="215">
        <v>0</v>
      </c>
      <c r="H92" s="300" t="s">
        <v>235</v>
      </c>
      <c r="I92" s="301">
        <v>43327</v>
      </c>
    </row>
    <row r="93" spans="1:9" s="168" customFormat="1" ht="57" customHeight="1" x14ac:dyDescent="0.25">
      <c r="A93" s="202" t="s">
        <v>589</v>
      </c>
      <c r="B93" s="203" t="s">
        <v>735</v>
      </c>
      <c r="C93" s="205">
        <v>526680</v>
      </c>
      <c r="D93" s="205">
        <v>150000</v>
      </c>
      <c r="E93" s="204" t="s">
        <v>98</v>
      </c>
      <c r="F93" s="205">
        <v>138141</v>
      </c>
      <c r="G93" s="215">
        <v>0</v>
      </c>
      <c r="H93" s="300" t="s">
        <v>235</v>
      </c>
      <c r="I93" s="301">
        <v>43473</v>
      </c>
    </row>
    <row r="94" spans="1:9" s="168" customFormat="1" ht="15" x14ac:dyDescent="0.25">
      <c r="A94" s="202" t="s">
        <v>736</v>
      </c>
      <c r="B94" s="203" t="s">
        <v>737</v>
      </c>
      <c r="C94" s="205">
        <v>51000</v>
      </c>
      <c r="D94" s="205">
        <v>22950</v>
      </c>
      <c r="E94" s="204" t="s">
        <v>98</v>
      </c>
      <c r="F94" s="205">
        <v>22950</v>
      </c>
      <c r="G94" s="215">
        <v>0</v>
      </c>
      <c r="H94" s="300" t="s">
        <v>235</v>
      </c>
      <c r="I94" s="301">
        <v>43312</v>
      </c>
    </row>
    <row r="95" spans="1:9" s="11" customFormat="1" ht="42" customHeight="1" x14ac:dyDescent="0.2">
      <c r="A95" s="207"/>
      <c r="B95" s="208" t="s">
        <v>104</v>
      </c>
      <c r="C95" s="206">
        <f>SUM(C90:C94)</f>
        <v>1533680</v>
      </c>
      <c r="D95" s="206">
        <f>SUM(D90:D94)</f>
        <v>520200</v>
      </c>
      <c r="E95" s="209"/>
      <c r="F95" s="206">
        <f>SUM(F90:F94)</f>
        <v>508341</v>
      </c>
      <c r="G95" s="206">
        <f>SUM(G90:G94)</f>
        <v>0</v>
      </c>
      <c r="H95" s="210"/>
      <c r="I95" s="211"/>
    </row>
    <row r="96" spans="1:9" s="9" customFormat="1" ht="23.25" x14ac:dyDescent="0.2">
      <c r="A96" s="195" t="s">
        <v>738</v>
      </c>
      <c r="B96" s="266"/>
      <c r="C96" s="266"/>
      <c r="D96" s="266"/>
      <c r="E96" s="266"/>
      <c r="F96" s="266"/>
      <c r="G96" s="266"/>
      <c r="H96" s="266"/>
      <c r="I96" s="266"/>
    </row>
    <row r="97" spans="1:9" s="10" customFormat="1" ht="15.75" x14ac:dyDescent="0.2">
      <c r="A97" s="535"/>
      <c r="B97" s="535"/>
      <c r="C97" s="535"/>
      <c r="D97" s="535"/>
      <c r="E97" s="535"/>
      <c r="F97" s="535"/>
      <c r="G97" s="535"/>
      <c r="H97" s="535"/>
      <c r="I97" s="535"/>
    </row>
    <row r="98" spans="1:9" s="168" customFormat="1" ht="43.5" customHeight="1" x14ac:dyDescent="0.2">
      <c r="A98" s="577" t="s">
        <v>601</v>
      </c>
      <c r="B98" s="577"/>
      <c r="C98" s="577"/>
      <c r="D98" s="577"/>
      <c r="E98" s="577"/>
      <c r="F98" s="577"/>
      <c r="G98" s="577"/>
      <c r="H98" s="577"/>
      <c r="I98" s="577"/>
    </row>
    <row r="99" spans="1:9" s="168" customFormat="1" ht="38.25" x14ac:dyDescent="0.2">
      <c r="A99" s="267" t="s">
        <v>89</v>
      </c>
      <c r="B99" s="268" t="s">
        <v>0</v>
      </c>
      <c r="C99" s="269" t="s">
        <v>1</v>
      </c>
      <c r="D99" s="269" t="s">
        <v>90</v>
      </c>
      <c r="E99" s="269" t="s">
        <v>91</v>
      </c>
      <c r="F99" s="269" t="s">
        <v>92</v>
      </c>
      <c r="G99" s="269" t="s">
        <v>93</v>
      </c>
      <c r="H99" s="270" t="s">
        <v>94</v>
      </c>
      <c r="I99" s="270" t="s">
        <v>95</v>
      </c>
    </row>
    <row r="100" spans="1:9" s="168" customFormat="1" ht="15" x14ac:dyDescent="0.2">
      <c r="A100" s="212" t="s">
        <v>602</v>
      </c>
      <c r="B100" s="213" t="s">
        <v>603</v>
      </c>
      <c r="C100" s="214">
        <v>320292</v>
      </c>
      <c r="D100" s="214">
        <v>150000</v>
      </c>
      <c r="E100" s="302" t="s">
        <v>98</v>
      </c>
      <c r="F100" s="152">
        <v>150000</v>
      </c>
      <c r="G100" s="152">
        <v>0</v>
      </c>
      <c r="H100" s="153" t="s">
        <v>235</v>
      </c>
      <c r="I100" s="154">
        <v>42975</v>
      </c>
    </row>
    <row r="101" spans="1:9" s="168" customFormat="1" ht="15" x14ac:dyDescent="0.2">
      <c r="A101" s="212" t="s">
        <v>99</v>
      </c>
      <c r="B101" s="213" t="s">
        <v>604</v>
      </c>
      <c r="C101" s="214">
        <v>391140</v>
      </c>
      <c r="D101" s="214">
        <v>141140</v>
      </c>
      <c r="E101" s="302" t="s">
        <v>98</v>
      </c>
      <c r="F101" s="152">
        <v>141140</v>
      </c>
      <c r="G101" s="152">
        <v>0</v>
      </c>
      <c r="H101" s="303" t="s">
        <v>235</v>
      </c>
      <c r="I101" s="304">
        <v>43089</v>
      </c>
    </row>
    <row r="102" spans="1:9" s="168" customFormat="1" ht="15" x14ac:dyDescent="0.2">
      <c r="A102" s="212" t="s">
        <v>605</v>
      </c>
      <c r="B102" s="213" t="s">
        <v>606</v>
      </c>
      <c r="C102" s="214">
        <v>65000</v>
      </c>
      <c r="D102" s="214">
        <v>32500</v>
      </c>
      <c r="E102" s="302" t="s">
        <v>98</v>
      </c>
      <c r="F102" s="305">
        <v>31750</v>
      </c>
      <c r="G102" s="305">
        <v>0</v>
      </c>
      <c r="H102" s="303" t="s">
        <v>235</v>
      </c>
      <c r="I102" s="304">
        <v>42969</v>
      </c>
    </row>
    <row r="103" spans="1:9" s="168" customFormat="1" ht="15" x14ac:dyDescent="0.2">
      <c r="A103" s="212" t="s">
        <v>607</v>
      </c>
      <c r="B103" s="213" t="s">
        <v>608</v>
      </c>
      <c r="C103" s="214">
        <v>10000</v>
      </c>
      <c r="D103" s="214">
        <v>7000</v>
      </c>
      <c r="E103" s="302" t="s">
        <v>98</v>
      </c>
      <c r="F103" s="152">
        <v>6243</v>
      </c>
      <c r="G103" s="152">
        <v>0</v>
      </c>
      <c r="H103" s="303" t="s">
        <v>235</v>
      </c>
      <c r="I103" s="304">
        <v>42735</v>
      </c>
    </row>
    <row r="104" spans="1:9" s="11" customFormat="1" ht="15" x14ac:dyDescent="0.2">
      <c r="A104" s="212" t="s">
        <v>609</v>
      </c>
      <c r="B104" s="213" t="s">
        <v>610</v>
      </c>
      <c r="C104" s="214">
        <v>27500</v>
      </c>
      <c r="D104" s="214">
        <v>16500</v>
      </c>
      <c r="E104" s="302" t="s">
        <v>98</v>
      </c>
      <c r="F104" s="152">
        <v>10866</v>
      </c>
      <c r="G104" s="152">
        <v>0</v>
      </c>
      <c r="H104" s="303" t="s">
        <v>235</v>
      </c>
      <c r="I104" s="304">
        <v>42901</v>
      </c>
    </row>
    <row r="105" spans="1:9" x14ac:dyDescent="0.2">
      <c r="A105" s="212" t="s">
        <v>108</v>
      </c>
      <c r="B105" s="213" t="s">
        <v>611</v>
      </c>
      <c r="C105" s="214">
        <v>80125</v>
      </c>
      <c r="D105" s="214">
        <v>56088</v>
      </c>
      <c r="E105" s="302" t="s">
        <v>98</v>
      </c>
      <c r="F105" s="152">
        <v>56088</v>
      </c>
      <c r="G105" s="152">
        <v>0</v>
      </c>
      <c r="H105" s="303" t="s">
        <v>235</v>
      </c>
      <c r="I105" s="304">
        <v>43474</v>
      </c>
    </row>
    <row r="106" spans="1:9" x14ac:dyDescent="0.2">
      <c r="A106" s="212" t="s">
        <v>612</v>
      </c>
      <c r="B106" s="213" t="s">
        <v>613</v>
      </c>
      <c r="C106" s="214">
        <v>300000</v>
      </c>
      <c r="D106" s="214">
        <v>150000</v>
      </c>
      <c r="E106" s="302" t="s">
        <v>98</v>
      </c>
      <c r="F106" s="152">
        <v>150000</v>
      </c>
      <c r="G106" s="152">
        <v>0</v>
      </c>
      <c r="H106" s="303" t="s">
        <v>235</v>
      </c>
      <c r="I106" s="304">
        <v>43138</v>
      </c>
    </row>
    <row r="107" spans="1:9" x14ac:dyDescent="0.2">
      <c r="A107" s="212" t="s">
        <v>589</v>
      </c>
      <c r="B107" s="213" t="s">
        <v>614</v>
      </c>
      <c r="C107" s="214">
        <v>1120000</v>
      </c>
      <c r="D107" s="214">
        <v>150000</v>
      </c>
      <c r="E107" s="302" t="s">
        <v>98</v>
      </c>
      <c r="F107" s="152">
        <v>150000</v>
      </c>
      <c r="G107" s="152">
        <v>0</v>
      </c>
      <c r="H107" s="303" t="s">
        <v>235</v>
      </c>
      <c r="I107" s="304">
        <v>43474</v>
      </c>
    </row>
    <row r="108" spans="1:9" ht="25.5" x14ac:dyDescent="0.2">
      <c r="A108" s="212" t="s">
        <v>591</v>
      </c>
      <c r="B108" s="213" t="s">
        <v>615</v>
      </c>
      <c r="C108" s="214">
        <v>68000</v>
      </c>
      <c r="D108" s="214">
        <v>47600</v>
      </c>
      <c r="E108" s="302" t="s">
        <v>98</v>
      </c>
      <c r="F108" s="152">
        <v>42833</v>
      </c>
      <c r="G108" s="152">
        <v>0</v>
      </c>
      <c r="H108" s="303" t="s">
        <v>235</v>
      </c>
      <c r="I108" s="304">
        <v>43122</v>
      </c>
    </row>
    <row r="109" spans="1:9" x14ac:dyDescent="0.2">
      <c r="A109" s="97"/>
      <c r="B109" s="98" t="s">
        <v>104</v>
      </c>
      <c r="C109" s="99">
        <f>SUM(C100:C108)</f>
        <v>2382057</v>
      </c>
      <c r="D109" s="99">
        <f>SUM(D100:D108)</f>
        <v>750828</v>
      </c>
      <c r="E109" s="306"/>
      <c r="F109" s="14">
        <f>SUM(F100:F108)</f>
        <v>738920</v>
      </c>
      <c r="G109" s="14">
        <f>SUM(G100:G108)</f>
        <v>0</v>
      </c>
      <c r="H109" s="15"/>
      <c r="I109" s="16"/>
    </row>
    <row r="110" spans="1:9" x14ac:dyDescent="0.2">
      <c r="A110" s="195" t="s">
        <v>616</v>
      </c>
      <c r="B110" s="196"/>
      <c r="C110" s="197"/>
      <c r="D110" s="197"/>
      <c r="E110" s="307"/>
      <c r="F110" s="197"/>
      <c r="G110" s="197"/>
      <c r="H110" s="163"/>
      <c r="I110" s="198"/>
    </row>
    <row r="111" spans="1:9" x14ac:dyDescent="0.2">
      <c r="A111" s="308"/>
      <c r="B111" s="309"/>
      <c r="C111" s="310"/>
      <c r="D111" s="310"/>
      <c r="E111" s="311"/>
      <c r="F111" s="310"/>
      <c r="G111" s="310"/>
      <c r="H111" s="312"/>
      <c r="I111" s="313"/>
    </row>
    <row r="112" spans="1:9" ht="15.75" x14ac:dyDescent="0.2">
      <c r="A112" s="578" t="s">
        <v>577</v>
      </c>
      <c r="B112" s="578"/>
      <c r="C112" s="578"/>
      <c r="D112" s="578"/>
      <c r="E112" s="578"/>
      <c r="F112" s="578"/>
      <c r="G112" s="578"/>
      <c r="H112" s="578"/>
      <c r="I112" s="578"/>
    </row>
    <row r="113" spans="1:9" ht="38.25" x14ac:dyDescent="0.2">
      <c r="A113" s="267" t="s">
        <v>89</v>
      </c>
      <c r="B113" s="268" t="s">
        <v>0</v>
      </c>
      <c r="C113" s="269" t="s">
        <v>1</v>
      </c>
      <c r="D113" s="269" t="s">
        <v>90</v>
      </c>
      <c r="E113" s="269" t="s">
        <v>91</v>
      </c>
      <c r="F113" s="269" t="s">
        <v>92</v>
      </c>
      <c r="G113" s="269" t="s">
        <v>93</v>
      </c>
      <c r="H113" s="270" t="s">
        <v>94</v>
      </c>
      <c r="I113" s="270" t="s">
        <v>95</v>
      </c>
    </row>
    <row r="114" spans="1:9" x14ac:dyDescent="0.2">
      <c r="A114" s="149" t="s">
        <v>578</v>
      </c>
      <c r="B114" s="150" t="s">
        <v>579</v>
      </c>
      <c r="C114" s="151">
        <v>2410000</v>
      </c>
      <c r="D114" s="151">
        <v>150000</v>
      </c>
      <c r="E114" s="302" t="s">
        <v>98</v>
      </c>
      <c r="F114" s="152">
        <v>150000</v>
      </c>
      <c r="G114" s="152">
        <v>0</v>
      </c>
      <c r="H114" s="303" t="s">
        <v>235</v>
      </c>
      <c r="I114" s="304">
        <v>43206</v>
      </c>
    </row>
    <row r="115" spans="1:9" x14ac:dyDescent="0.2">
      <c r="A115" s="149" t="s">
        <v>580</v>
      </c>
      <c r="B115" s="150" t="s">
        <v>581</v>
      </c>
      <c r="C115" s="151">
        <v>216451</v>
      </c>
      <c r="D115" s="151">
        <v>75000</v>
      </c>
      <c r="E115" s="302" t="s">
        <v>98</v>
      </c>
      <c r="F115" s="152">
        <v>47060</v>
      </c>
      <c r="G115" s="152">
        <v>0</v>
      </c>
      <c r="H115" s="303" t="s">
        <v>235</v>
      </c>
      <c r="I115" s="304">
        <v>43281</v>
      </c>
    </row>
    <row r="116" spans="1:9" ht="25.5" x14ac:dyDescent="0.2">
      <c r="A116" s="149" t="s">
        <v>582</v>
      </c>
      <c r="B116" s="150" t="s">
        <v>583</v>
      </c>
      <c r="C116" s="151">
        <v>18728</v>
      </c>
      <c r="D116" s="151">
        <v>15919</v>
      </c>
      <c r="E116" s="302" t="s">
        <v>98</v>
      </c>
      <c r="F116" s="152">
        <v>15919</v>
      </c>
      <c r="G116" s="152">
        <v>0</v>
      </c>
      <c r="H116" s="303" t="s">
        <v>235</v>
      </c>
      <c r="I116" s="304">
        <v>42529</v>
      </c>
    </row>
    <row r="117" spans="1:9" x14ac:dyDescent="0.2">
      <c r="A117" s="149" t="s">
        <v>584</v>
      </c>
      <c r="B117" s="150" t="s">
        <v>97</v>
      </c>
      <c r="C117" s="151">
        <v>322000</v>
      </c>
      <c r="D117" s="151">
        <v>150000</v>
      </c>
      <c r="E117" s="302" t="s">
        <v>98</v>
      </c>
      <c r="F117" s="152">
        <v>150000</v>
      </c>
      <c r="G117" s="152">
        <v>0</v>
      </c>
      <c r="H117" s="303" t="s">
        <v>235</v>
      </c>
      <c r="I117" s="304">
        <v>42969</v>
      </c>
    </row>
    <row r="118" spans="1:9" x14ac:dyDescent="0.2">
      <c r="A118" s="149" t="s">
        <v>585</v>
      </c>
      <c r="B118" s="150" t="s">
        <v>586</v>
      </c>
      <c r="C118" s="151">
        <v>94500</v>
      </c>
      <c r="D118" s="151">
        <v>80325</v>
      </c>
      <c r="E118" s="302" t="s">
        <v>98</v>
      </c>
      <c r="F118" s="152">
        <v>64936</v>
      </c>
      <c r="G118" s="152">
        <v>0</v>
      </c>
      <c r="H118" s="303" t="s">
        <v>235</v>
      </c>
      <c r="I118" s="304">
        <v>42779</v>
      </c>
    </row>
    <row r="119" spans="1:9" x14ac:dyDescent="0.2">
      <c r="A119" s="149" t="s">
        <v>587</v>
      </c>
      <c r="B119" s="150" t="s">
        <v>588</v>
      </c>
      <c r="C119" s="151">
        <v>20000</v>
      </c>
      <c r="D119" s="151">
        <v>14000</v>
      </c>
      <c r="E119" s="302" t="s">
        <v>98</v>
      </c>
      <c r="F119" s="152">
        <v>13826</v>
      </c>
      <c r="G119" s="152">
        <v>0</v>
      </c>
      <c r="H119" s="303" t="s">
        <v>235</v>
      </c>
      <c r="I119" s="304">
        <v>42719</v>
      </c>
    </row>
    <row r="120" spans="1:9" x14ac:dyDescent="0.2">
      <c r="A120" s="149" t="s">
        <v>425</v>
      </c>
      <c r="B120" s="150" t="s">
        <v>109</v>
      </c>
      <c r="C120" s="151">
        <v>26836</v>
      </c>
      <c r="D120" s="151">
        <v>16101</v>
      </c>
      <c r="E120" s="302" t="s">
        <v>98</v>
      </c>
      <c r="F120" s="152">
        <v>16101</v>
      </c>
      <c r="G120" s="152">
        <v>0</v>
      </c>
      <c r="H120" s="303" t="s">
        <v>235</v>
      </c>
      <c r="I120" s="304">
        <v>42529</v>
      </c>
    </row>
    <row r="121" spans="1:9" ht="25.5" x14ac:dyDescent="0.2">
      <c r="A121" s="149" t="s">
        <v>589</v>
      </c>
      <c r="B121" s="150" t="s">
        <v>590</v>
      </c>
      <c r="C121" s="151">
        <v>182200</v>
      </c>
      <c r="D121" s="151">
        <v>150000</v>
      </c>
      <c r="E121" s="302" t="s">
        <v>98</v>
      </c>
      <c r="F121" s="152">
        <v>150000</v>
      </c>
      <c r="G121" s="152">
        <v>0</v>
      </c>
      <c r="H121" s="303" t="s">
        <v>235</v>
      </c>
      <c r="I121" s="304">
        <v>42855</v>
      </c>
    </row>
    <row r="122" spans="1:9" x14ac:dyDescent="0.2">
      <c r="A122" s="149" t="s">
        <v>591</v>
      </c>
      <c r="B122" s="150" t="s">
        <v>592</v>
      </c>
      <c r="C122" s="151">
        <v>76650</v>
      </c>
      <c r="D122" s="151">
        <v>45990</v>
      </c>
      <c r="E122" s="302" t="s">
        <v>98</v>
      </c>
      <c r="F122" s="152">
        <v>45990</v>
      </c>
      <c r="G122" s="152">
        <v>0</v>
      </c>
      <c r="H122" s="303" t="s">
        <v>235</v>
      </c>
      <c r="I122" s="304">
        <v>42946</v>
      </c>
    </row>
    <row r="123" spans="1:9" ht="25.5" x14ac:dyDescent="0.2">
      <c r="A123" s="58" t="s">
        <v>427</v>
      </c>
      <c r="B123" s="314" t="s">
        <v>97</v>
      </c>
      <c r="C123" s="315">
        <v>630540</v>
      </c>
      <c r="D123" s="315">
        <v>150000</v>
      </c>
      <c r="E123" s="316" t="s">
        <v>98</v>
      </c>
      <c r="F123" s="305">
        <v>0</v>
      </c>
      <c r="G123" s="305">
        <v>0</v>
      </c>
      <c r="H123" s="303" t="s">
        <v>572</v>
      </c>
      <c r="I123" s="304"/>
    </row>
    <row r="124" spans="1:9" x14ac:dyDescent="0.2">
      <c r="A124" s="97"/>
      <c r="B124" s="98" t="s">
        <v>104</v>
      </c>
      <c r="C124" s="99">
        <f>SUM(C114:C123)</f>
        <v>3997905</v>
      </c>
      <c r="D124" s="99">
        <f>SUM(D114:D123)</f>
        <v>847335</v>
      </c>
      <c r="E124" s="306"/>
      <c r="F124" s="14">
        <f>SUM(F114:F123)</f>
        <v>653832</v>
      </c>
      <c r="G124" s="14">
        <f>SUM(G114:G123)</f>
        <v>0</v>
      </c>
      <c r="H124" s="15"/>
      <c r="I124" s="16"/>
    </row>
    <row r="125" spans="1:9" ht="15.75" x14ac:dyDescent="0.2">
      <c r="A125" s="577" t="s">
        <v>413</v>
      </c>
      <c r="B125" s="577"/>
      <c r="C125" s="577"/>
      <c r="D125" s="577"/>
      <c r="E125" s="577"/>
      <c r="F125" s="577"/>
      <c r="G125" s="577"/>
      <c r="H125" s="577"/>
      <c r="I125" s="577"/>
    </row>
    <row r="126" spans="1:9" ht="38.25" x14ac:dyDescent="0.2">
      <c r="A126" s="267" t="s">
        <v>89</v>
      </c>
      <c r="B126" s="268" t="s">
        <v>0</v>
      </c>
      <c r="C126" s="269" t="s">
        <v>1</v>
      </c>
      <c r="D126" s="269" t="s">
        <v>90</v>
      </c>
      <c r="E126" s="269" t="s">
        <v>91</v>
      </c>
      <c r="F126" s="269" t="s">
        <v>92</v>
      </c>
      <c r="G126" s="269" t="s">
        <v>93</v>
      </c>
      <c r="H126" s="270" t="s">
        <v>94</v>
      </c>
      <c r="I126" s="270" t="s">
        <v>95</v>
      </c>
    </row>
    <row r="127" spans="1:9" x14ac:dyDescent="0.2">
      <c r="A127" s="155" t="s">
        <v>414</v>
      </c>
      <c r="B127" s="160" t="s">
        <v>415</v>
      </c>
      <c r="C127" s="157">
        <v>717200</v>
      </c>
      <c r="D127" s="158">
        <v>150000</v>
      </c>
      <c r="E127" s="302" t="s">
        <v>98</v>
      </c>
      <c r="F127" s="152">
        <v>150000</v>
      </c>
      <c r="G127" s="302">
        <v>0</v>
      </c>
      <c r="H127" s="163" t="s">
        <v>106</v>
      </c>
      <c r="I127" s="154">
        <v>42339</v>
      </c>
    </row>
    <row r="128" spans="1:9" x14ac:dyDescent="0.2">
      <c r="A128" s="155" t="s">
        <v>96</v>
      </c>
      <c r="B128" s="156" t="s">
        <v>416</v>
      </c>
      <c r="C128" s="157">
        <v>201600</v>
      </c>
      <c r="D128" s="158">
        <v>150000</v>
      </c>
      <c r="E128" s="302" t="s">
        <v>98</v>
      </c>
      <c r="F128" s="152">
        <v>150000</v>
      </c>
      <c r="G128" s="159">
        <v>0</v>
      </c>
      <c r="H128" s="153" t="s">
        <v>106</v>
      </c>
      <c r="I128" s="154">
        <v>42972</v>
      </c>
    </row>
    <row r="129" spans="1:9" x14ac:dyDescent="0.2">
      <c r="A129" s="155" t="s">
        <v>417</v>
      </c>
      <c r="B129" s="164" t="s">
        <v>418</v>
      </c>
      <c r="C129" s="157">
        <v>235000</v>
      </c>
      <c r="D129" s="157">
        <v>117500</v>
      </c>
      <c r="E129" s="302" t="s">
        <v>98</v>
      </c>
      <c r="F129" s="152">
        <v>117500</v>
      </c>
      <c r="G129" s="165">
        <v>0</v>
      </c>
      <c r="H129" s="153" t="s">
        <v>106</v>
      </c>
      <c r="I129" s="154">
        <v>42591</v>
      </c>
    </row>
    <row r="130" spans="1:9" x14ac:dyDescent="0.2">
      <c r="A130" s="155" t="s">
        <v>107</v>
      </c>
      <c r="B130" s="160" t="s">
        <v>419</v>
      </c>
      <c r="C130" s="157">
        <v>215657</v>
      </c>
      <c r="D130" s="158">
        <v>150000</v>
      </c>
      <c r="E130" s="302" t="s">
        <v>98</v>
      </c>
      <c r="F130" s="152">
        <v>135000</v>
      </c>
      <c r="G130" s="159">
        <v>0</v>
      </c>
      <c r="H130" s="153" t="s">
        <v>106</v>
      </c>
      <c r="I130" s="154">
        <v>42900</v>
      </c>
    </row>
    <row r="131" spans="1:9" ht="25.5" x14ac:dyDescent="0.2">
      <c r="A131" s="155" t="s">
        <v>420</v>
      </c>
      <c r="B131" s="160" t="s">
        <v>421</v>
      </c>
      <c r="C131" s="157">
        <v>60000</v>
      </c>
      <c r="D131" s="158">
        <v>30000</v>
      </c>
      <c r="E131" s="302" t="s">
        <v>98</v>
      </c>
      <c r="F131" s="152">
        <v>12250</v>
      </c>
      <c r="G131" s="159">
        <v>0</v>
      </c>
      <c r="H131" s="153" t="s">
        <v>106</v>
      </c>
      <c r="I131" s="154">
        <v>41957</v>
      </c>
    </row>
    <row r="132" spans="1:9" x14ac:dyDescent="0.2">
      <c r="A132" s="155" t="s">
        <v>110</v>
      </c>
      <c r="B132" s="160" t="s">
        <v>422</v>
      </c>
      <c r="C132" s="157">
        <v>107140</v>
      </c>
      <c r="D132" s="158">
        <v>74998</v>
      </c>
      <c r="E132" s="302" t="s">
        <v>98</v>
      </c>
      <c r="F132" s="152">
        <v>74998</v>
      </c>
      <c r="G132" s="159">
        <v>0</v>
      </c>
      <c r="H132" s="153" t="s">
        <v>106</v>
      </c>
      <c r="I132" s="154">
        <v>43068</v>
      </c>
    </row>
    <row r="133" spans="1:9" x14ac:dyDescent="0.2">
      <c r="A133" s="155" t="s">
        <v>423</v>
      </c>
      <c r="B133" s="164" t="s">
        <v>424</v>
      </c>
      <c r="C133" s="157">
        <v>27135</v>
      </c>
      <c r="D133" s="157">
        <v>21708</v>
      </c>
      <c r="E133" s="302" t="s">
        <v>98</v>
      </c>
      <c r="F133" s="152">
        <v>21628</v>
      </c>
      <c r="G133" s="165">
        <v>0</v>
      </c>
      <c r="H133" s="153" t="s">
        <v>106</v>
      </c>
      <c r="I133" s="154">
        <v>42170</v>
      </c>
    </row>
    <row r="134" spans="1:9" ht="25.5" x14ac:dyDescent="0.2">
      <c r="A134" s="155" t="s">
        <v>425</v>
      </c>
      <c r="B134" s="160" t="s">
        <v>426</v>
      </c>
      <c r="C134" s="157">
        <v>24000</v>
      </c>
      <c r="D134" s="158">
        <v>14400</v>
      </c>
      <c r="E134" s="302" t="s">
        <v>98</v>
      </c>
      <c r="F134" s="152">
        <v>14400</v>
      </c>
      <c r="G134" s="159">
        <v>0</v>
      </c>
      <c r="H134" s="153" t="s">
        <v>106</v>
      </c>
      <c r="I134" s="154">
        <v>42389</v>
      </c>
    </row>
    <row r="135" spans="1:9" x14ac:dyDescent="0.2">
      <c r="A135" s="155" t="s">
        <v>427</v>
      </c>
      <c r="B135" s="160" t="s">
        <v>105</v>
      </c>
      <c r="C135" s="157">
        <v>76500</v>
      </c>
      <c r="D135" s="157">
        <v>57375</v>
      </c>
      <c r="E135" s="302" t="s">
        <v>98</v>
      </c>
      <c r="F135" s="152">
        <v>57375</v>
      </c>
      <c r="G135" s="165">
        <v>0</v>
      </c>
      <c r="H135" s="153" t="s">
        <v>106</v>
      </c>
      <c r="I135" s="154">
        <v>42506</v>
      </c>
    </row>
    <row r="136" spans="1:9" x14ac:dyDescent="0.2">
      <c r="A136" s="97"/>
      <c r="B136" s="98" t="s">
        <v>104</v>
      </c>
      <c r="C136" s="99">
        <f>SUM(C127:C135)</f>
        <v>1664232</v>
      </c>
      <c r="D136" s="99">
        <f>SUM(D127:D135)</f>
        <v>765981</v>
      </c>
      <c r="E136" s="306"/>
      <c r="F136" s="14">
        <f>SUM(F127:F135)</f>
        <v>733151</v>
      </c>
      <c r="G136" s="14">
        <f>SUM(G127:G135)</f>
        <v>0</v>
      </c>
      <c r="H136" s="15"/>
      <c r="I136" s="16"/>
    </row>
    <row r="137" spans="1:9" ht="15.75" x14ac:dyDescent="0.2">
      <c r="A137" s="577" t="s">
        <v>334</v>
      </c>
      <c r="B137" s="577"/>
      <c r="C137" s="577"/>
      <c r="D137" s="577"/>
      <c r="E137" s="577"/>
      <c r="F137" s="577"/>
      <c r="G137" s="577"/>
      <c r="H137" s="577"/>
      <c r="I137" s="577"/>
    </row>
    <row r="138" spans="1:9" ht="38.25" x14ac:dyDescent="0.2">
      <c r="A138" s="267" t="s">
        <v>89</v>
      </c>
      <c r="B138" s="268" t="s">
        <v>0</v>
      </c>
      <c r="C138" s="269" t="s">
        <v>1</v>
      </c>
      <c r="D138" s="269" t="s">
        <v>90</v>
      </c>
      <c r="E138" s="269" t="s">
        <v>91</v>
      </c>
      <c r="F138" s="269" t="s">
        <v>92</v>
      </c>
      <c r="G138" s="269" t="s">
        <v>93</v>
      </c>
      <c r="H138" s="270" t="s">
        <v>94</v>
      </c>
      <c r="I138" s="270" t="s">
        <v>95</v>
      </c>
    </row>
    <row r="139" spans="1:9" x14ac:dyDescent="0.2">
      <c r="A139" s="155" t="s">
        <v>335</v>
      </c>
      <c r="B139" s="317" t="s">
        <v>336</v>
      </c>
      <c r="C139" s="318">
        <v>326250</v>
      </c>
      <c r="D139" s="319">
        <v>150000</v>
      </c>
      <c r="E139" s="302" t="s">
        <v>98</v>
      </c>
      <c r="F139" s="166">
        <v>150000</v>
      </c>
      <c r="G139" s="167">
        <f>D139-F139</f>
        <v>0</v>
      </c>
      <c r="H139" s="153" t="s">
        <v>106</v>
      </c>
      <c r="I139" s="154">
        <v>41801</v>
      </c>
    </row>
    <row r="140" spans="1:9" x14ac:dyDescent="0.2">
      <c r="A140" s="155" t="s">
        <v>337</v>
      </c>
      <c r="B140" s="320" t="s">
        <v>338</v>
      </c>
      <c r="C140" s="321">
        <v>56660</v>
      </c>
      <c r="D140" s="322">
        <v>48161</v>
      </c>
      <c r="E140" s="302" t="s">
        <v>339</v>
      </c>
      <c r="F140" s="169">
        <v>48161</v>
      </c>
      <c r="G140" s="167">
        <f t="shared" ref="G140:G147" si="0">D140-F140</f>
        <v>0</v>
      </c>
      <c r="H140" s="153" t="s">
        <v>106</v>
      </c>
      <c r="I140" s="154">
        <v>41904</v>
      </c>
    </row>
    <row r="141" spans="1:9" x14ac:dyDescent="0.2">
      <c r="A141" s="155" t="s">
        <v>340</v>
      </c>
      <c r="B141" s="323" t="s">
        <v>341</v>
      </c>
      <c r="C141" s="321">
        <v>529170</v>
      </c>
      <c r="D141" s="321">
        <v>100000</v>
      </c>
      <c r="E141" s="302" t="s">
        <v>342</v>
      </c>
      <c r="F141" s="169">
        <v>100000</v>
      </c>
      <c r="G141" s="167">
        <f t="shared" si="0"/>
        <v>0</v>
      </c>
      <c r="H141" s="170" t="s">
        <v>106</v>
      </c>
      <c r="I141" s="154">
        <v>42530</v>
      </c>
    </row>
    <row r="142" spans="1:9" x14ac:dyDescent="0.2">
      <c r="A142" s="155" t="s">
        <v>343</v>
      </c>
      <c r="B142" s="317" t="s">
        <v>344</v>
      </c>
      <c r="C142" s="321">
        <v>88200</v>
      </c>
      <c r="D142" s="322">
        <v>74970</v>
      </c>
      <c r="E142" s="302" t="s">
        <v>339</v>
      </c>
      <c r="F142" s="169">
        <v>72566</v>
      </c>
      <c r="G142" s="167">
        <v>0</v>
      </c>
      <c r="H142" s="153" t="s">
        <v>106</v>
      </c>
      <c r="I142" s="154">
        <v>42958</v>
      </c>
    </row>
    <row r="143" spans="1:9" x14ac:dyDescent="0.2">
      <c r="A143" s="155" t="s">
        <v>345</v>
      </c>
      <c r="B143" s="323" t="s">
        <v>346</v>
      </c>
      <c r="C143" s="321">
        <v>300000</v>
      </c>
      <c r="D143" s="321">
        <v>150000</v>
      </c>
      <c r="E143" s="302" t="s">
        <v>428</v>
      </c>
      <c r="F143" s="169">
        <v>150000</v>
      </c>
      <c r="G143" s="167">
        <f t="shared" si="0"/>
        <v>0</v>
      </c>
      <c r="H143" s="153" t="s">
        <v>106</v>
      </c>
      <c r="I143" s="154">
        <v>41905</v>
      </c>
    </row>
    <row r="144" spans="1:9" x14ac:dyDescent="0.2">
      <c r="A144" s="155" t="s">
        <v>347</v>
      </c>
      <c r="B144" s="317" t="s">
        <v>131</v>
      </c>
      <c r="C144" s="321">
        <v>74470</v>
      </c>
      <c r="D144" s="322">
        <v>59470</v>
      </c>
      <c r="E144" s="302" t="s">
        <v>348</v>
      </c>
      <c r="F144" s="169">
        <v>57555</v>
      </c>
      <c r="G144" s="167">
        <v>0</v>
      </c>
      <c r="H144" s="153" t="s">
        <v>106</v>
      </c>
      <c r="I144" s="154">
        <v>42185</v>
      </c>
    </row>
    <row r="145" spans="1:9" x14ac:dyDescent="0.2">
      <c r="A145" s="155" t="s">
        <v>349</v>
      </c>
      <c r="B145" s="317" t="s">
        <v>350</v>
      </c>
      <c r="C145" s="321">
        <v>422375</v>
      </c>
      <c r="D145" s="321">
        <v>150000</v>
      </c>
      <c r="E145" s="302" t="s">
        <v>351</v>
      </c>
      <c r="F145" s="169">
        <v>128239</v>
      </c>
      <c r="G145" s="167">
        <v>0</v>
      </c>
      <c r="H145" s="153" t="s">
        <v>106</v>
      </c>
      <c r="I145" s="154">
        <v>42156</v>
      </c>
    </row>
    <row r="146" spans="1:9" x14ac:dyDescent="0.2">
      <c r="A146" s="155" t="s">
        <v>352</v>
      </c>
      <c r="B146" s="317" t="s">
        <v>353</v>
      </c>
      <c r="C146" s="321">
        <v>20700</v>
      </c>
      <c r="D146" s="322">
        <v>16560</v>
      </c>
      <c r="E146" s="302" t="s">
        <v>339</v>
      </c>
      <c r="F146" s="169">
        <v>16560</v>
      </c>
      <c r="G146" s="167">
        <f t="shared" si="0"/>
        <v>0</v>
      </c>
      <c r="H146" s="153" t="s">
        <v>106</v>
      </c>
      <c r="I146" s="154">
        <v>41626</v>
      </c>
    </row>
    <row r="147" spans="1:9" x14ac:dyDescent="0.2">
      <c r="A147" s="171" t="s">
        <v>354</v>
      </c>
      <c r="B147" s="172" t="s">
        <v>355</v>
      </c>
      <c r="C147" s="173">
        <v>40500</v>
      </c>
      <c r="D147" s="174">
        <v>20250</v>
      </c>
      <c r="E147" s="302" t="s">
        <v>98</v>
      </c>
      <c r="F147" s="169">
        <v>20250</v>
      </c>
      <c r="G147" s="167">
        <f t="shared" si="0"/>
        <v>0</v>
      </c>
      <c r="H147" s="153" t="s">
        <v>106</v>
      </c>
      <c r="I147" s="154">
        <v>41791</v>
      </c>
    </row>
    <row r="148" spans="1:9" x14ac:dyDescent="0.2">
      <c r="A148" s="97"/>
      <c r="B148" s="98" t="s">
        <v>104</v>
      </c>
      <c r="C148" s="99">
        <f>SUM(C139:C146)</f>
        <v>1817825</v>
      </c>
      <c r="D148" s="99">
        <f>SUM(D139:D147)</f>
        <v>769411</v>
      </c>
      <c r="E148" s="306"/>
      <c r="F148" s="14">
        <f>SUM(F139:F147)</f>
        <v>743331</v>
      </c>
      <c r="G148" s="14">
        <f>SUM(G139:G147)</f>
        <v>0</v>
      </c>
      <c r="H148" s="15"/>
      <c r="I148" s="16"/>
    </row>
    <row r="149" spans="1:9" ht="15.75" x14ac:dyDescent="0.2">
      <c r="A149" s="577" t="s">
        <v>88</v>
      </c>
      <c r="B149" s="577"/>
      <c r="C149" s="577"/>
      <c r="D149" s="577"/>
      <c r="E149" s="577"/>
      <c r="F149" s="577"/>
      <c r="G149" s="577"/>
      <c r="H149" s="577"/>
      <c r="I149" s="577"/>
    </row>
    <row r="150" spans="1:9" ht="38.25" x14ac:dyDescent="0.2">
      <c r="A150" s="267" t="s">
        <v>89</v>
      </c>
      <c r="B150" s="268" t="s">
        <v>0</v>
      </c>
      <c r="C150" s="269" t="s">
        <v>1</v>
      </c>
      <c r="D150" s="269" t="s">
        <v>90</v>
      </c>
      <c r="E150" s="269" t="s">
        <v>91</v>
      </c>
      <c r="F150" s="269" t="s">
        <v>92</v>
      </c>
      <c r="G150" s="269" t="s">
        <v>93</v>
      </c>
      <c r="H150" s="270" t="s">
        <v>94</v>
      </c>
      <c r="I150" s="270" t="s">
        <v>95</v>
      </c>
    </row>
    <row r="151" spans="1:9" x14ac:dyDescent="0.2">
      <c r="A151" s="324" t="s">
        <v>96</v>
      </c>
      <c r="B151" s="325" t="s">
        <v>97</v>
      </c>
      <c r="C151" s="326">
        <v>187500</v>
      </c>
      <c r="D151" s="327">
        <v>150000</v>
      </c>
      <c r="E151" s="316" t="s">
        <v>98</v>
      </c>
      <c r="F151" s="326">
        <v>150000</v>
      </c>
      <c r="G151" s="327">
        <v>0</v>
      </c>
      <c r="H151" s="328" t="s">
        <v>235</v>
      </c>
      <c r="I151" s="304">
        <v>43077</v>
      </c>
    </row>
    <row r="152" spans="1:9" x14ac:dyDescent="0.2">
      <c r="A152" s="329" t="s">
        <v>99</v>
      </c>
      <c r="B152" s="175" t="s">
        <v>100</v>
      </c>
      <c r="C152" s="169">
        <v>600000</v>
      </c>
      <c r="D152" s="169">
        <v>150000</v>
      </c>
      <c r="E152" s="302" t="s">
        <v>98</v>
      </c>
      <c r="F152" s="169">
        <v>150000</v>
      </c>
      <c r="G152" s="169">
        <f>D152-F152</f>
        <v>0</v>
      </c>
      <c r="H152" s="153" t="s">
        <v>106</v>
      </c>
      <c r="I152" s="154">
        <v>41817</v>
      </c>
    </row>
    <row r="153" spans="1:9" x14ac:dyDescent="0.2">
      <c r="A153" s="329" t="s">
        <v>108</v>
      </c>
      <c r="B153" s="175" t="s">
        <v>429</v>
      </c>
      <c r="C153" s="169">
        <v>102000</v>
      </c>
      <c r="D153" s="169">
        <v>75000</v>
      </c>
      <c r="E153" s="302" t="s">
        <v>98</v>
      </c>
      <c r="F153" s="169">
        <v>75000</v>
      </c>
      <c r="G153" s="169">
        <f>D153-F153</f>
        <v>0</v>
      </c>
      <c r="H153" s="153" t="s">
        <v>106</v>
      </c>
      <c r="I153" s="154">
        <v>41939</v>
      </c>
    </row>
    <row r="154" spans="1:9" x14ac:dyDescent="0.2">
      <c r="A154" s="329" t="s">
        <v>101</v>
      </c>
      <c r="B154" s="175" t="s">
        <v>430</v>
      </c>
      <c r="C154" s="176">
        <v>326760</v>
      </c>
      <c r="D154" s="169">
        <v>150000</v>
      </c>
      <c r="E154" s="302" t="s">
        <v>98</v>
      </c>
      <c r="F154" s="176">
        <v>149183</v>
      </c>
      <c r="G154" s="169">
        <v>0</v>
      </c>
      <c r="H154" s="177" t="s">
        <v>106</v>
      </c>
      <c r="I154" s="154">
        <v>41900</v>
      </c>
    </row>
    <row r="155" spans="1:9" x14ac:dyDescent="0.2">
      <c r="A155" s="329" t="s">
        <v>102</v>
      </c>
      <c r="B155" s="175" t="s">
        <v>97</v>
      </c>
      <c r="C155" s="169">
        <v>210000</v>
      </c>
      <c r="D155" s="169">
        <v>150000</v>
      </c>
      <c r="E155" s="302" t="s">
        <v>98</v>
      </c>
      <c r="F155" s="169">
        <v>150000</v>
      </c>
      <c r="G155" s="169">
        <f>D155-F155</f>
        <v>0</v>
      </c>
      <c r="H155" s="153" t="s">
        <v>106</v>
      </c>
      <c r="I155" s="178">
        <v>41558</v>
      </c>
    </row>
    <row r="156" spans="1:9" x14ac:dyDescent="0.2">
      <c r="A156" s="330" t="s">
        <v>103</v>
      </c>
      <c r="B156" s="179" t="s">
        <v>97</v>
      </c>
      <c r="C156" s="169">
        <v>271000</v>
      </c>
      <c r="D156" s="169">
        <v>150000</v>
      </c>
      <c r="E156" s="302" t="s">
        <v>98</v>
      </c>
      <c r="F156" s="169">
        <v>150000</v>
      </c>
      <c r="G156" s="169">
        <f>D156-F156</f>
        <v>0</v>
      </c>
      <c r="H156" s="180" t="s">
        <v>106</v>
      </c>
      <c r="I156" s="181">
        <v>41691</v>
      </c>
    </row>
    <row r="157" spans="1:9" x14ac:dyDescent="0.2">
      <c r="A157" s="12"/>
      <c r="B157" s="13" t="s">
        <v>104</v>
      </c>
      <c r="C157" s="14">
        <f>SUM(C151:C156)</f>
        <v>1697260</v>
      </c>
      <c r="D157" s="14">
        <f>SUM(D151:D156)</f>
        <v>825000</v>
      </c>
      <c r="E157" s="306"/>
      <c r="F157" s="14">
        <f>SUM(F151:F156)</f>
        <v>824183</v>
      </c>
      <c r="G157" s="14">
        <f>SUM(G151:G156)</f>
        <v>0</v>
      </c>
      <c r="H157" s="15"/>
      <c r="I157" s="16"/>
    </row>
  </sheetData>
  <mergeCells count="12">
    <mergeCell ref="A98:I98"/>
    <mergeCell ref="A112:I112"/>
    <mergeCell ref="A125:I125"/>
    <mergeCell ref="A137:I137"/>
    <mergeCell ref="A149:I149"/>
    <mergeCell ref="A1:I1"/>
    <mergeCell ref="A59:I59"/>
    <mergeCell ref="A16:I16"/>
    <mergeCell ref="A26:I26"/>
    <mergeCell ref="A42:I42"/>
    <mergeCell ref="A74:I74"/>
    <mergeCell ref="A88:I88"/>
  </mergeCells>
  <pageMargins left="1" right="0.25" top="0.25" bottom="0.25" header="0.3" footer="0.3"/>
  <pageSetup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7"/>
  <sheetViews>
    <sheetView zoomScaleNormal="100" workbookViewId="0">
      <selection activeCell="L12" sqref="L12"/>
    </sheetView>
  </sheetViews>
  <sheetFormatPr defaultRowHeight="12.75" x14ac:dyDescent="0.2"/>
  <cols>
    <col min="1" max="1" width="29.42578125" customWidth="1"/>
    <col min="2" max="2" width="34.5703125" customWidth="1"/>
    <col min="3" max="4" width="17.140625" customWidth="1"/>
    <col min="5" max="5" width="22.140625" customWidth="1"/>
    <col min="6" max="6" width="12.7109375" customWidth="1"/>
    <col min="7" max="7" width="14.42578125" customWidth="1"/>
    <col min="8" max="8" width="15.5703125" customWidth="1"/>
    <col min="9" max="9" width="18.28515625" customWidth="1"/>
  </cols>
  <sheetData>
    <row r="1" spans="1:10" ht="15" x14ac:dyDescent="0.25">
      <c r="C1" s="113" t="s">
        <v>1244</v>
      </c>
      <c r="D1" s="113"/>
    </row>
    <row r="2" spans="1:10" ht="45" x14ac:dyDescent="0.2">
      <c r="A2" s="114" t="s">
        <v>89</v>
      </c>
      <c r="B2" s="114" t="s">
        <v>0</v>
      </c>
      <c r="C2" s="115" t="s">
        <v>1</v>
      </c>
      <c r="D2" s="115" t="s">
        <v>90</v>
      </c>
      <c r="E2" s="114" t="s">
        <v>91</v>
      </c>
      <c r="F2" s="115" t="s">
        <v>92</v>
      </c>
      <c r="G2" s="115" t="s">
        <v>93</v>
      </c>
      <c r="H2" s="114" t="s">
        <v>94</v>
      </c>
      <c r="I2" s="115" t="s">
        <v>476</v>
      </c>
    </row>
    <row r="3" spans="1:10" x14ac:dyDescent="0.2">
      <c r="A3" s="511" t="s">
        <v>960</v>
      </c>
      <c r="B3" s="287" t="s">
        <v>1245</v>
      </c>
      <c r="C3" s="288">
        <v>2134000</v>
      </c>
      <c r="D3" s="509">
        <v>696930.9376964065</v>
      </c>
      <c r="E3" s="331" t="s">
        <v>98</v>
      </c>
      <c r="F3" s="326">
        <v>0</v>
      </c>
      <c r="G3" s="509">
        <v>696930.9376964065</v>
      </c>
      <c r="H3" s="331" t="s">
        <v>1094</v>
      </c>
      <c r="I3" s="304">
        <v>45597</v>
      </c>
    </row>
    <row r="4" spans="1:10" x14ac:dyDescent="0.2">
      <c r="A4" s="511" t="s">
        <v>962</v>
      </c>
      <c r="B4" s="287" t="s">
        <v>1246</v>
      </c>
      <c r="C4" s="288">
        <v>3000000</v>
      </c>
      <c r="D4" s="509">
        <v>127280.67386706678</v>
      </c>
      <c r="E4" s="331" t="s">
        <v>98</v>
      </c>
      <c r="F4" s="326">
        <v>0</v>
      </c>
      <c r="G4" s="509">
        <v>127280.67386706678</v>
      </c>
      <c r="H4" s="331" t="s">
        <v>1094</v>
      </c>
      <c r="I4" s="304">
        <v>45717</v>
      </c>
    </row>
    <row r="5" spans="1:10" x14ac:dyDescent="0.2">
      <c r="A5" s="511" t="s">
        <v>1247</v>
      </c>
      <c r="B5" s="287" t="s">
        <v>1248</v>
      </c>
      <c r="C5" s="288">
        <v>1939000</v>
      </c>
      <c r="D5" s="509">
        <v>453105.90132044593</v>
      </c>
      <c r="E5" s="331" t="s">
        <v>98</v>
      </c>
      <c r="F5" s="326">
        <v>0</v>
      </c>
      <c r="G5" s="509">
        <v>453105.90132044593</v>
      </c>
      <c r="H5" s="331" t="s">
        <v>1094</v>
      </c>
      <c r="I5" s="304">
        <v>45717</v>
      </c>
    </row>
    <row r="6" spans="1:10" ht="15" x14ac:dyDescent="0.2">
      <c r="A6" s="511" t="s">
        <v>963</v>
      </c>
      <c r="B6" s="287" t="s">
        <v>1249</v>
      </c>
      <c r="C6" s="288">
        <v>125000</v>
      </c>
      <c r="D6" s="509">
        <v>122004.86349031466</v>
      </c>
      <c r="E6" s="331" t="s">
        <v>98</v>
      </c>
      <c r="F6" s="326">
        <v>0</v>
      </c>
      <c r="G6" s="509">
        <v>122004.86349031466</v>
      </c>
      <c r="H6" s="331" t="s">
        <v>1094</v>
      </c>
      <c r="I6" s="304">
        <v>45566</v>
      </c>
      <c r="J6" s="332"/>
    </row>
    <row r="7" spans="1:10" x14ac:dyDescent="0.2">
      <c r="A7" s="511" t="s">
        <v>965</v>
      </c>
      <c r="B7" s="287" t="s">
        <v>1250</v>
      </c>
      <c r="C7" s="288">
        <v>250000</v>
      </c>
      <c r="D7" s="509">
        <v>122249.91641596414</v>
      </c>
      <c r="E7" s="331" t="s">
        <v>98</v>
      </c>
      <c r="F7" s="326">
        <v>0</v>
      </c>
      <c r="G7" s="509">
        <v>122249.91641596414</v>
      </c>
      <c r="H7" s="331" t="s">
        <v>1094</v>
      </c>
      <c r="I7" s="304">
        <v>45717</v>
      </c>
    </row>
    <row r="8" spans="1:10" x14ac:dyDescent="0.2">
      <c r="A8" s="511" t="s">
        <v>967</v>
      </c>
      <c r="B8" s="287" t="s">
        <v>1251</v>
      </c>
      <c r="C8" s="288">
        <v>132000</v>
      </c>
      <c r="D8" s="509">
        <v>132812.2914978514</v>
      </c>
      <c r="E8" s="331" t="s">
        <v>98</v>
      </c>
      <c r="F8" s="326">
        <v>0</v>
      </c>
      <c r="G8" s="509">
        <v>132812.2914978514</v>
      </c>
      <c r="H8" s="331" t="s">
        <v>1094</v>
      </c>
      <c r="I8" s="304">
        <v>45717</v>
      </c>
    </row>
    <row r="9" spans="1:10" x14ac:dyDescent="0.2">
      <c r="A9" s="511" t="s">
        <v>969</v>
      </c>
      <c r="B9" s="287" t="s">
        <v>1252</v>
      </c>
      <c r="C9" s="288">
        <v>125000</v>
      </c>
      <c r="D9" s="509">
        <v>120353.69506877985</v>
      </c>
      <c r="E9" s="331" t="s">
        <v>98</v>
      </c>
      <c r="F9" s="326">
        <v>0</v>
      </c>
      <c r="G9" s="509">
        <v>120353.69506877985</v>
      </c>
      <c r="H9" s="331" t="s">
        <v>1094</v>
      </c>
      <c r="I9" s="304">
        <v>45717</v>
      </c>
    </row>
    <row r="10" spans="1:10" x14ac:dyDescent="0.2">
      <c r="A10" s="511" t="s">
        <v>972</v>
      </c>
      <c r="B10" s="287" t="s">
        <v>1253</v>
      </c>
      <c r="C10" s="288">
        <v>125500</v>
      </c>
      <c r="D10" s="509">
        <v>125261.72064317077</v>
      </c>
      <c r="E10" s="331" t="s">
        <v>98</v>
      </c>
      <c r="F10" s="326">
        <v>0</v>
      </c>
      <c r="G10" s="509">
        <v>125261.72064317077</v>
      </c>
      <c r="H10" s="331" t="s">
        <v>1094</v>
      </c>
      <c r="I10" s="304">
        <v>45627</v>
      </c>
    </row>
    <row r="11" spans="1:10" ht="15" x14ac:dyDescent="0.25">
      <c r="A11" s="64"/>
      <c r="B11" s="116" t="s">
        <v>104</v>
      </c>
      <c r="C11" s="161">
        <f>SUM(C3:C10)</f>
        <v>7830500</v>
      </c>
      <c r="D11" s="117">
        <f>SUM(D3:D10)</f>
        <v>1900000.0000000005</v>
      </c>
      <c r="E11" s="59"/>
      <c r="F11" s="117">
        <f t="shared" ref="F11:G11" si="0">SUM(F3:F10)</f>
        <v>0</v>
      </c>
      <c r="G11" s="161">
        <f t="shared" si="0"/>
        <v>1900000.0000000005</v>
      </c>
      <c r="H11" s="59"/>
      <c r="I11" s="59"/>
    </row>
    <row r="12" spans="1:10" ht="15" x14ac:dyDescent="0.25">
      <c r="C12" s="113" t="s">
        <v>1092</v>
      </c>
      <c r="D12" s="113"/>
    </row>
    <row r="13" spans="1:10" ht="45" x14ac:dyDescent="0.2">
      <c r="A13" s="114" t="s">
        <v>89</v>
      </c>
      <c r="B13" s="114" t="s">
        <v>0</v>
      </c>
      <c r="C13" s="115" t="s">
        <v>1</v>
      </c>
      <c r="D13" s="115" t="s">
        <v>90</v>
      </c>
      <c r="E13" s="114" t="s">
        <v>91</v>
      </c>
      <c r="F13" s="115" t="s">
        <v>92</v>
      </c>
      <c r="G13" s="115" t="s">
        <v>93</v>
      </c>
      <c r="H13" s="114" t="s">
        <v>94</v>
      </c>
      <c r="I13" s="115" t="s">
        <v>476</v>
      </c>
    </row>
    <row r="14" spans="1:10" x14ac:dyDescent="0.2">
      <c r="A14" s="511" t="s">
        <v>960</v>
      </c>
      <c r="B14" s="287" t="s">
        <v>1093</v>
      </c>
      <c r="C14" s="288">
        <v>710748</v>
      </c>
      <c r="D14" s="509">
        <v>710748.37888970505</v>
      </c>
      <c r="E14" s="331" t="s">
        <v>98</v>
      </c>
      <c r="F14" s="326">
        <v>492377</v>
      </c>
      <c r="G14" s="509">
        <v>218371.37888970505</v>
      </c>
      <c r="H14" s="331" t="s">
        <v>331</v>
      </c>
      <c r="I14" s="304">
        <v>45566</v>
      </c>
    </row>
    <row r="15" spans="1:10" x14ac:dyDescent="0.2">
      <c r="A15" s="511" t="s">
        <v>962</v>
      </c>
      <c r="B15" s="287" t="s">
        <v>1095</v>
      </c>
      <c r="C15" s="288">
        <v>127603</v>
      </c>
      <c r="D15" s="509">
        <v>127602.69972365313</v>
      </c>
      <c r="E15" s="331" t="s">
        <v>98</v>
      </c>
      <c r="F15" s="326"/>
      <c r="G15" s="509">
        <v>127602.69972365313</v>
      </c>
      <c r="H15" s="331" t="s">
        <v>331</v>
      </c>
      <c r="I15" s="304">
        <v>45444</v>
      </c>
    </row>
    <row r="16" spans="1:10" x14ac:dyDescent="0.2">
      <c r="A16" s="511" t="s">
        <v>1247</v>
      </c>
      <c r="B16" s="287" t="s">
        <v>1096</v>
      </c>
      <c r="C16" s="288">
        <v>7009622</v>
      </c>
      <c r="D16" s="509">
        <v>441749.13065499323</v>
      </c>
      <c r="E16" s="331" t="s">
        <v>98</v>
      </c>
      <c r="F16" s="326"/>
      <c r="G16" s="509">
        <v>441749.13065499323</v>
      </c>
      <c r="H16" s="331" t="s">
        <v>331</v>
      </c>
      <c r="I16" s="304">
        <v>45444</v>
      </c>
    </row>
    <row r="17" spans="1:10" ht="15" x14ac:dyDescent="0.2">
      <c r="A17" s="511" t="s">
        <v>963</v>
      </c>
      <c r="B17" s="287" t="s">
        <v>1097</v>
      </c>
      <c r="C17" s="288">
        <v>125000</v>
      </c>
      <c r="D17" s="509">
        <v>121599.05627896756</v>
      </c>
      <c r="E17" s="331" t="s">
        <v>98</v>
      </c>
      <c r="F17" s="326">
        <v>121599</v>
      </c>
      <c r="G17" s="509">
        <v>5.6278967560501769E-2</v>
      </c>
      <c r="H17" s="331" t="s">
        <v>235</v>
      </c>
      <c r="I17" s="304">
        <v>45274</v>
      </c>
      <c r="J17" s="332"/>
    </row>
    <row r="18" spans="1:10" x14ac:dyDescent="0.2">
      <c r="A18" s="511" t="s">
        <v>965</v>
      </c>
      <c r="B18" s="287" t="s">
        <v>599</v>
      </c>
      <c r="C18" s="288">
        <v>121446</v>
      </c>
      <c r="D18" s="509">
        <v>121445.90603598686</v>
      </c>
      <c r="E18" s="331" t="s">
        <v>98</v>
      </c>
      <c r="F18" s="326"/>
      <c r="G18" s="509">
        <v>121445.90603598686</v>
      </c>
      <c r="H18" s="331" t="s">
        <v>331</v>
      </c>
      <c r="I18" s="304">
        <v>45383</v>
      </c>
    </row>
    <row r="19" spans="1:10" x14ac:dyDescent="0.2">
      <c r="A19" s="511" t="s">
        <v>967</v>
      </c>
      <c r="B19" s="287" t="s">
        <v>1098</v>
      </c>
      <c r="C19" s="288">
        <v>131896</v>
      </c>
      <c r="D19" s="509">
        <v>131896.14320113804</v>
      </c>
      <c r="E19" s="331" t="s">
        <v>98</v>
      </c>
      <c r="F19" s="326"/>
      <c r="G19" s="509">
        <v>131896.14320113804</v>
      </c>
      <c r="H19" s="331" t="s">
        <v>331</v>
      </c>
      <c r="I19" s="304">
        <v>45383</v>
      </c>
    </row>
    <row r="20" spans="1:10" x14ac:dyDescent="0.2">
      <c r="A20" s="511" t="s">
        <v>969</v>
      </c>
      <c r="B20" s="287" t="s">
        <v>1099</v>
      </c>
      <c r="C20" s="288">
        <v>125000</v>
      </c>
      <c r="D20" s="509">
        <v>120813.29548457915</v>
      </c>
      <c r="E20" s="331" t="s">
        <v>98</v>
      </c>
      <c r="F20" s="326">
        <v>120813</v>
      </c>
      <c r="G20" s="509">
        <v>0.29548457915370818</v>
      </c>
      <c r="H20" s="331" t="s">
        <v>235</v>
      </c>
      <c r="I20" s="304">
        <v>45015</v>
      </c>
    </row>
    <row r="21" spans="1:10" x14ac:dyDescent="0.2">
      <c r="A21" s="511" t="s">
        <v>972</v>
      </c>
      <c r="B21" s="287" t="s">
        <v>864</v>
      </c>
      <c r="C21" s="288">
        <v>124200</v>
      </c>
      <c r="D21" s="509">
        <v>124145.38973097697</v>
      </c>
      <c r="E21" s="331" t="s">
        <v>98</v>
      </c>
      <c r="F21" s="326">
        <v>993</v>
      </c>
      <c r="G21" s="509">
        <v>123152.38973097697</v>
      </c>
      <c r="H21" s="331" t="s">
        <v>331</v>
      </c>
      <c r="I21" s="304">
        <v>45505</v>
      </c>
    </row>
    <row r="22" spans="1:10" ht="15" x14ac:dyDescent="0.25">
      <c r="A22" s="64"/>
      <c r="B22" s="116" t="s">
        <v>104</v>
      </c>
      <c r="C22" s="161">
        <f>SUM(C14:C21)</f>
        <v>8475515</v>
      </c>
      <c r="D22" s="117">
        <f>SUM(D14:D21)</f>
        <v>1900000.0000000002</v>
      </c>
      <c r="E22" s="59"/>
      <c r="F22" s="117">
        <f t="shared" ref="F22:G22" si="1">SUM(F14:F21)</f>
        <v>735782</v>
      </c>
      <c r="G22" s="161">
        <f t="shared" si="1"/>
        <v>1164218</v>
      </c>
      <c r="H22" s="59"/>
      <c r="I22" s="59"/>
    </row>
    <row r="23" spans="1:10" ht="15" x14ac:dyDescent="0.25">
      <c r="C23" s="113" t="s">
        <v>1009</v>
      </c>
      <c r="D23" s="113"/>
    </row>
    <row r="24" spans="1:10" ht="45" x14ac:dyDescent="0.2">
      <c r="A24" s="114" t="s">
        <v>89</v>
      </c>
      <c r="B24" s="114" t="s">
        <v>0</v>
      </c>
      <c r="C24" s="115" t="s">
        <v>1</v>
      </c>
      <c r="D24" s="115" t="s">
        <v>90</v>
      </c>
      <c r="E24" s="114" t="s">
        <v>91</v>
      </c>
      <c r="F24" s="115" t="s">
        <v>92</v>
      </c>
      <c r="G24" s="115" t="s">
        <v>93</v>
      </c>
      <c r="H24" s="114" t="s">
        <v>94</v>
      </c>
      <c r="I24" s="115" t="s">
        <v>476</v>
      </c>
    </row>
    <row r="25" spans="1:10" x14ac:dyDescent="0.2">
      <c r="A25" s="511" t="s">
        <v>880</v>
      </c>
      <c r="B25" s="287" t="s">
        <v>961</v>
      </c>
      <c r="C25" s="288">
        <v>39000000</v>
      </c>
      <c r="D25" s="288">
        <v>705018.69572916883</v>
      </c>
      <c r="E25" s="331" t="s">
        <v>98</v>
      </c>
      <c r="F25" s="326">
        <v>705019</v>
      </c>
      <c r="G25" s="288">
        <v>-0.30427083116956055</v>
      </c>
      <c r="H25" s="331" t="s">
        <v>235</v>
      </c>
      <c r="I25" s="304">
        <v>44901</v>
      </c>
    </row>
    <row r="26" spans="1:10" ht="15" x14ac:dyDescent="0.2">
      <c r="A26" s="511" t="s">
        <v>882</v>
      </c>
      <c r="B26" s="287" t="s">
        <v>1010</v>
      </c>
      <c r="C26" s="288">
        <v>384000</v>
      </c>
      <c r="D26" s="288">
        <v>131699.57402717017</v>
      </c>
      <c r="E26" s="331" t="s">
        <v>98</v>
      </c>
      <c r="F26" s="326">
        <v>129911</v>
      </c>
      <c r="G26" s="288">
        <v>1789</v>
      </c>
      <c r="H26" s="331" t="s">
        <v>331</v>
      </c>
      <c r="I26" s="304">
        <v>45352</v>
      </c>
      <c r="J26" s="332"/>
    </row>
    <row r="27" spans="1:10" x14ac:dyDescent="0.2">
      <c r="A27" s="511" t="s">
        <v>878</v>
      </c>
      <c r="B27" s="287" t="s">
        <v>1011</v>
      </c>
      <c r="C27" s="288">
        <v>7819933</v>
      </c>
      <c r="D27" s="288">
        <v>437166.05929986463</v>
      </c>
      <c r="E27" s="331" t="s">
        <v>98</v>
      </c>
      <c r="F27" s="326">
        <v>437166</v>
      </c>
      <c r="G27" s="288">
        <v>0</v>
      </c>
      <c r="H27" s="331" t="s">
        <v>235</v>
      </c>
      <c r="I27" s="304">
        <v>45127</v>
      </c>
    </row>
    <row r="28" spans="1:10" x14ac:dyDescent="0.2">
      <c r="A28" s="511" t="s">
        <v>883</v>
      </c>
      <c r="B28" s="287" t="s">
        <v>1012</v>
      </c>
      <c r="C28" s="288">
        <v>390000</v>
      </c>
      <c r="D28" s="288">
        <v>121585.31529336085</v>
      </c>
      <c r="E28" s="331" t="s">
        <v>98</v>
      </c>
      <c r="F28" s="326">
        <v>121585</v>
      </c>
      <c r="G28" s="288">
        <v>-0.28866434739029501</v>
      </c>
      <c r="H28" s="331" t="s">
        <v>235</v>
      </c>
      <c r="I28" s="304">
        <v>44916</v>
      </c>
    </row>
    <row r="29" spans="1:10" x14ac:dyDescent="0.2">
      <c r="A29" s="511" t="s">
        <v>885</v>
      </c>
      <c r="B29" s="287" t="s">
        <v>1013</v>
      </c>
      <c r="C29" s="288">
        <v>121493</v>
      </c>
      <c r="D29" s="288">
        <v>121492.71133565261</v>
      </c>
      <c r="E29" s="331" t="s">
        <v>98</v>
      </c>
      <c r="F29" s="601">
        <v>121493</v>
      </c>
      <c r="G29" s="288">
        <v>0</v>
      </c>
      <c r="H29" s="331" t="s">
        <v>235</v>
      </c>
      <c r="I29" s="304">
        <v>45078</v>
      </c>
    </row>
    <row r="30" spans="1:10" x14ac:dyDescent="0.2">
      <c r="A30" s="511" t="s">
        <v>543</v>
      </c>
      <c r="B30" s="287" t="s">
        <v>740</v>
      </c>
      <c r="C30" s="288">
        <v>134800</v>
      </c>
      <c r="D30" s="288">
        <v>134799.88544901827</v>
      </c>
      <c r="E30" s="331" t="s">
        <v>98</v>
      </c>
      <c r="F30" s="326">
        <v>134800</v>
      </c>
      <c r="G30" s="288">
        <v>0</v>
      </c>
      <c r="H30" s="331" t="s">
        <v>235</v>
      </c>
      <c r="I30" s="304">
        <v>45078</v>
      </c>
    </row>
    <row r="31" spans="1:10" x14ac:dyDescent="0.2">
      <c r="A31" s="511" t="s">
        <v>1254</v>
      </c>
      <c r="B31" s="287" t="s">
        <v>1014</v>
      </c>
      <c r="C31" s="286">
        <v>150000</v>
      </c>
      <c r="D31" s="288">
        <v>121485.56176538838</v>
      </c>
      <c r="E31" s="331" t="s">
        <v>98</v>
      </c>
      <c r="F31" s="326">
        <v>121486</v>
      </c>
      <c r="G31" s="288">
        <v>0</v>
      </c>
      <c r="H31" s="331" t="s">
        <v>235</v>
      </c>
      <c r="I31" s="304">
        <v>45292</v>
      </c>
    </row>
    <row r="32" spans="1:10" x14ac:dyDescent="0.2">
      <c r="A32" s="511" t="s">
        <v>265</v>
      </c>
      <c r="B32" s="287" t="s">
        <v>864</v>
      </c>
      <c r="C32" s="288">
        <v>187616</v>
      </c>
      <c r="D32" s="288">
        <v>126752.19710037638</v>
      </c>
      <c r="E32" s="331" t="s">
        <v>98</v>
      </c>
      <c r="F32" s="326">
        <v>71375</v>
      </c>
      <c r="G32" s="288">
        <v>55377</v>
      </c>
      <c r="H32" s="331" t="s">
        <v>331</v>
      </c>
      <c r="I32" s="304">
        <v>45352</v>
      </c>
    </row>
    <row r="33" spans="1:10" ht="15" x14ac:dyDescent="0.25">
      <c r="A33" s="64"/>
      <c r="B33" s="116" t="s">
        <v>104</v>
      </c>
      <c r="C33" s="161">
        <f>SUM(C25:C32)</f>
        <v>48187842</v>
      </c>
      <c r="D33" s="117">
        <f>SUM(D25:D32)</f>
        <v>1900000</v>
      </c>
      <c r="E33" s="59"/>
      <c r="F33" s="117">
        <f>SUM(F25:F32)</f>
        <v>1842835</v>
      </c>
      <c r="G33" s="161">
        <f>SUM(G25:G32)</f>
        <v>57165.40706482144</v>
      </c>
      <c r="H33" s="59"/>
      <c r="I33" s="59"/>
    </row>
    <row r="34" spans="1:10" ht="15" x14ac:dyDescent="0.25">
      <c r="C34" s="113" t="s">
        <v>959</v>
      </c>
      <c r="D34" s="113"/>
    </row>
    <row r="35" spans="1:10" ht="45" x14ac:dyDescent="0.2">
      <c r="A35" s="114" t="s">
        <v>89</v>
      </c>
      <c r="B35" s="114" t="s">
        <v>0</v>
      </c>
      <c r="C35" s="115" t="s">
        <v>1</v>
      </c>
      <c r="D35" s="115" t="s">
        <v>90</v>
      </c>
      <c r="E35" s="114" t="s">
        <v>91</v>
      </c>
      <c r="F35" s="115" t="s">
        <v>92</v>
      </c>
      <c r="G35" s="115" t="s">
        <v>93</v>
      </c>
      <c r="H35" s="114" t="s">
        <v>94</v>
      </c>
      <c r="I35" s="115" t="s">
        <v>476</v>
      </c>
    </row>
    <row r="36" spans="1:10" x14ac:dyDescent="0.2">
      <c r="A36" s="511" t="s">
        <v>960</v>
      </c>
      <c r="B36" s="287" t="s">
        <v>961</v>
      </c>
      <c r="C36" s="288">
        <v>21440934</v>
      </c>
      <c r="D36" s="288">
        <v>376123</v>
      </c>
      <c r="E36" s="331" t="s">
        <v>98</v>
      </c>
      <c r="F36" s="326">
        <v>376123</v>
      </c>
      <c r="G36" s="288">
        <v>0</v>
      </c>
      <c r="H36" s="331" t="s">
        <v>235</v>
      </c>
      <c r="I36" s="304">
        <v>44727</v>
      </c>
    </row>
    <row r="37" spans="1:10" x14ac:dyDescent="0.2">
      <c r="A37" s="511" t="s">
        <v>962</v>
      </c>
      <c r="B37" s="287" t="s">
        <v>1010</v>
      </c>
      <c r="C37" s="288">
        <v>500000</v>
      </c>
      <c r="D37" s="288">
        <v>69958</v>
      </c>
      <c r="E37" s="331" t="s">
        <v>98</v>
      </c>
      <c r="F37" s="326">
        <v>69958</v>
      </c>
      <c r="G37" s="288">
        <v>0</v>
      </c>
      <c r="H37" s="331" t="s">
        <v>235</v>
      </c>
      <c r="I37" s="304">
        <v>44896</v>
      </c>
    </row>
    <row r="38" spans="1:10" ht="15" x14ac:dyDescent="0.2">
      <c r="A38" s="511" t="s">
        <v>963</v>
      </c>
      <c r="B38" s="287" t="s">
        <v>964</v>
      </c>
      <c r="C38" s="288">
        <v>120000</v>
      </c>
      <c r="D38" s="288">
        <v>64106</v>
      </c>
      <c r="E38" s="331" t="s">
        <v>98</v>
      </c>
      <c r="F38" s="326">
        <v>64106</v>
      </c>
      <c r="G38" s="288">
        <v>0</v>
      </c>
      <c r="H38" s="331" t="s">
        <v>235</v>
      </c>
      <c r="I38" s="304">
        <v>44903</v>
      </c>
      <c r="J38" s="332"/>
    </row>
    <row r="39" spans="1:10" x14ac:dyDescent="0.2">
      <c r="A39" s="511" t="s">
        <v>965</v>
      </c>
      <c r="B39" s="287" t="s">
        <v>966</v>
      </c>
      <c r="C39" s="288">
        <v>135000</v>
      </c>
      <c r="D39" s="288">
        <v>64090</v>
      </c>
      <c r="E39" s="331" t="s">
        <v>98</v>
      </c>
      <c r="F39" s="326">
        <v>64090</v>
      </c>
      <c r="G39" s="288">
        <v>0</v>
      </c>
      <c r="H39" s="331" t="s">
        <v>235</v>
      </c>
      <c r="I39" s="304">
        <v>44470</v>
      </c>
    </row>
    <row r="40" spans="1:10" x14ac:dyDescent="0.2">
      <c r="A40" s="511" t="s">
        <v>967</v>
      </c>
      <c r="B40" s="287" t="s">
        <v>968</v>
      </c>
      <c r="C40" s="288">
        <v>135097</v>
      </c>
      <c r="D40" s="288">
        <v>71104</v>
      </c>
      <c r="E40" s="331" t="s">
        <v>98</v>
      </c>
      <c r="F40" s="326">
        <v>71104</v>
      </c>
      <c r="G40" s="288">
        <v>0</v>
      </c>
      <c r="H40" s="331" t="s">
        <v>235</v>
      </c>
      <c r="I40" s="304">
        <v>44936</v>
      </c>
    </row>
    <row r="41" spans="1:10" x14ac:dyDescent="0.2">
      <c r="A41" s="511" t="s">
        <v>969</v>
      </c>
      <c r="B41" s="287" t="s">
        <v>877</v>
      </c>
      <c r="C41" s="288">
        <v>121857</v>
      </c>
      <c r="D41" s="288">
        <v>64135</v>
      </c>
      <c r="E41" s="331" t="s">
        <v>98</v>
      </c>
      <c r="F41" s="326">
        <v>64135</v>
      </c>
      <c r="G41" s="288">
        <v>0</v>
      </c>
      <c r="H41" s="331" t="s">
        <v>235</v>
      </c>
      <c r="I41" s="304">
        <v>44425</v>
      </c>
    </row>
    <row r="42" spans="1:10" x14ac:dyDescent="0.2">
      <c r="A42" s="511" t="s">
        <v>970</v>
      </c>
      <c r="B42" s="287" t="s">
        <v>971</v>
      </c>
      <c r="C42" s="288">
        <v>14602007</v>
      </c>
      <c r="D42" s="288">
        <v>223394</v>
      </c>
      <c r="E42" s="331" t="s">
        <v>98</v>
      </c>
      <c r="F42" s="326">
        <v>223394</v>
      </c>
      <c r="G42" s="288">
        <v>0</v>
      </c>
      <c r="H42" s="331" t="s">
        <v>235</v>
      </c>
      <c r="I42" s="304">
        <v>44677</v>
      </c>
    </row>
    <row r="43" spans="1:10" x14ac:dyDescent="0.2">
      <c r="A43" s="511" t="s">
        <v>972</v>
      </c>
      <c r="B43" s="287" t="s">
        <v>864</v>
      </c>
      <c r="C43" s="288">
        <v>127460</v>
      </c>
      <c r="D43" s="288">
        <v>67090</v>
      </c>
      <c r="E43" s="331" t="s">
        <v>98</v>
      </c>
      <c r="F43" s="326">
        <v>67090</v>
      </c>
      <c r="G43" s="288">
        <v>0</v>
      </c>
      <c r="H43" s="331" t="s">
        <v>235</v>
      </c>
      <c r="I43" s="304">
        <v>45047</v>
      </c>
    </row>
    <row r="44" spans="1:10" ht="15" x14ac:dyDescent="0.25">
      <c r="A44" s="64"/>
      <c r="B44" s="116" t="s">
        <v>104</v>
      </c>
      <c r="C44" s="161">
        <f>SUM(C36:C43)</f>
        <v>37182355</v>
      </c>
      <c r="D44" s="117">
        <f>SUM(D36:D43)</f>
        <v>1000000</v>
      </c>
      <c r="E44" s="59"/>
      <c r="F44" s="117">
        <f t="shared" ref="F44:G44" si="2">SUM(F36:F43)</f>
        <v>1000000</v>
      </c>
      <c r="G44" s="161">
        <f t="shared" si="2"/>
        <v>0</v>
      </c>
      <c r="H44" s="59"/>
      <c r="I44" s="59"/>
    </row>
    <row r="45" spans="1:10" ht="15" x14ac:dyDescent="0.25">
      <c r="A45" s="333"/>
      <c r="C45" s="113" t="s">
        <v>875</v>
      </c>
      <c r="D45" s="113"/>
    </row>
    <row r="46" spans="1:10" ht="45" x14ac:dyDescent="0.2">
      <c r="A46" s="334" t="s">
        <v>89</v>
      </c>
      <c r="B46" s="114" t="s">
        <v>0</v>
      </c>
      <c r="C46" s="115" t="s">
        <v>1</v>
      </c>
      <c r="D46" s="115" t="s">
        <v>90</v>
      </c>
      <c r="E46" s="114" t="s">
        <v>91</v>
      </c>
      <c r="F46" s="115" t="s">
        <v>92</v>
      </c>
      <c r="G46" s="115" t="s">
        <v>93</v>
      </c>
      <c r="H46" s="114" t="s">
        <v>94</v>
      </c>
      <c r="I46" s="115" t="s">
        <v>476</v>
      </c>
    </row>
    <row r="47" spans="1:10" ht="25.5" x14ac:dyDescent="0.2">
      <c r="A47" s="335" t="s">
        <v>876</v>
      </c>
      <c r="B47" s="287" t="s">
        <v>877</v>
      </c>
      <c r="C47" s="288">
        <v>121752</v>
      </c>
      <c r="D47" s="288">
        <v>121752.42308277839</v>
      </c>
      <c r="E47" s="331" t="s">
        <v>98</v>
      </c>
      <c r="F47" s="326">
        <v>121752</v>
      </c>
      <c r="G47" s="288">
        <v>0</v>
      </c>
      <c r="H47" s="331" t="s">
        <v>235</v>
      </c>
      <c r="I47" s="304">
        <v>44425</v>
      </c>
    </row>
    <row r="48" spans="1:10" x14ac:dyDescent="0.2">
      <c r="A48" s="335" t="s">
        <v>878</v>
      </c>
      <c r="B48" s="287" t="s">
        <v>879</v>
      </c>
      <c r="C48" s="288">
        <v>15866250</v>
      </c>
      <c r="D48" s="288">
        <v>408751.8008625565</v>
      </c>
      <c r="E48" s="331" t="s">
        <v>98</v>
      </c>
      <c r="F48" s="326">
        <v>408752</v>
      </c>
      <c r="G48" s="288">
        <v>0</v>
      </c>
      <c r="H48" s="331" t="s">
        <v>235</v>
      </c>
      <c r="I48" s="304">
        <v>44607</v>
      </c>
    </row>
    <row r="49" spans="1:10" x14ac:dyDescent="0.2">
      <c r="A49" s="335" t="s">
        <v>880</v>
      </c>
      <c r="B49" s="287" t="s">
        <v>881</v>
      </c>
      <c r="C49" s="288">
        <v>11312438</v>
      </c>
      <c r="D49" s="288">
        <v>727692.3662190286</v>
      </c>
      <c r="E49" s="331" t="s">
        <v>98</v>
      </c>
      <c r="F49" s="326">
        <v>727692</v>
      </c>
      <c r="G49" s="288">
        <v>0</v>
      </c>
      <c r="H49" s="331" t="s">
        <v>235</v>
      </c>
      <c r="I49" s="304">
        <v>44061</v>
      </c>
    </row>
    <row r="50" spans="1:10" ht="25.5" x14ac:dyDescent="0.2">
      <c r="A50" s="335" t="s">
        <v>882</v>
      </c>
      <c r="B50" s="287" t="s">
        <v>1010</v>
      </c>
      <c r="C50" s="288">
        <v>500000</v>
      </c>
      <c r="D50" s="288">
        <v>134372.31509900501</v>
      </c>
      <c r="E50" s="331" t="s">
        <v>98</v>
      </c>
      <c r="F50" s="326">
        <v>134372</v>
      </c>
      <c r="G50" s="288">
        <v>0</v>
      </c>
      <c r="H50" s="331" t="s">
        <v>235</v>
      </c>
      <c r="I50" s="304">
        <v>44593</v>
      </c>
      <c r="J50" s="332"/>
    </row>
    <row r="51" spans="1:10" x14ac:dyDescent="0.2">
      <c r="A51" s="335" t="s">
        <v>883</v>
      </c>
      <c r="B51" s="287" t="s">
        <v>884</v>
      </c>
      <c r="C51" s="288">
        <v>125000</v>
      </c>
      <c r="D51" s="288">
        <v>121512.89480745427</v>
      </c>
      <c r="E51" s="331" t="s">
        <v>98</v>
      </c>
      <c r="F51" s="326">
        <v>121513</v>
      </c>
      <c r="G51" s="288">
        <v>0</v>
      </c>
      <c r="H51" s="331" t="s">
        <v>235</v>
      </c>
      <c r="I51" s="304">
        <v>44713</v>
      </c>
    </row>
    <row r="52" spans="1:10" x14ac:dyDescent="0.2">
      <c r="A52" s="335" t="s">
        <v>885</v>
      </c>
      <c r="B52" s="287" t="s">
        <v>886</v>
      </c>
      <c r="C52" s="288">
        <v>231000</v>
      </c>
      <c r="D52" s="288">
        <v>121652.97434811233</v>
      </c>
      <c r="E52" s="331" t="s">
        <v>98</v>
      </c>
      <c r="F52" s="326">
        <v>121653</v>
      </c>
      <c r="G52" s="288">
        <v>0</v>
      </c>
      <c r="H52" s="331" t="s">
        <v>235</v>
      </c>
      <c r="I52" s="304">
        <v>44425</v>
      </c>
    </row>
    <row r="53" spans="1:10" x14ac:dyDescent="0.2">
      <c r="A53" s="335" t="s">
        <v>122</v>
      </c>
      <c r="B53" s="287" t="s">
        <v>887</v>
      </c>
      <c r="C53" s="288">
        <v>155000</v>
      </c>
      <c r="D53" s="512">
        <v>134923.05786911468</v>
      </c>
      <c r="E53" s="331" t="s">
        <v>98</v>
      </c>
      <c r="F53" s="326">
        <v>134923</v>
      </c>
      <c r="G53" s="288">
        <v>0</v>
      </c>
      <c r="H53" s="331" t="s">
        <v>235</v>
      </c>
      <c r="I53" s="304">
        <v>44682</v>
      </c>
    </row>
    <row r="54" spans="1:10" x14ac:dyDescent="0.2">
      <c r="A54" s="335" t="s">
        <v>124</v>
      </c>
      <c r="B54" s="287" t="s">
        <v>811</v>
      </c>
      <c r="C54" s="288">
        <v>132950</v>
      </c>
      <c r="D54" s="288">
        <v>129342.16771195018</v>
      </c>
      <c r="E54" s="331" t="s">
        <v>98</v>
      </c>
      <c r="F54" s="326">
        <v>127988</v>
      </c>
      <c r="G54" s="288">
        <v>0</v>
      </c>
      <c r="H54" s="331" t="s">
        <v>235</v>
      </c>
      <c r="I54" s="304">
        <v>44621</v>
      </c>
    </row>
    <row r="55" spans="1:10" ht="15" x14ac:dyDescent="0.25">
      <c r="A55" s="59"/>
      <c r="B55" s="116" t="s">
        <v>104</v>
      </c>
      <c r="C55" s="161">
        <f>SUM(C47:C54)</f>
        <v>28444390</v>
      </c>
      <c r="D55" s="117">
        <f>SUM(D47:D54)</f>
        <v>1899999.9999999998</v>
      </c>
      <c r="E55" s="59"/>
      <c r="F55" s="117">
        <f t="shared" ref="F55:G55" si="3">SUM(F47:F54)</f>
        <v>1898645</v>
      </c>
      <c r="G55" s="161">
        <f t="shared" si="3"/>
        <v>0</v>
      </c>
      <c r="H55" s="59"/>
      <c r="I55" s="59"/>
    </row>
    <row r="56" spans="1:10" ht="15" x14ac:dyDescent="0.25">
      <c r="C56" s="113" t="s">
        <v>804</v>
      </c>
      <c r="D56" s="113"/>
    </row>
    <row r="57" spans="1:10" ht="45" x14ac:dyDescent="0.2">
      <c r="A57" s="114" t="s">
        <v>89</v>
      </c>
      <c r="B57" s="114" t="s">
        <v>0</v>
      </c>
      <c r="C57" s="115" t="s">
        <v>1</v>
      </c>
      <c r="D57" s="115" t="s">
        <v>90</v>
      </c>
      <c r="E57" s="114" t="s">
        <v>91</v>
      </c>
      <c r="F57" s="115" t="s">
        <v>92</v>
      </c>
      <c r="G57" s="115" t="s">
        <v>93</v>
      </c>
      <c r="H57" s="114" t="s">
        <v>94</v>
      </c>
      <c r="I57" s="115" t="s">
        <v>476</v>
      </c>
    </row>
    <row r="58" spans="1:10" x14ac:dyDescent="0.2">
      <c r="A58" s="336" t="s">
        <v>477</v>
      </c>
      <c r="B58" s="6" t="s">
        <v>740</v>
      </c>
      <c r="C58" s="337">
        <v>96002</v>
      </c>
      <c r="D58" s="338">
        <v>96002.300455058357</v>
      </c>
      <c r="E58" s="331" t="s">
        <v>98</v>
      </c>
      <c r="F58" s="166">
        <v>96002</v>
      </c>
      <c r="G58" s="339">
        <v>0</v>
      </c>
      <c r="H58" s="182" t="s">
        <v>235</v>
      </c>
      <c r="I58" s="154">
        <v>43886</v>
      </c>
    </row>
    <row r="59" spans="1:10" x14ac:dyDescent="0.2">
      <c r="A59" s="336" t="s">
        <v>480</v>
      </c>
      <c r="B59" s="229" t="s">
        <v>805</v>
      </c>
      <c r="C59" s="337">
        <v>322000</v>
      </c>
      <c r="D59" s="338">
        <v>304613.42517008499</v>
      </c>
      <c r="E59" s="331" t="s">
        <v>98</v>
      </c>
      <c r="F59" s="166">
        <v>304613</v>
      </c>
      <c r="G59" s="339">
        <v>0</v>
      </c>
      <c r="H59" s="182" t="s">
        <v>235</v>
      </c>
      <c r="I59" s="154">
        <v>43952</v>
      </c>
    </row>
    <row r="60" spans="1:10" x14ac:dyDescent="0.2">
      <c r="A60" s="340" t="s">
        <v>115</v>
      </c>
      <c r="B60" s="336" t="s">
        <v>806</v>
      </c>
      <c r="C60" s="337">
        <v>995000</v>
      </c>
      <c r="D60" s="338">
        <v>593615.52986717899</v>
      </c>
      <c r="E60" s="331" t="s">
        <v>98</v>
      </c>
      <c r="F60" s="326">
        <v>593616</v>
      </c>
      <c r="G60" s="341">
        <v>0</v>
      </c>
      <c r="H60" s="331" t="s">
        <v>235</v>
      </c>
      <c r="I60" s="304">
        <v>43747</v>
      </c>
    </row>
    <row r="61" spans="1:10" ht="25.5" x14ac:dyDescent="0.2">
      <c r="A61" s="340" t="s">
        <v>116</v>
      </c>
      <c r="B61" s="342" t="s">
        <v>807</v>
      </c>
      <c r="C61" s="337">
        <v>105815</v>
      </c>
      <c r="D61" s="338">
        <v>105814.54723352937</v>
      </c>
      <c r="E61" s="331" t="s">
        <v>98</v>
      </c>
      <c r="F61" s="326">
        <v>105815</v>
      </c>
      <c r="G61" s="341">
        <v>0</v>
      </c>
      <c r="H61" s="331" t="s">
        <v>235</v>
      </c>
      <c r="I61" s="304">
        <v>44531</v>
      </c>
    </row>
    <row r="62" spans="1:10" ht="25.5" x14ac:dyDescent="0.2">
      <c r="A62" s="340" t="s">
        <v>118</v>
      </c>
      <c r="B62" s="342" t="s">
        <v>808</v>
      </c>
      <c r="C62" s="337">
        <v>96061</v>
      </c>
      <c r="D62" s="338">
        <v>96061.103105945425</v>
      </c>
      <c r="E62" s="331" t="s">
        <v>98</v>
      </c>
      <c r="F62" s="326">
        <v>96061</v>
      </c>
      <c r="G62" s="341">
        <v>0</v>
      </c>
      <c r="H62" s="331" t="s">
        <v>235</v>
      </c>
      <c r="I62" s="304">
        <v>44312</v>
      </c>
    </row>
    <row r="63" spans="1:10" x14ac:dyDescent="0.2">
      <c r="A63" s="340" t="s">
        <v>120</v>
      </c>
      <c r="B63" s="342" t="s">
        <v>809</v>
      </c>
      <c r="C63" s="337">
        <v>170000</v>
      </c>
      <c r="D63" s="338">
        <v>96208.268659246591</v>
      </c>
      <c r="E63" s="331" t="s">
        <v>98</v>
      </c>
      <c r="F63" s="326">
        <v>93304</v>
      </c>
      <c r="G63" s="341">
        <v>0</v>
      </c>
      <c r="H63" s="331" t="s">
        <v>235</v>
      </c>
      <c r="I63" s="304">
        <v>43800</v>
      </c>
    </row>
    <row r="64" spans="1:10" x14ac:dyDescent="0.2">
      <c r="A64" s="340" t="s">
        <v>122</v>
      </c>
      <c r="B64" s="342" t="s">
        <v>810</v>
      </c>
      <c r="C64" s="337">
        <v>105330</v>
      </c>
      <c r="D64" s="338">
        <v>105330.33813762672</v>
      </c>
      <c r="E64" s="331" t="s">
        <v>98</v>
      </c>
      <c r="F64" s="166">
        <v>105330</v>
      </c>
      <c r="G64" s="339">
        <v>0</v>
      </c>
      <c r="H64" s="182" t="s">
        <v>235</v>
      </c>
      <c r="I64" s="154">
        <v>44531</v>
      </c>
    </row>
    <row r="65" spans="1:10" x14ac:dyDescent="0.2">
      <c r="A65" s="340" t="s">
        <v>124</v>
      </c>
      <c r="B65" s="342" t="s">
        <v>811</v>
      </c>
      <c r="C65" s="337">
        <v>102354</v>
      </c>
      <c r="D65" s="338">
        <v>102354.48737132938</v>
      </c>
      <c r="E65" s="331" t="s">
        <v>98</v>
      </c>
      <c r="F65" s="326">
        <v>102354</v>
      </c>
      <c r="G65" s="341">
        <v>0</v>
      </c>
      <c r="H65" s="331" t="s">
        <v>235</v>
      </c>
      <c r="I65" s="304">
        <v>44273</v>
      </c>
    </row>
    <row r="66" spans="1:10" ht="57" customHeight="1" x14ac:dyDescent="0.25">
      <c r="A66" s="59"/>
      <c r="B66" s="116" t="s">
        <v>104</v>
      </c>
      <c r="C66" s="161">
        <f>SUM(C58:C65)</f>
        <v>1992562</v>
      </c>
      <c r="D66" s="117">
        <f>SUM(D58:D65)</f>
        <v>1500000</v>
      </c>
      <c r="E66" s="59"/>
      <c r="F66" s="117">
        <f t="shared" ref="F66" si="4">SUM(F58:F65)</f>
        <v>1497095</v>
      </c>
      <c r="G66" s="161">
        <f>SUM(G58:G65)</f>
        <v>0</v>
      </c>
      <c r="H66" s="59"/>
      <c r="I66" s="59"/>
      <c r="J66" s="332"/>
    </row>
    <row r="68" spans="1:10" ht="15" x14ac:dyDescent="0.25">
      <c r="C68" s="113" t="s">
        <v>739</v>
      </c>
      <c r="D68" s="113"/>
    </row>
    <row r="69" spans="1:10" ht="45" x14ac:dyDescent="0.2">
      <c r="A69" s="114" t="s">
        <v>89</v>
      </c>
      <c r="B69" s="114" t="s">
        <v>0</v>
      </c>
      <c r="C69" s="115" t="s">
        <v>1</v>
      </c>
      <c r="D69" s="115" t="s">
        <v>90</v>
      </c>
      <c r="E69" s="114" t="s">
        <v>91</v>
      </c>
      <c r="F69" s="115" t="s">
        <v>92</v>
      </c>
      <c r="G69" s="115" t="s">
        <v>93</v>
      </c>
      <c r="H69" s="114" t="s">
        <v>94</v>
      </c>
      <c r="I69" s="115" t="s">
        <v>476</v>
      </c>
    </row>
    <row r="70" spans="1:10" s="183" customFormat="1" x14ac:dyDescent="0.2">
      <c r="A70" s="336" t="s">
        <v>477</v>
      </c>
      <c r="B70" s="6" t="s">
        <v>740</v>
      </c>
      <c r="C70" s="343">
        <v>97000</v>
      </c>
      <c r="D70" s="344">
        <v>58024</v>
      </c>
      <c r="E70" s="331" t="s">
        <v>98</v>
      </c>
      <c r="F70" s="166">
        <v>58024</v>
      </c>
      <c r="G70" s="345">
        <v>0</v>
      </c>
      <c r="H70" s="182" t="s">
        <v>235</v>
      </c>
      <c r="I70" s="154">
        <v>43865</v>
      </c>
    </row>
    <row r="71" spans="1:10" x14ac:dyDescent="0.2">
      <c r="A71" s="336" t="s">
        <v>480</v>
      </c>
      <c r="B71" s="229" t="s">
        <v>741</v>
      </c>
      <c r="C71" s="343">
        <v>650000</v>
      </c>
      <c r="D71" s="344">
        <v>191592</v>
      </c>
      <c r="E71" s="331" t="s">
        <v>98</v>
      </c>
      <c r="F71" s="166">
        <v>191592</v>
      </c>
      <c r="G71" s="345">
        <v>0</v>
      </c>
      <c r="H71" s="182" t="s">
        <v>235</v>
      </c>
      <c r="I71" s="154">
        <v>43935</v>
      </c>
    </row>
    <row r="72" spans="1:10" x14ac:dyDescent="0.2">
      <c r="A72" s="340" t="s">
        <v>115</v>
      </c>
      <c r="B72" s="336" t="s">
        <v>596</v>
      </c>
      <c r="C72" s="343">
        <v>3376278</v>
      </c>
      <c r="D72" s="346">
        <v>348769</v>
      </c>
      <c r="E72" s="331" t="s">
        <v>98</v>
      </c>
      <c r="F72" s="326">
        <v>348769</v>
      </c>
      <c r="G72" s="346">
        <v>0</v>
      </c>
      <c r="H72" s="331" t="s">
        <v>235</v>
      </c>
      <c r="I72" s="304">
        <v>43196</v>
      </c>
    </row>
    <row r="73" spans="1:10" ht="25.5" x14ac:dyDescent="0.2">
      <c r="A73" s="340" t="s">
        <v>116</v>
      </c>
      <c r="B73" s="6" t="s">
        <v>742</v>
      </c>
      <c r="C73" s="343">
        <v>560125</v>
      </c>
      <c r="D73" s="344">
        <v>63793</v>
      </c>
      <c r="E73" s="331" t="s">
        <v>98</v>
      </c>
      <c r="F73" s="166">
        <v>63793</v>
      </c>
      <c r="G73" s="345">
        <v>0</v>
      </c>
      <c r="H73" s="182" t="s">
        <v>235</v>
      </c>
      <c r="I73" s="154">
        <v>44166</v>
      </c>
    </row>
    <row r="74" spans="1:10" ht="25.5" x14ac:dyDescent="0.2">
      <c r="A74" s="340" t="s">
        <v>118</v>
      </c>
      <c r="B74" s="6" t="s">
        <v>743</v>
      </c>
      <c r="C74" s="343">
        <v>222000</v>
      </c>
      <c r="D74" s="346">
        <v>57281</v>
      </c>
      <c r="E74" s="331" t="s">
        <v>98</v>
      </c>
      <c r="F74" s="166">
        <v>55754</v>
      </c>
      <c r="G74" s="347">
        <v>0</v>
      </c>
      <c r="H74" s="182" t="s">
        <v>235</v>
      </c>
      <c r="I74" s="154">
        <v>43892</v>
      </c>
    </row>
    <row r="75" spans="1:10" x14ac:dyDescent="0.2">
      <c r="A75" s="340" t="s">
        <v>120</v>
      </c>
      <c r="B75" s="6" t="s">
        <v>744</v>
      </c>
      <c r="C75" s="343">
        <v>770500</v>
      </c>
      <c r="D75" s="348">
        <v>57581</v>
      </c>
      <c r="E75" s="331" t="s">
        <v>98</v>
      </c>
      <c r="F75" s="326">
        <v>57581</v>
      </c>
      <c r="G75" s="348">
        <v>0</v>
      </c>
      <c r="H75" s="331" t="s">
        <v>235</v>
      </c>
      <c r="I75" s="304">
        <v>43635</v>
      </c>
    </row>
    <row r="76" spans="1:10" x14ac:dyDescent="0.2">
      <c r="A76" s="340" t="s">
        <v>122</v>
      </c>
      <c r="B76" s="229" t="s">
        <v>745</v>
      </c>
      <c r="C76" s="343">
        <v>110000</v>
      </c>
      <c r="D76" s="344">
        <v>61397</v>
      </c>
      <c r="E76" s="331" t="s">
        <v>98</v>
      </c>
      <c r="F76" s="326">
        <v>61397</v>
      </c>
      <c r="G76" s="344">
        <v>0</v>
      </c>
      <c r="H76" s="331" t="s">
        <v>235</v>
      </c>
      <c r="I76" s="304">
        <v>43833</v>
      </c>
    </row>
    <row r="77" spans="1:10" x14ac:dyDescent="0.2">
      <c r="A77" s="340" t="s">
        <v>124</v>
      </c>
      <c r="B77" s="6" t="s">
        <v>746</v>
      </c>
      <c r="C77" s="343">
        <v>80220</v>
      </c>
      <c r="D77" s="344">
        <v>61563</v>
      </c>
      <c r="E77" s="331" t="s">
        <v>98</v>
      </c>
      <c r="F77" s="326">
        <v>61563</v>
      </c>
      <c r="G77" s="344">
        <v>0</v>
      </c>
      <c r="H77" s="331" t="s">
        <v>235</v>
      </c>
      <c r="I77" s="304">
        <v>43208</v>
      </c>
    </row>
    <row r="78" spans="1:10" ht="15" x14ac:dyDescent="0.25">
      <c r="A78" s="59"/>
      <c r="B78" s="116" t="s">
        <v>104</v>
      </c>
      <c r="C78" s="161">
        <f>SUM(C70:C77)</f>
        <v>5866123</v>
      </c>
      <c r="D78" s="117">
        <f>SUM(D70:D77)</f>
        <v>900000</v>
      </c>
      <c r="E78" s="59"/>
      <c r="F78" s="117">
        <f t="shared" ref="F78:G78" si="5">SUM(F70:F77)</f>
        <v>898473</v>
      </c>
      <c r="G78" s="161">
        <f t="shared" si="5"/>
        <v>0</v>
      </c>
      <c r="H78" s="59"/>
      <c r="I78" s="59"/>
    </row>
    <row r="79" spans="1:10" ht="15" x14ac:dyDescent="0.25">
      <c r="C79" s="113"/>
      <c r="D79" s="113"/>
    </row>
    <row r="80" spans="1:10" ht="57" customHeight="1" x14ac:dyDescent="0.25">
      <c r="C80" s="113" t="s">
        <v>617</v>
      </c>
      <c r="D80" s="113"/>
      <c r="J80" s="332"/>
    </row>
    <row r="81" spans="1:10" ht="45" x14ac:dyDescent="0.2">
      <c r="A81" s="114" t="s">
        <v>89</v>
      </c>
      <c r="B81" s="114" t="s">
        <v>0</v>
      </c>
      <c r="C81" s="115" t="s">
        <v>1</v>
      </c>
      <c r="D81" s="115" t="s">
        <v>90</v>
      </c>
      <c r="E81" s="114" t="s">
        <v>91</v>
      </c>
      <c r="F81" s="115" t="s">
        <v>92</v>
      </c>
      <c r="G81" s="115" t="s">
        <v>93</v>
      </c>
      <c r="H81" s="114" t="s">
        <v>94</v>
      </c>
      <c r="I81" s="115" t="s">
        <v>476</v>
      </c>
    </row>
    <row r="82" spans="1:10" s="183" customFormat="1" ht="25.5" x14ac:dyDescent="0.2">
      <c r="A82" s="336" t="s">
        <v>477</v>
      </c>
      <c r="B82" s="6" t="s">
        <v>618</v>
      </c>
      <c r="C82" s="343">
        <v>101000</v>
      </c>
      <c r="D82" s="344">
        <v>95966.733266567811</v>
      </c>
      <c r="E82" s="331" t="s">
        <v>98</v>
      </c>
      <c r="F82" s="326">
        <v>95967</v>
      </c>
      <c r="G82" s="344">
        <v>0</v>
      </c>
      <c r="H82" s="331" t="s">
        <v>106</v>
      </c>
      <c r="I82" s="304">
        <v>43832</v>
      </c>
    </row>
    <row r="83" spans="1:10" s="183" customFormat="1" x14ac:dyDescent="0.2">
      <c r="A83" s="336" t="s">
        <v>480</v>
      </c>
      <c r="B83" s="229" t="s">
        <v>595</v>
      </c>
      <c r="C83" s="343">
        <v>16330000</v>
      </c>
      <c r="D83" s="344">
        <v>325245.82927253726</v>
      </c>
      <c r="E83" s="331" t="s">
        <v>98</v>
      </c>
      <c r="F83" s="166">
        <v>325246</v>
      </c>
      <c r="G83" s="345">
        <v>0</v>
      </c>
      <c r="H83" s="182" t="s">
        <v>106</v>
      </c>
      <c r="I83" s="154">
        <v>43909</v>
      </c>
    </row>
    <row r="84" spans="1:10" s="183" customFormat="1" x14ac:dyDescent="0.2">
      <c r="A84" s="340" t="s">
        <v>115</v>
      </c>
      <c r="B84" s="336" t="s">
        <v>596</v>
      </c>
      <c r="C84" s="343">
        <v>3619000</v>
      </c>
      <c r="D84" s="346">
        <v>579266.88809214986</v>
      </c>
      <c r="E84" s="331" t="s">
        <v>98</v>
      </c>
      <c r="F84" s="326">
        <v>579267</v>
      </c>
      <c r="G84" s="346">
        <v>0</v>
      </c>
      <c r="H84" s="331" t="s">
        <v>106</v>
      </c>
      <c r="I84" s="304">
        <v>43088</v>
      </c>
    </row>
    <row r="85" spans="1:10" ht="25.5" x14ac:dyDescent="0.2">
      <c r="A85" s="340" t="s">
        <v>116</v>
      </c>
      <c r="B85" s="6" t="s">
        <v>742</v>
      </c>
      <c r="C85" s="343">
        <v>560125</v>
      </c>
      <c r="D85" s="344">
        <v>105671.64230992709</v>
      </c>
      <c r="E85" s="331" t="s">
        <v>98</v>
      </c>
      <c r="F85" s="166">
        <v>105672</v>
      </c>
      <c r="G85" s="345">
        <v>0</v>
      </c>
      <c r="H85" s="182" t="s">
        <v>106</v>
      </c>
      <c r="I85" s="154">
        <v>43474</v>
      </c>
    </row>
    <row r="86" spans="1:10" ht="25.5" x14ac:dyDescent="0.2">
      <c r="A86" s="340" t="s">
        <v>118</v>
      </c>
      <c r="B86" s="6" t="s">
        <v>619</v>
      </c>
      <c r="C86" s="343">
        <v>222000</v>
      </c>
      <c r="D86" s="346">
        <v>93901.381814528024</v>
      </c>
      <c r="E86" s="331" t="s">
        <v>98</v>
      </c>
      <c r="F86" s="326">
        <v>93901</v>
      </c>
      <c r="G86" s="346">
        <v>0</v>
      </c>
      <c r="H86" s="331" t="s">
        <v>106</v>
      </c>
      <c r="I86" s="304">
        <v>43297</v>
      </c>
    </row>
    <row r="87" spans="1:10" x14ac:dyDescent="0.2">
      <c r="A87" s="340" t="s">
        <v>120</v>
      </c>
      <c r="B87" s="6" t="s">
        <v>620</v>
      </c>
      <c r="C87" s="343">
        <v>192500</v>
      </c>
      <c r="D87" s="348">
        <v>94005.089753362307</v>
      </c>
      <c r="E87" s="331" t="s">
        <v>98</v>
      </c>
      <c r="F87" s="326">
        <v>94005</v>
      </c>
      <c r="G87" s="348">
        <v>0</v>
      </c>
      <c r="H87" s="331" t="s">
        <v>106</v>
      </c>
      <c r="I87" s="304">
        <v>43038</v>
      </c>
    </row>
    <row r="88" spans="1:10" s="183" customFormat="1" x14ac:dyDescent="0.2">
      <c r="A88" s="340" t="s">
        <v>122</v>
      </c>
      <c r="B88" s="336" t="s">
        <v>599</v>
      </c>
      <c r="C88" s="343">
        <v>104244</v>
      </c>
      <c r="D88" s="344">
        <v>104243.69469948023</v>
      </c>
      <c r="E88" s="331" t="s">
        <v>98</v>
      </c>
      <c r="F88" s="326">
        <v>104244</v>
      </c>
      <c r="G88" s="344">
        <v>0</v>
      </c>
      <c r="H88" s="331" t="s">
        <v>106</v>
      </c>
      <c r="I88" s="304">
        <v>43670</v>
      </c>
    </row>
    <row r="89" spans="1:10" s="183" customFormat="1" ht="25.5" x14ac:dyDescent="0.2">
      <c r="A89" s="340" t="s">
        <v>124</v>
      </c>
      <c r="B89" s="6" t="s">
        <v>621</v>
      </c>
      <c r="C89" s="343">
        <v>104800</v>
      </c>
      <c r="D89" s="344">
        <v>101698.74079144749</v>
      </c>
      <c r="E89" s="331" t="s">
        <v>98</v>
      </c>
      <c r="F89" s="326">
        <v>101699</v>
      </c>
      <c r="G89" s="344">
        <v>0</v>
      </c>
      <c r="H89" s="331" t="s">
        <v>106</v>
      </c>
      <c r="I89" s="304">
        <v>43116</v>
      </c>
    </row>
    <row r="90" spans="1:10" s="183" customFormat="1" ht="15" x14ac:dyDescent="0.25">
      <c r="A90" s="59"/>
      <c r="B90" s="116" t="s">
        <v>104</v>
      </c>
      <c r="C90" s="161">
        <f>SUM(C82:C89)</f>
        <v>21233669</v>
      </c>
      <c r="D90" s="117">
        <f>SUM(D82:D89)</f>
        <v>1500000</v>
      </c>
      <c r="E90" s="59"/>
      <c r="F90" s="117">
        <f t="shared" ref="F90:G90" si="6">SUM(F82:F89)</f>
        <v>1500001</v>
      </c>
      <c r="G90" s="161">
        <f t="shared" si="6"/>
        <v>0</v>
      </c>
      <c r="H90" s="59"/>
      <c r="I90" s="59"/>
    </row>
    <row r="91" spans="1:10" s="183" customFormat="1" ht="15" x14ac:dyDescent="0.25">
      <c r="A91" s="195" t="s">
        <v>622</v>
      </c>
      <c r="B91" s="349"/>
      <c r="C91" s="350"/>
      <c r="D91" s="351"/>
      <c r="F91" s="351"/>
      <c r="G91" s="350"/>
    </row>
    <row r="92" spans="1:10" s="183" customFormat="1" ht="15" x14ac:dyDescent="0.25">
      <c r="A92" s="308"/>
      <c r="B92" s="349"/>
      <c r="C92" s="350"/>
      <c r="D92" s="351"/>
      <c r="F92" s="351"/>
      <c r="G92" s="350"/>
    </row>
    <row r="93" spans="1:10" s="183" customFormat="1" ht="15" x14ac:dyDescent="0.25">
      <c r="A93"/>
      <c r="B93"/>
      <c r="C93" s="113" t="s">
        <v>593</v>
      </c>
      <c r="D93" s="113"/>
      <c r="E93"/>
      <c r="F93"/>
      <c r="G93"/>
      <c r="H93"/>
      <c r="I93"/>
    </row>
    <row r="94" spans="1:10" s="183" customFormat="1" ht="57" customHeight="1" x14ac:dyDescent="0.2">
      <c r="A94" s="114" t="s">
        <v>89</v>
      </c>
      <c r="B94" s="114" t="s">
        <v>0</v>
      </c>
      <c r="C94" s="115" t="s">
        <v>1</v>
      </c>
      <c r="D94" s="115" t="s">
        <v>90</v>
      </c>
      <c r="E94" s="114" t="s">
        <v>91</v>
      </c>
      <c r="F94" s="115" t="s">
        <v>92</v>
      </c>
      <c r="G94" s="115" t="s">
        <v>93</v>
      </c>
      <c r="H94" s="114" t="s">
        <v>94</v>
      </c>
      <c r="I94" s="115" t="s">
        <v>476</v>
      </c>
      <c r="J94" s="185"/>
    </row>
    <row r="95" spans="1:10" s="183" customFormat="1" x14ac:dyDescent="0.2">
      <c r="A95" s="336" t="s">
        <v>477</v>
      </c>
      <c r="B95" s="229" t="s">
        <v>594</v>
      </c>
      <c r="C95" s="343">
        <v>288000</v>
      </c>
      <c r="D95" s="344">
        <v>96034.24054943808</v>
      </c>
      <c r="E95" s="331" t="s">
        <v>98</v>
      </c>
      <c r="F95" s="326">
        <v>96034</v>
      </c>
      <c r="G95" s="344">
        <v>0</v>
      </c>
      <c r="H95" s="331" t="s">
        <v>106</v>
      </c>
      <c r="I95" s="304">
        <v>43618</v>
      </c>
    </row>
    <row r="96" spans="1:10" x14ac:dyDescent="0.2">
      <c r="A96" s="336" t="s">
        <v>480</v>
      </c>
      <c r="B96" s="229" t="s">
        <v>595</v>
      </c>
      <c r="C96" s="343">
        <v>8018250</v>
      </c>
      <c r="D96" s="344">
        <v>319397.98441273591</v>
      </c>
      <c r="E96" s="331" t="s">
        <v>98</v>
      </c>
      <c r="F96" s="326">
        <v>319398</v>
      </c>
      <c r="G96" s="344">
        <v>0</v>
      </c>
      <c r="H96" s="331" t="s">
        <v>106</v>
      </c>
      <c r="I96" s="304">
        <v>43465</v>
      </c>
    </row>
    <row r="97" spans="1:9" s="183" customFormat="1" x14ac:dyDescent="0.2">
      <c r="A97" s="340" t="s">
        <v>115</v>
      </c>
      <c r="B97" s="336" t="s">
        <v>596</v>
      </c>
      <c r="C97" s="343">
        <v>3619000</v>
      </c>
      <c r="D97" s="346">
        <v>585229.51871403877</v>
      </c>
      <c r="E97" s="331" t="s">
        <v>98</v>
      </c>
      <c r="F97" s="326">
        <v>585230</v>
      </c>
      <c r="G97" s="346">
        <v>0</v>
      </c>
      <c r="H97" s="331" t="s">
        <v>106</v>
      </c>
      <c r="I97" s="304">
        <v>43088</v>
      </c>
    </row>
    <row r="98" spans="1:9" s="184" customFormat="1" ht="25.5" x14ac:dyDescent="0.2">
      <c r="A98" s="340" t="s">
        <v>116</v>
      </c>
      <c r="B98" s="6" t="s">
        <v>747</v>
      </c>
      <c r="C98" s="343">
        <v>560125</v>
      </c>
      <c r="D98" s="344">
        <v>105683.790369853</v>
      </c>
      <c r="E98" s="182" t="s">
        <v>98</v>
      </c>
      <c r="F98" s="166">
        <v>105684</v>
      </c>
      <c r="G98" s="345">
        <v>0</v>
      </c>
      <c r="H98" s="182" t="s">
        <v>106</v>
      </c>
      <c r="I98" s="154">
        <v>43474</v>
      </c>
    </row>
    <row r="99" spans="1:9" ht="25.5" x14ac:dyDescent="0.2">
      <c r="A99" s="340" t="s">
        <v>118</v>
      </c>
      <c r="B99" s="336" t="s">
        <v>597</v>
      </c>
      <c r="C99" s="343">
        <v>100000</v>
      </c>
      <c r="D99" s="346">
        <v>94844.551220924899</v>
      </c>
      <c r="E99" s="331" t="s">
        <v>98</v>
      </c>
      <c r="F99" s="326">
        <v>94845</v>
      </c>
      <c r="G99" s="346">
        <v>0</v>
      </c>
      <c r="H99" s="331" t="s">
        <v>106</v>
      </c>
      <c r="I99" s="304">
        <v>43297</v>
      </c>
    </row>
    <row r="100" spans="1:9" ht="25.5" x14ac:dyDescent="0.2">
      <c r="A100" s="340" t="s">
        <v>120</v>
      </c>
      <c r="B100" s="336" t="s">
        <v>598</v>
      </c>
      <c r="C100" s="343">
        <v>46000</v>
      </c>
      <c r="D100" s="348">
        <v>94881.916953270527</v>
      </c>
      <c r="E100" s="331" t="s">
        <v>98</v>
      </c>
      <c r="F100" s="326">
        <v>94882</v>
      </c>
      <c r="G100" s="348">
        <v>0</v>
      </c>
      <c r="H100" s="331" t="s">
        <v>106</v>
      </c>
      <c r="I100" s="304">
        <v>42905</v>
      </c>
    </row>
    <row r="101" spans="1:9" x14ac:dyDescent="0.2">
      <c r="A101" s="340" t="s">
        <v>122</v>
      </c>
      <c r="B101" s="336" t="s">
        <v>599</v>
      </c>
      <c r="C101" s="343">
        <v>120000</v>
      </c>
      <c r="D101" s="344">
        <v>102731.84359065405</v>
      </c>
      <c r="E101" s="331" t="s">
        <v>98</v>
      </c>
      <c r="F101" s="326">
        <v>102732</v>
      </c>
      <c r="G101" s="344">
        <v>0</v>
      </c>
      <c r="H101" s="331" t="s">
        <v>106</v>
      </c>
      <c r="I101" s="304">
        <v>42690</v>
      </c>
    </row>
    <row r="102" spans="1:9" s="183" customFormat="1" ht="25.5" x14ac:dyDescent="0.2">
      <c r="A102" s="340" t="s">
        <v>124</v>
      </c>
      <c r="B102" s="336" t="s">
        <v>600</v>
      </c>
      <c r="C102" s="343">
        <v>119720</v>
      </c>
      <c r="D102" s="344">
        <v>101196.15418908508</v>
      </c>
      <c r="E102" s="331" t="s">
        <v>98</v>
      </c>
      <c r="F102" s="326">
        <v>101196</v>
      </c>
      <c r="G102" s="344">
        <v>0</v>
      </c>
      <c r="H102" s="331" t="s">
        <v>106</v>
      </c>
      <c r="I102" s="304">
        <v>43311</v>
      </c>
    </row>
    <row r="103" spans="1:9" s="183" customFormat="1" ht="15" x14ac:dyDescent="0.25">
      <c r="A103" s="59"/>
      <c r="B103" s="116" t="s">
        <v>104</v>
      </c>
      <c r="C103" s="161">
        <f>SUM(C95:C102)</f>
        <v>12871095</v>
      </c>
      <c r="D103" s="117">
        <f>SUM(D95:D102)</f>
        <v>1500000.0000000002</v>
      </c>
      <c r="E103" s="59"/>
      <c r="F103" s="117">
        <f t="shared" ref="F103" si="7">SUM(F95:F102)</f>
        <v>1500001</v>
      </c>
      <c r="G103" s="161">
        <f>SUM(G95:G102)</f>
        <v>0</v>
      </c>
      <c r="H103" s="59"/>
      <c r="I103" s="59"/>
    </row>
    <row r="104" spans="1:9" s="183" customFormat="1" ht="15" x14ac:dyDescent="0.25">
      <c r="A104"/>
      <c r="B104"/>
      <c r="C104" s="113"/>
      <c r="D104" s="113"/>
      <c r="E104"/>
      <c r="F104"/>
      <c r="G104"/>
      <c r="H104"/>
      <c r="I104"/>
    </row>
    <row r="105" spans="1:9" s="183" customFormat="1" ht="15" x14ac:dyDescent="0.25">
      <c r="A105"/>
      <c r="B105"/>
      <c r="C105" s="113" t="s">
        <v>475</v>
      </c>
      <c r="D105" s="113"/>
      <c r="E105"/>
      <c r="F105"/>
      <c r="G105"/>
      <c r="H105"/>
      <c r="I105"/>
    </row>
    <row r="106" spans="1:9" s="183" customFormat="1" ht="45" x14ac:dyDescent="0.2">
      <c r="A106" s="114" t="s">
        <v>89</v>
      </c>
      <c r="B106" s="114" t="s">
        <v>0</v>
      </c>
      <c r="C106" s="115" t="s">
        <v>1</v>
      </c>
      <c r="D106" s="115" t="s">
        <v>90</v>
      </c>
      <c r="E106" s="114" t="s">
        <v>91</v>
      </c>
      <c r="F106" s="115" t="s">
        <v>92</v>
      </c>
      <c r="G106" s="115" t="s">
        <v>93</v>
      </c>
      <c r="H106" s="114" t="s">
        <v>94</v>
      </c>
      <c r="I106" s="115" t="s">
        <v>476</v>
      </c>
    </row>
    <row r="107" spans="1:9" s="183" customFormat="1" x14ac:dyDescent="0.2">
      <c r="A107" s="352" t="s">
        <v>477</v>
      </c>
      <c r="B107" s="352" t="s">
        <v>478</v>
      </c>
      <c r="C107" s="326">
        <v>240000</v>
      </c>
      <c r="D107" s="17">
        <v>96692</v>
      </c>
      <c r="E107" s="353" t="s">
        <v>98</v>
      </c>
      <c r="F107" s="354">
        <v>96692</v>
      </c>
      <c r="G107" s="326">
        <v>0</v>
      </c>
      <c r="H107" s="331" t="s">
        <v>106</v>
      </c>
      <c r="I107" s="355">
        <v>42943</v>
      </c>
    </row>
    <row r="108" spans="1:9" s="183" customFormat="1" x14ac:dyDescent="0.2">
      <c r="A108" s="352" t="s">
        <v>480</v>
      </c>
      <c r="B108" s="352" t="s">
        <v>114</v>
      </c>
      <c r="C108" s="326">
        <v>10387000</v>
      </c>
      <c r="D108" s="17">
        <v>317297</v>
      </c>
      <c r="E108" s="353" t="s">
        <v>98</v>
      </c>
      <c r="F108" s="354">
        <v>317297</v>
      </c>
      <c r="G108" s="326">
        <v>0</v>
      </c>
      <c r="H108" s="353" t="s">
        <v>106</v>
      </c>
      <c r="I108" s="355">
        <v>42293</v>
      </c>
    </row>
    <row r="109" spans="1:9" s="183" customFormat="1" ht="25.5" x14ac:dyDescent="0.2">
      <c r="A109" s="356" t="s">
        <v>115</v>
      </c>
      <c r="B109" s="352" t="s">
        <v>481</v>
      </c>
      <c r="C109" s="326">
        <v>1533500</v>
      </c>
      <c r="D109" s="17">
        <v>583354</v>
      </c>
      <c r="E109" s="353" t="s">
        <v>98</v>
      </c>
      <c r="F109" s="354">
        <v>583354</v>
      </c>
      <c r="G109" s="326">
        <v>0</v>
      </c>
      <c r="H109" s="353" t="s">
        <v>106</v>
      </c>
      <c r="I109" s="355">
        <v>42212</v>
      </c>
    </row>
    <row r="110" spans="1:9" ht="25.5" x14ac:dyDescent="0.2">
      <c r="A110" s="356" t="s">
        <v>116</v>
      </c>
      <c r="B110" s="336" t="s">
        <v>748</v>
      </c>
      <c r="C110" s="326">
        <v>1277920</v>
      </c>
      <c r="D110" s="17">
        <v>105886</v>
      </c>
      <c r="E110" s="353" t="s">
        <v>98</v>
      </c>
      <c r="F110" s="187">
        <v>105866</v>
      </c>
      <c r="G110" s="166">
        <v>0</v>
      </c>
      <c r="H110" s="182" t="s">
        <v>106</v>
      </c>
      <c r="I110" s="178">
        <v>43474</v>
      </c>
    </row>
    <row r="111" spans="1:9" x14ac:dyDescent="0.2">
      <c r="A111" s="356" t="s">
        <v>118</v>
      </c>
      <c r="B111" s="352" t="s">
        <v>482</v>
      </c>
      <c r="C111" s="326">
        <v>130000</v>
      </c>
      <c r="D111" s="17">
        <v>95854</v>
      </c>
      <c r="E111" s="353" t="s">
        <v>98</v>
      </c>
      <c r="F111" s="354">
        <v>95854</v>
      </c>
      <c r="G111" s="326">
        <v>0</v>
      </c>
      <c r="H111" s="353" t="s">
        <v>106</v>
      </c>
      <c r="I111" s="355">
        <v>43297</v>
      </c>
    </row>
    <row r="112" spans="1:9" s="183" customFormat="1" ht="38.25" x14ac:dyDescent="0.2">
      <c r="A112" s="356" t="s">
        <v>120</v>
      </c>
      <c r="B112" s="352" t="s">
        <v>483</v>
      </c>
      <c r="C112" s="326">
        <v>121000</v>
      </c>
      <c r="D112" s="17">
        <v>96001</v>
      </c>
      <c r="E112" s="353" t="s">
        <v>98</v>
      </c>
      <c r="F112" s="354">
        <v>96001</v>
      </c>
      <c r="G112" s="326">
        <v>0</v>
      </c>
      <c r="H112" s="331" t="s">
        <v>106</v>
      </c>
      <c r="I112" s="355">
        <v>42905</v>
      </c>
    </row>
    <row r="113" spans="1:9" x14ac:dyDescent="0.2">
      <c r="A113" s="356" t="s">
        <v>122</v>
      </c>
      <c r="B113" s="336" t="s">
        <v>484</v>
      </c>
      <c r="C113" s="326">
        <v>103884</v>
      </c>
      <c r="D113" s="326">
        <v>103884</v>
      </c>
      <c r="E113" s="353" t="s">
        <v>98</v>
      </c>
      <c r="F113" s="354">
        <v>103884</v>
      </c>
      <c r="G113" s="326">
        <v>0</v>
      </c>
      <c r="H113" s="331" t="s">
        <v>106</v>
      </c>
      <c r="I113" s="355">
        <v>42660</v>
      </c>
    </row>
    <row r="114" spans="1:9" ht="38.25" x14ac:dyDescent="0.2">
      <c r="A114" s="356" t="s">
        <v>124</v>
      </c>
      <c r="B114" s="352" t="s">
        <v>485</v>
      </c>
      <c r="C114" s="326">
        <v>107375</v>
      </c>
      <c r="D114" s="17">
        <v>101032</v>
      </c>
      <c r="E114" s="353" t="s">
        <v>98</v>
      </c>
      <c r="F114" s="354">
        <v>101032</v>
      </c>
      <c r="G114" s="326">
        <v>0</v>
      </c>
      <c r="H114" s="331" t="s">
        <v>106</v>
      </c>
      <c r="I114" s="355">
        <v>42727</v>
      </c>
    </row>
    <row r="115" spans="1:9" ht="15" x14ac:dyDescent="0.25">
      <c r="A115" s="59"/>
      <c r="B115" s="116" t="s">
        <v>104</v>
      </c>
      <c r="C115" s="161">
        <f>SUM(C107:C114)</f>
        <v>13900679</v>
      </c>
      <c r="D115" s="117">
        <f>SUM(D107:D114)</f>
        <v>1500000</v>
      </c>
      <c r="E115" s="59"/>
      <c r="F115" s="117">
        <f>SUM(F107:F114)</f>
        <v>1499980</v>
      </c>
      <c r="G115" s="161">
        <f t="shared" ref="G115" si="8">SUM(G107:G114)</f>
        <v>0</v>
      </c>
      <c r="H115" s="59"/>
      <c r="I115" s="59"/>
    </row>
    <row r="116" spans="1:9" s="183" customFormat="1" x14ac:dyDescent="0.2"/>
    <row r="117" spans="1:9" s="183" customFormat="1" x14ac:dyDescent="0.2"/>
    <row r="118" spans="1:9" s="183" customFormat="1" x14ac:dyDescent="0.2">
      <c r="A118"/>
      <c r="B118"/>
      <c r="C118"/>
      <c r="D118"/>
      <c r="E118"/>
      <c r="F118"/>
      <c r="G118"/>
      <c r="H118"/>
      <c r="I118"/>
    </row>
    <row r="119" spans="1:9" s="183" customFormat="1" ht="15" x14ac:dyDescent="0.25">
      <c r="A119"/>
      <c r="B119"/>
      <c r="C119" s="113" t="s">
        <v>356</v>
      </c>
      <c r="D119" s="113"/>
      <c r="E119"/>
      <c r="F119"/>
      <c r="G119"/>
      <c r="H119"/>
      <c r="I119"/>
    </row>
    <row r="120" spans="1:9" s="183" customFormat="1" ht="45" x14ac:dyDescent="0.2">
      <c r="A120" s="114" t="s">
        <v>89</v>
      </c>
      <c r="B120" s="114" t="s">
        <v>0</v>
      </c>
      <c r="C120" s="115" t="s">
        <v>1</v>
      </c>
      <c r="D120" s="115" t="s">
        <v>90</v>
      </c>
      <c r="E120" s="114" t="s">
        <v>91</v>
      </c>
      <c r="F120" s="115" t="s">
        <v>92</v>
      </c>
      <c r="G120" s="115" t="s">
        <v>93</v>
      </c>
      <c r="H120" s="114" t="s">
        <v>94</v>
      </c>
      <c r="I120" s="115" t="s">
        <v>476</v>
      </c>
    </row>
    <row r="121" spans="1:9" s="183" customFormat="1" x14ac:dyDescent="0.2">
      <c r="A121" s="216" t="s">
        <v>477</v>
      </c>
      <c r="B121" s="189" t="s">
        <v>97</v>
      </c>
      <c r="C121" s="166">
        <v>480000</v>
      </c>
      <c r="D121" s="167">
        <v>96594</v>
      </c>
      <c r="E121" s="186" t="s">
        <v>98</v>
      </c>
      <c r="F121" s="166">
        <v>96594</v>
      </c>
      <c r="G121" s="187">
        <v>0</v>
      </c>
      <c r="H121" s="182" t="s">
        <v>106</v>
      </c>
      <c r="I121" s="178">
        <v>42886</v>
      </c>
    </row>
    <row r="122" spans="1:9" s="183" customFormat="1" x14ac:dyDescent="0.2">
      <c r="A122" s="216" t="s">
        <v>480</v>
      </c>
      <c r="B122" s="189" t="s">
        <v>357</v>
      </c>
      <c r="C122" s="166">
        <v>330000</v>
      </c>
      <c r="D122" s="167">
        <v>311190</v>
      </c>
      <c r="E122" s="186" t="s">
        <v>98</v>
      </c>
      <c r="F122" s="166">
        <v>311190</v>
      </c>
      <c r="G122" s="190">
        <v>0</v>
      </c>
      <c r="H122" s="186" t="s">
        <v>106</v>
      </c>
      <c r="I122" s="178">
        <v>41898</v>
      </c>
    </row>
    <row r="123" spans="1:9" s="183" customFormat="1" x14ac:dyDescent="0.2">
      <c r="A123" s="188" t="s">
        <v>115</v>
      </c>
      <c r="B123" s="189" t="s">
        <v>486</v>
      </c>
      <c r="C123" s="166">
        <v>4500000</v>
      </c>
      <c r="D123" s="167">
        <v>579215</v>
      </c>
      <c r="E123" s="186" t="s">
        <v>98</v>
      </c>
      <c r="F123" s="166">
        <v>579214</v>
      </c>
      <c r="G123" s="190">
        <v>0</v>
      </c>
      <c r="H123" s="186" t="s">
        <v>106</v>
      </c>
      <c r="I123" s="178">
        <v>42100</v>
      </c>
    </row>
    <row r="124" spans="1:9" x14ac:dyDescent="0.2">
      <c r="A124" s="188" t="s">
        <v>116</v>
      </c>
      <c r="B124" s="189" t="s">
        <v>117</v>
      </c>
      <c r="C124" s="166">
        <v>1277920</v>
      </c>
      <c r="D124" s="167">
        <v>108456</v>
      </c>
      <c r="E124" s="186" t="s">
        <v>98</v>
      </c>
      <c r="F124" s="166">
        <v>108456</v>
      </c>
      <c r="G124" s="190">
        <v>0</v>
      </c>
      <c r="H124" s="182" t="s">
        <v>106</v>
      </c>
      <c r="I124" s="178">
        <v>42767</v>
      </c>
    </row>
    <row r="125" spans="1:9" ht="38.25" x14ac:dyDescent="0.2">
      <c r="A125" s="188" t="s">
        <v>118</v>
      </c>
      <c r="B125" s="189" t="s">
        <v>358</v>
      </c>
      <c r="C125" s="166">
        <f>150000</f>
        <v>150000</v>
      </c>
      <c r="D125" s="167">
        <v>98159</v>
      </c>
      <c r="E125" s="186" t="s">
        <v>98</v>
      </c>
      <c r="F125" s="166">
        <v>98159</v>
      </c>
      <c r="G125" s="190">
        <v>0</v>
      </c>
      <c r="H125" s="182" t="s">
        <v>106</v>
      </c>
      <c r="I125" s="178">
        <v>42929</v>
      </c>
    </row>
    <row r="126" spans="1:9" ht="51" x14ac:dyDescent="0.2">
      <c r="A126" s="188" t="s">
        <v>120</v>
      </c>
      <c r="B126" s="189" t="s">
        <v>359</v>
      </c>
      <c r="C126" s="166">
        <f>69356+24884+4904</f>
        <v>99144</v>
      </c>
      <c r="D126" s="167">
        <v>98450</v>
      </c>
      <c r="E126" s="186" t="s">
        <v>98</v>
      </c>
      <c r="F126" s="166">
        <v>98450</v>
      </c>
      <c r="G126" s="190">
        <v>0</v>
      </c>
      <c r="H126" s="182" t="s">
        <v>106</v>
      </c>
      <c r="I126" s="178">
        <v>42873</v>
      </c>
    </row>
    <row r="127" spans="1:9" x14ac:dyDescent="0.2">
      <c r="A127" s="188" t="s">
        <v>122</v>
      </c>
      <c r="B127" s="189" t="s">
        <v>360</v>
      </c>
      <c r="C127" s="166">
        <v>120000</v>
      </c>
      <c r="D127" s="166">
        <v>105151</v>
      </c>
      <c r="E127" s="186" t="s">
        <v>98</v>
      </c>
      <c r="F127" s="166">
        <v>105151</v>
      </c>
      <c r="G127" s="190">
        <v>0</v>
      </c>
      <c r="H127" s="182" t="s">
        <v>106</v>
      </c>
      <c r="I127" s="154">
        <v>42779</v>
      </c>
    </row>
    <row r="128" spans="1:9" x14ac:dyDescent="0.2">
      <c r="A128" s="188" t="s">
        <v>124</v>
      </c>
      <c r="B128" s="189" t="s">
        <v>123</v>
      </c>
      <c r="C128" s="166">
        <f>39300+66700</f>
        <v>106000</v>
      </c>
      <c r="D128" s="167">
        <v>102785</v>
      </c>
      <c r="E128" s="186" t="s">
        <v>98</v>
      </c>
      <c r="F128" s="166">
        <v>102785</v>
      </c>
      <c r="G128" s="190">
        <v>0</v>
      </c>
      <c r="H128" s="182" t="s">
        <v>106</v>
      </c>
      <c r="I128" s="178">
        <v>42696</v>
      </c>
    </row>
    <row r="129" spans="1:9" ht="15" x14ac:dyDescent="0.25">
      <c r="A129" s="59"/>
      <c r="B129" s="116" t="s">
        <v>104</v>
      </c>
      <c r="C129" s="118">
        <f>SUM(C121:C128)</f>
        <v>7063064</v>
      </c>
      <c r="D129" s="117">
        <f>SUM(D121:D128)</f>
        <v>1500000</v>
      </c>
      <c r="E129" s="59"/>
      <c r="F129" s="118">
        <f t="shared" ref="F129:G129" si="9">SUM(F121:F128)</f>
        <v>1499999</v>
      </c>
      <c r="G129" s="161">
        <f t="shared" si="9"/>
        <v>0</v>
      </c>
      <c r="H129" s="59"/>
      <c r="I129" s="59"/>
    </row>
    <row r="130" spans="1:9" ht="15" x14ac:dyDescent="0.25">
      <c r="A130" s="183"/>
      <c r="B130" s="349"/>
      <c r="C130" s="357"/>
      <c r="D130" s="358"/>
      <c r="E130" s="183"/>
      <c r="F130" s="357"/>
      <c r="G130" s="359"/>
      <c r="H130" s="183"/>
      <c r="I130" s="183"/>
    </row>
    <row r="131" spans="1:9" ht="15" x14ac:dyDescent="0.25">
      <c r="A131" s="184"/>
      <c r="B131" s="191"/>
      <c r="C131" s="192"/>
      <c r="D131" s="193"/>
      <c r="E131" s="184"/>
      <c r="F131" s="192"/>
      <c r="G131" s="194"/>
      <c r="H131" s="184"/>
      <c r="I131" s="184"/>
    </row>
    <row r="133" spans="1:9" ht="15" x14ac:dyDescent="0.25">
      <c r="C133" s="113" t="s">
        <v>112</v>
      </c>
      <c r="D133" s="113"/>
    </row>
    <row r="134" spans="1:9" ht="45" x14ac:dyDescent="0.2">
      <c r="A134" s="114" t="s">
        <v>89</v>
      </c>
      <c r="B134" s="114" t="s">
        <v>0</v>
      </c>
      <c r="C134" s="115" t="s">
        <v>1</v>
      </c>
      <c r="D134" s="115" t="s">
        <v>90</v>
      </c>
      <c r="E134" s="114" t="s">
        <v>91</v>
      </c>
      <c r="F134" s="115" t="s">
        <v>92</v>
      </c>
      <c r="G134" s="115" t="s">
        <v>93</v>
      </c>
      <c r="H134" s="114" t="s">
        <v>94</v>
      </c>
      <c r="I134" s="115" t="s">
        <v>476</v>
      </c>
    </row>
    <row r="135" spans="1:9" x14ac:dyDescent="0.2">
      <c r="A135" s="216" t="s">
        <v>477</v>
      </c>
      <c r="B135" s="164" t="s">
        <v>113</v>
      </c>
      <c r="C135" s="347">
        <v>450000</v>
      </c>
      <c r="D135" s="360">
        <v>94903</v>
      </c>
      <c r="E135" s="186" t="s">
        <v>98</v>
      </c>
      <c r="F135" s="360">
        <v>94903</v>
      </c>
      <c r="G135" s="190">
        <f>SUM(D135-F135)</f>
        <v>0</v>
      </c>
      <c r="H135" s="186" t="s">
        <v>106</v>
      </c>
      <c r="I135" s="178">
        <v>41939</v>
      </c>
    </row>
    <row r="136" spans="1:9" x14ac:dyDescent="0.2">
      <c r="A136" s="216" t="s">
        <v>480</v>
      </c>
      <c r="B136" s="164" t="s">
        <v>114</v>
      </c>
      <c r="C136" s="165">
        <v>3430000</v>
      </c>
      <c r="D136" s="165">
        <v>325782</v>
      </c>
      <c r="E136" s="186" t="s">
        <v>98</v>
      </c>
      <c r="F136" s="165">
        <v>325782</v>
      </c>
      <c r="G136" s="190">
        <f>SUM(D136-F136)</f>
        <v>0</v>
      </c>
      <c r="H136" s="186" t="s">
        <v>106</v>
      </c>
      <c r="I136" s="178">
        <v>41898</v>
      </c>
    </row>
    <row r="137" spans="1:9" x14ac:dyDescent="0.2">
      <c r="A137" s="188" t="s">
        <v>115</v>
      </c>
      <c r="B137" s="217" t="s">
        <v>487</v>
      </c>
      <c r="C137" s="165">
        <v>5200000</v>
      </c>
      <c r="D137" s="165">
        <v>568101</v>
      </c>
      <c r="E137" s="186" t="s">
        <v>98</v>
      </c>
      <c r="F137" s="165">
        <v>568101</v>
      </c>
      <c r="G137" s="190">
        <v>0</v>
      </c>
      <c r="H137" s="186" t="s">
        <v>106</v>
      </c>
      <c r="I137" s="178">
        <v>41228</v>
      </c>
    </row>
    <row r="138" spans="1:9" x14ac:dyDescent="0.2">
      <c r="A138" s="188" t="s">
        <v>116</v>
      </c>
      <c r="B138" s="164" t="s">
        <v>117</v>
      </c>
      <c r="C138" s="165">
        <v>1351480</v>
      </c>
      <c r="D138" s="159">
        <v>107598</v>
      </c>
      <c r="E138" s="186" t="s">
        <v>98</v>
      </c>
      <c r="F138" s="159">
        <v>107598</v>
      </c>
      <c r="G138" s="190">
        <f t="shared" ref="G138:G139" si="10">SUM(D138-F138)</f>
        <v>0</v>
      </c>
      <c r="H138" s="182" t="s">
        <v>106</v>
      </c>
      <c r="I138" s="178">
        <v>42767</v>
      </c>
    </row>
    <row r="139" spans="1:9" ht="25.5" x14ac:dyDescent="0.2">
      <c r="A139" s="188" t="s">
        <v>118</v>
      </c>
      <c r="B139" s="164" t="s">
        <v>119</v>
      </c>
      <c r="C139" s="165">
        <v>100000</v>
      </c>
      <c r="D139" s="159">
        <v>97119</v>
      </c>
      <c r="E139" s="186" t="s">
        <v>98</v>
      </c>
      <c r="F139" s="159">
        <v>97119</v>
      </c>
      <c r="G139" s="190">
        <f t="shared" si="10"/>
        <v>0</v>
      </c>
      <c r="H139" s="186" t="s">
        <v>106</v>
      </c>
      <c r="I139" s="178">
        <v>42185</v>
      </c>
    </row>
    <row r="140" spans="1:9" x14ac:dyDescent="0.2">
      <c r="A140" s="188" t="s">
        <v>120</v>
      </c>
      <c r="B140" s="164" t="s">
        <v>121</v>
      </c>
      <c r="C140" s="159">
        <v>722170</v>
      </c>
      <c r="D140" s="159">
        <v>99415</v>
      </c>
      <c r="E140" s="186" t="s">
        <v>98</v>
      </c>
      <c r="F140" s="159">
        <v>99415</v>
      </c>
      <c r="G140" s="190">
        <v>0</v>
      </c>
      <c r="H140" s="186" t="s">
        <v>106</v>
      </c>
      <c r="I140" s="178">
        <v>41110</v>
      </c>
    </row>
    <row r="141" spans="1:9" x14ac:dyDescent="0.2">
      <c r="A141" s="188" t="s">
        <v>122</v>
      </c>
      <c r="B141" s="164" t="s">
        <v>123</v>
      </c>
      <c r="C141" s="165">
        <v>200000</v>
      </c>
      <c r="D141" s="159">
        <v>103848</v>
      </c>
      <c r="E141" s="186" t="s">
        <v>98</v>
      </c>
      <c r="F141" s="159">
        <v>103848</v>
      </c>
      <c r="G141" s="190">
        <v>0</v>
      </c>
      <c r="H141" s="182" t="s">
        <v>106</v>
      </c>
      <c r="I141" s="178">
        <v>42433</v>
      </c>
    </row>
    <row r="142" spans="1:9" ht="25.5" x14ac:dyDescent="0.2">
      <c r="A142" s="188" t="s">
        <v>124</v>
      </c>
      <c r="B142" s="164" t="s">
        <v>125</v>
      </c>
      <c r="C142" s="165">
        <v>103560</v>
      </c>
      <c r="D142" s="159">
        <v>103234</v>
      </c>
      <c r="E142" s="186" t="s">
        <v>98</v>
      </c>
      <c r="F142" s="159">
        <v>103234</v>
      </c>
      <c r="G142" s="347">
        <v>0</v>
      </c>
      <c r="H142" s="186" t="s">
        <v>106</v>
      </c>
      <c r="I142" s="178">
        <v>42845</v>
      </c>
    </row>
    <row r="143" spans="1:9" ht="15" x14ac:dyDescent="0.25">
      <c r="A143" s="59"/>
      <c r="B143" s="116" t="s">
        <v>104</v>
      </c>
      <c r="C143" s="118">
        <f>SUM(C135:C142)</f>
        <v>11557210</v>
      </c>
      <c r="D143" s="117">
        <f>SUM(D135:D142)</f>
        <v>1500000</v>
      </c>
      <c r="E143" s="59"/>
      <c r="F143" s="118">
        <f t="shared" ref="F143" si="11">SUM(F135:F142)</f>
        <v>1500000</v>
      </c>
      <c r="G143" s="162">
        <f>SUM(G135:G142)</f>
        <v>0</v>
      </c>
      <c r="H143" s="59"/>
      <c r="I143" s="59"/>
    </row>
    <row r="145" spans="1:9" x14ac:dyDescent="0.2">
      <c r="A145" s="183"/>
      <c r="B145" s="183"/>
      <c r="C145" s="183"/>
      <c r="D145" s="183"/>
      <c r="E145" s="183"/>
      <c r="F145" s="183"/>
      <c r="G145" s="183"/>
      <c r="H145" s="183"/>
      <c r="I145" s="183"/>
    </row>
    <row r="147" spans="1:9" ht="15" x14ac:dyDescent="0.25">
      <c r="C147" s="113" t="s">
        <v>126</v>
      </c>
      <c r="D147" s="113"/>
    </row>
    <row r="148" spans="1:9" ht="45" x14ac:dyDescent="0.2">
      <c r="A148" s="114" t="s">
        <v>89</v>
      </c>
      <c r="B148" s="114" t="s">
        <v>0</v>
      </c>
      <c r="C148" s="115" t="s">
        <v>1</v>
      </c>
      <c r="D148" s="115" t="s">
        <v>90</v>
      </c>
      <c r="E148" s="114" t="s">
        <v>91</v>
      </c>
      <c r="F148" s="115" t="s">
        <v>92</v>
      </c>
      <c r="G148" s="115" t="s">
        <v>93</v>
      </c>
      <c r="H148" s="114" t="s">
        <v>94</v>
      </c>
      <c r="I148" s="115" t="s">
        <v>476</v>
      </c>
    </row>
    <row r="149" spans="1:9" x14ac:dyDescent="0.2">
      <c r="A149" s="216" t="s">
        <v>477</v>
      </c>
      <c r="B149" s="164" t="s">
        <v>127</v>
      </c>
      <c r="C149" s="152">
        <v>898500</v>
      </c>
      <c r="D149" s="218">
        <v>94579</v>
      </c>
      <c r="E149" s="186" t="s">
        <v>98</v>
      </c>
      <c r="F149" s="166">
        <f>8398+86181</f>
        <v>94579</v>
      </c>
      <c r="G149" s="187">
        <f>SUM(D149-F149)</f>
        <v>0</v>
      </c>
      <c r="H149" s="186" t="s">
        <v>106</v>
      </c>
      <c r="I149" s="219">
        <v>41809</v>
      </c>
    </row>
    <row r="150" spans="1:9" ht="25.5" x14ac:dyDescent="0.2">
      <c r="A150" s="216" t="s">
        <v>480</v>
      </c>
      <c r="B150" s="164" t="s">
        <v>128</v>
      </c>
      <c r="C150" s="152">
        <v>3904000</v>
      </c>
      <c r="D150" s="151">
        <v>328020</v>
      </c>
      <c r="E150" s="186" t="s">
        <v>98</v>
      </c>
      <c r="F150" s="166">
        <v>328020</v>
      </c>
      <c r="G150" s="190">
        <v>0</v>
      </c>
      <c r="H150" s="186" t="s">
        <v>106</v>
      </c>
      <c r="I150" s="219">
        <v>41281</v>
      </c>
    </row>
    <row r="151" spans="1:9" x14ac:dyDescent="0.2">
      <c r="A151" s="188" t="s">
        <v>115</v>
      </c>
      <c r="B151" s="217" t="s">
        <v>487</v>
      </c>
      <c r="C151" s="152">
        <v>800000</v>
      </c>
      <c r="D151" s="151">
        <v>562349</v>
      </c>
      <c r="E151" s="186" t="s">
        <v>98</v>
      </c>
      <c r="F151" s="166">
        <f>470325+89799+2225</f>
        <v>562349</v>
      </c>
      <c r="G151" s="190">
        <f t="shared" ref="G151:G155" si="12">SUM(D151-F151)</f>
        <v>0</v>
      </c>
      <c r="H151" s="186" t="s">
        <v>106</v>
      </c>
      <c r="I151" s="219">
        <v>41176</v>
      </c>
    </row>
    <row r="152" spans="1:9" x14ac:dyDescent="0.2">
      <c r="A152" s="188" t="s">
        <v>116</v>
      </c>
      <c r="B152" s="164" t="s">
        <v>117</v>
      </c>
      <c r="C152" s="152">
        <v>8752175</v>
      </c>
      <c r="D152" s="218">
        <v>110137</v>
      </c>
      <c r="E152" s="186" t="s">
        <v>98</v>
      </c>
      <c r="F152" s="166">
        <v>110137</v>
      </c>
      <c r="G152" s="190">
        <f t="shared" si="12"/>
        <v>0</v>
      </c>
      <c r="H152" s="186" t="s">
        <v>106</v>
      </c>
      <c r="I152" s="219">
        <v>41494</v>
      </c>
    </row>
    <row r="153" spans="1:9" ht="51" x14ac:dyDescent="0.2">
      <c r="A153" s="188" t="s">
        <v>118</v>
      </c>
      <c r="B153" s="164" t="s">
        <v>129</v>
      </c>
      <c r="C153" s="152">
        <v>225000</v>
      </c>
      <c r="D153" s="218">
        <v>97119</v>
      </c>
      <c r="E153" s="186" t="s">
        <v>98</v>
      </c>
      <c r="F153" s="169">
        <v>97119</v>
      </c>
      <c r="G153" s="190">
        <v>0</v>
      </c>
      <c r="H153" s="186" t="s">
        <v>106</v>
      </c>
      <c r="I153" s="219">
        <v>42181</v>
      </c>
    </row>
    <row r="154" spans="1:9" x14ac:dyDescent="0.2">
      <c r="A154" s="188" t="s">
        <v>120</v>
      </c>
      <c r="B154" s="220" t="s">
        <v>121</v>
      </c>
      <c r="C154" s="361">
        <v>500000</v>
      </c>
      <c r="D154" s="218">
        <v>99205</v>
      </c>
      <c r="E154" s="186" t="s">
        <v>98</v>
      </c>
      <c r="F154" s="166">
        <f>44551+54654</f>
        <v>99205</v>
      </c>
      <c r="G154" s="190">
        <f t="shared" si="12"/>
        <v>0</v>
      </c>
      <c r="H154" s="186" t="s">
        <v>106</v>
      </c>
      <c r="I154" s="219">
        <v>41246</v>
      </c>
    </row>
    <row r="155" spans="1:9" x14ac:dyDescent="0.2">
      <c r="A155" s="188" t="s">
        <v>122</v>
      </c>
      <c r="B155" s="164" t="s">
        <v>123</v>
      </c>
      <c r="C155" s="152">
        <v>200000</v>
      </c>
      <c r="D155" s="218">
        <v>107536</v>
      </c>
      <c r="E155" s="186" t="s">
        <v>98</v>
      </c>
      <c r="F155" s="166">
        <f>34487+52970+11078+9001</f>
        <v>107536</v>
      </c>
      <c r="G155" s="190">
        <f t="shared" si="12"/>
        <v>0</v>
      </c>
      <c r="H155" s="186" t="s">
        <v>106</v>
      </c>
      <c r="I155" s="219">
        <v>41506</v>
      </c>
    </row>
    <row r="156" spans="1:9" x14ac:dyDescent="0.2">
      <c r="A156" s="188" t="s">
        <v>124</v>
      </c>
      <c r="B156" s="164" t="s">
        <v>123</v>
      </c>
      <c r="C156" s="152">
        <v>104929</v>
      </c>
      <c r="D156" s="218">
        <v>103021</v>
      </c>
      <c r="E156" s="186" t="s">
        <v>98</v>
      </c>
      <c r="F156" s="166">
        <v>103021</v>
      </c>
      <c r="G156" s="190">
        <v>0</v>
      </c>
      <c r="H156" s="182" t="s">
        <v>106</v>
      </c>
      <c r="I156" s="219">
        <v>42696</v>
      </c>
    </row>
    <row r="157" spans="1:9" ht="15" x14ac:dyDescent="0.25">
      <c r="A157" s="59"/>
      <c r="B157" s="116" t="s">
        <v>104</v>
      </c>
      <c r="C157" s="118">
        <f>SUM(C149:C156)</f>
        <v>15384604</v>
      </c>
      <c r="D157" s="117">
        <f>SUM(D149:D156)</f>
        <v>1501966</v>
      </c>
      <c r="E157" s="59"/>
      <c r="F157" s="118">
        <f>SUM(F149:F156)</f>
        <v>1501966</v>
      </c>
      <c r="G157" s="161">
        <f>SUM(G149:G156)</f>
        <v>0</v>
      </c>
      <c r="H157" s="59"/>
      <c r="I157" s="5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5"/>
  <sheetViews>
    <sheetView zoomScale="80" zoomScaleNormal="80" workbookViewId="0">
      <pane ySplit="1" topLeftCell="A2" activePane="bottomLeft" state="frozen"/>
      <selection activeCell="C1" sqref="C1"/>
      <selection pane="bottomLeft" activeCell="M7" sqref="M7"/>
    </sheetView>
  </sheetViews>
  <sheetFormatPr defaultColWidth="9.140625" defaultRowHeight="12.75" x14ac:dyDescent="0.2"/>
  <cols>
    <col min="1" max="1" width="17" style="122" customWidth="1"/>
    <col min="2" max="2" width="7.85546875" style="122" customWidth="1"/>
    <col min="3" max="3" width="55.5703125" style="122" customWidth="1"/>
    <col min="4" max="4" width="22.7109375" style="122" customWidth="1"/>
    <col min="5" max="5" width="14.42578125" style="130" customWidth="1"/>
    <col min="6" max="6" width="48.42578125" style="122" customWidth="1"/>
    <col min="7" max="7" width="11.7109375" style="130" customWidth="1"/>
    <col min="8" max="8" width="4.42578125" style="536" customWidth="1"/>
    <col min="9" max="9" width="10.85546875" style="122" customWidth="1"/>
    <col min="10" max="10" width="20" style="61" customWidth="1"/>
    <col min="11" max="16384" width="9.140625" style="122"/>
  </cols>
  <sheetData>
    <row r="1" spans="1:10" s="119" customFormat="1" ht="23.25" x14ac:dyDescent="0.35">
      <c r="A1" s="580" t="s">
        <v>42</v>
      </c>
      <c r="B1" s="580"/>
      <c r="C1" s="580"/>
      <c r="D1" s="580"/>
      <c r="E1" s="580"/>
      <c r="F1" s="580"/>
      <c r="G1" s="580"/>
      <c r="H1" s="580"/>
      <c r="I1" s="580"/>
      <c r="J1" s="580"/>
    </row>
    <row r="2" spans="1:10" ht="26.45" customHeight="1" x14ac:dyDescent="0.2">
      <c r="A2" s="120" t="s">
        <v>40</v>
      </c>
      <c r="B2" s="8" t="s">
        <v>39</v>
      </c>
      <c r="C2" s="121" t="s">
        <v>0</v>
      </c>
      <c r="D2" s="121" t="s">
        <v>38</v>
      </c>
      <c r="E2" s="121" t="s">
        <v>1</v>
      </c>
      <c r="F2" s="121" t="s">
        <v>37</v>
      </c>
      <c r="G2" s="581" t="s">
        <v>749</v>
      </c>
      <c r="H2" s="582"/>
      <c r="I2" s="121" t="s">
        <v>36</v>
      </c>
      <c r="J2" s="121" t="s">
        <v>35</v>
      </c>
    </row>
    <row r="3" spans="1:10" x14ac:dyDescent="0.2">
      <c r="A3" s="128"/>
      <c r="B3" s="128"/>
      <c r="C3" s="128"/>
      <c r="D3" s="125"/>
      <c r="E3" s="126"/>
      <c r="F3" s="124"/>
      <c r="G3" s="127"/>
      <c r="H3" s="5"/>
      <c r="I3" s="129"/>
      <c r="J3" s="7"/>
    </row>
    <row r="4" spans="1:10" ht="38.25" x14ac:dyDescent="0.2">
      <c r="A4" s="252" t="s">
        <v>3</v>
      </c>
      <c r="B4" s="566">
        <v>2024</v>
      </c>
      <c r="C4" s="252" t="s">
        <v>1193</v>
      </c>
      <c r="D4" s="250" t="s">
        <v>1194</v>
      </c>
      <c r="E4" s="567">
        <v>2072127</v>
      </c>
      <c r="F4" s="249" t="s">
        <v>1195</v>
      </c>
      <c r="G4" s="568">
        <v>675000</v>
      </c>
      <c r="H4" s="569"/>
      <c r="I4" s="530">
        <v>0</v>
      </c>
      <c r="J4" s="251">
        <v>45838</v>
      </c>
    </row>
    <row r="5" spans="1:10" ht="51" x14ac:dyDescent="0.2">
      <c r="A5" s="252" t="s">
        <v>3</v>
      </c>
      <c r="B5" s="566">
        <v>2024</v>
      </c>
      <c r="C5" s="252" t="s">
        <v>1196</v>
      </c>
      <c r="D5" s="250" t="s">
        <v>8</v>
      </c>
      <c r="E5" s="567">
        <v>2439800</v>
      </c>
      <c r="F5" s="249" t="s">
        <v>1197</v>
      </c>
      <c r="G5" s="568">
        <v>499800</v>
      </c>
      <c r="H5" s="569"/>
      <c r="I5" s="530">
        <v>0</v>
      </c>
      <c r="J5" s="251">
        <v>45838</v>
      </c>
    </row>
    <row r="6" spans="1:10" ht="38.25" x14ac:dyDescent="0.2">
      <c r="A6" s="252" t="s">
        <v>3</v>
      </c>
      <c r="B6" s="566">
        <v>2024</v>
      </c>
      <c r="C6" s="252" t="s">
        <v>1198</v>
      </c>
      <c r="D6" s="250" t="s">
        <v>1199</v>
      </c>
      <c r="E6" s="567">
        <v>547674</v>
      </c>
      <c r="F6" s="249" t="s">
        <v>1200</v>
      </c>
      <c r="G6" s="568">
        <v>238534</v>
      </c>
      <c r="H6" s="569"/>
      <c r="I6" s="530">
        <v>0</v>
      </c>
      <c r="J6" s="251">
        <v>45838</v>
      </c>
    </row>
    <row r="7" spans="1:10" ht="38.25" x14ac:dyDescent="0.2">
      <c r="A7" s="252" t="s">
        <v>3</v>
      </c>
      <c r="B7" s="566">
        <v>2024</v>
      </c>
      <c r="C7" s="252" t="s">
        <v>1201</v>
      </c>
      <c r="D7" s="250" t="s">
        <v>1194</v>
      </c>
      <c r="E7" s="567">
        <v>320000</v>
      </c>
      <c r="F7" s="249" t="s">
        <v>1051</v>
      </c>
      <c r="G7" s="568">
        <v>130000</v>
      </c>
      <c r="H7" s="569"/>
      <c r="I7" s="530">
        <v>0</v>
      </c>
      <c r="J7" s="251">
        <v>45838</v>
      </c>
    </row>
    <row r="8" spans="1:10" ht="38.25" x14ac:dyDescent="0.2">
      <c r="A8" s="252" t="s">
        <v>3</v>
      </c>
      <c r="B8" s="566">
        <v>2024</v>
      </c>
      <c r="C8" s="252" t="s">
        <v>1202</v>
      </c>
      <c r="D8" s="250" t="s">
        <v>1203</v>
      </c>
      <c r="E8" s="567">
        <v>1450000</v>
      </c>
      <c r="F8" s="249" t="s">
        <v>1051</v>
      </c>
      <c r="G8" s="568">
        <v>400000</v>
      </c>
      <c r="H8" s="569"/>
      <c r="I8" s="530">
        <v>0</v>
      </c>
      <c r="J8" s="251">
        <v>45838</v>
      </c>
    </row>
    <row r="9" spans="1:10" ht="25.5" x14ac:dyDescent="0.2">
      <c r="A9" s="252" t="s">
        <v>3</v>
      </c>
      <c r="B9" s="566">
        <v>2024</v>
      </c>
      <c r="C9" s="252" t="s">
        <v>1204</v>
      </c>
      <c r="D9" s="250" t="s">
        <v>8</v>
      </c>
      <c r="E9" s="567">
        <v>480000</v>
      </c>
      <c r="F9" s="249" t="s">
        <v>1205</v>
      </c>
      <c r="G9" s="568">
        <v>346913</v>
      </c>
      <c r="H9" s="569"/>
      <c r="I9" s="530">
        <v>0</v>
      </c>
      <c r="J9" s="251">
        <v>45838</v>
      </c>
    </row>
    <row r="10" spans="1:10" ht="25.5" x14ac:dyDescent="0.2">
      <c r="A10" s="252" t="s">
        <v>3</v>
      </c>
      <c r="B10" s="566">
        <v>2024</v>
      </c>
      <c r="C10" s="252" t="s">
        <v>1206</v>
      </c>
      <c r="D10" s="250" t="s">
        <v>8</v>
      </c>
      <c r="E10" s="567">
        <v>898975</v>
      </c>
      <c r="F10" s="249" t="s">
        <v>1051</v>
      </c>
      <c r="G10" s="568">
        <v>462868</v>
      </c>
      <c r="H10" s="569"/>
      <c r="I10" s="530">
        <v>0</v>
      </c>
      <c r="J10" s="251">
        <v>45838</v>
      </c>
    </row>
    <row r="11" spans="1:10" x14ac:dyDescent="0.2">
      <c r="A11" s="128"/>
      <c r="B11" s="128"/>
      <c r="C11" s="128"/>
      <c r="D11" s="125"/>
      <c r="E11" s="126"/>
      <c r="F11" s="124"/>
      <c r="G11" s="127"/>
      <c r="H11" s="5"/>
      <c r="I11" s="129"/>
      <c r="J11" s="7"/>
    </row>
    <row r="12" spans="1:10" ht="51" x14ac:dyDescent="0.2">
      <c r="A12" s="252" t="s">
        <v>3</v>
      </c>
      <c r="B12" s="566">
        <v>2023</v>
      </c>
      <c r="C12" s="252" t="s">
        <v>1108</v>
      </c>
      <c r="D12" s="250" t="s">
        <v>1109</v>
      </c>
      <c r="E12" s="567">
        <v>4636142</v>
      </c>
      <c r="F12" s="249" t="s">
        <v>1110</v>
      </c>
      <c r="G12" s="568">
        <v>400000</v>
      </c>
      <c r="H12" s="569"/>
      <c r="I12" s="530">
        <v>13357</v>
      </c>
      <c r="J12" s="251">
        <v>45473</v>
      </c>
    </row>
    <row r="13" spans="1:10" ht="25.5" x14ac:dyDescent="0.2">
      <c r="A13" s="252" t="s">
        <v>3</v>
      </c>
      <c r="B13" s="566">
        <v>2023</v>
      </c>
      <c r="C13" s="252" t="s">
        <v>1111</v>
      </c>
      <c r="D13" s="250" t="s">
        <v>8</v>
      </c>
      <c r="E13" s="567">
        <v>530303</v>
      </c>
      <c r="F13" s="249" t="s">
        <v>1051</v>
      </c>
      <c r="G13" s="568">
        <v>397000</v>
      </c>
      <c r="H13" s="569"/>
      <c r="I13" s="530">
        <v>0</v>
      </c>
      <c r="J13" s="251">
        <v>45838</v>
      </c>
    </row>
    <row r="14" spans="1:10" ht="38.25" x14ac:dyDescent="0.2">
      <c r="A14" s="252" t="s">
        <v>3</v>
      </c>
      <c r="B14" s="566">
        <v>2023</v>
      </c>
      <c r="C14" s="252" t="s">
        <v>1112</v>
      </c>
      <c r="D14" s="250" t="s">
        <v>1207</v>
      </c>
      <c r="E14" s="567">
        <v>1141920</v>
      </c>
      <c r="F14" s="249" t="s">
        <v>1051</v>
      </c>
      <c r="G14" s="568">
        <v>345357</v>
      </c>
      <c r="H14" s="569"/>
      <c r="I14" s="530">
        <v>0</v>
      </c>
      <c r="J14" s="251">
        <v>45838</v>
      </c>
    </row>
    <row r="15" spans="1:10" ht="25.5" x14ac:dyDescent="0.2">
      <c r="A15" s="252" t="s">
        <v>3</v>
      </c>
      <c r="B15" s="566">
        <v>2023</v>
      </c>
      <c r="C15" s="252" t="s">
        <v>1113</v>
      </c>
      <c r="D15" s="250" t="s">
        <v>8</v>
      </c>
      <c r="E15" s="567">
        <v>398318</v>
      </c>
      <c r="F15" s="249" t="s">
        <v>1051</v>
      </c>
      <c r="G15" s="568">
        <v>200000</v>
      </c>
      <c r="H15" s="569"/>
      <c r="I15" s="530">
        <v>0</v>
      </c>
      <c r="J15" s="251">
        <v>45838</v>
      </c>
    </row>
    <row r="16" spans="1:10" ht="38.25" x14ac:dyDescent="0.2">
      <c r="A16" s="252" t="s">
        <v>3</v>
      </c>
      <c r="B16" s="566">
        <v>2023</v>
      </c>
      <c r="C16" s="252" t="s">
        <v>1114</v>
      </c>
      <c r="D16" s="250" t="s">
        <v>1208</v>
      </c>
      <c r="E16" s="567">
        <v>359978</v>
      </c>
      <c r="F16" s="249" t="s">
        <v>1051</v>
      </c>
      <c r="G16" s="568">
        <v>200242</v>
      </c>
      <c r="H16" s="569" t="s">
        <v>1209</v>
      </c>
      <c r="I16" s="530">
        <v>177035</v>
      </c>
      <c r="J16" s="251">
        <v>45265</v>
      </c>
    </row>
    <row r="17" spans="1:10" ht="38.25" x14ac:dyDescent="0.2">
      <c r="A17" s="252" t="s">
        <v>3</v>
      </c>
      <c r="B17" s="566">
        <v>2023</v>
      </c>
      <c r="C17" s="252" t="s">
        <v>1115</v>
      </c>
      <c r="D17" s="250" t="s">
        <v>1210</v>
      </c>
      <c r="E17" s="567">
        <v>514000</v>
      </c>
      <c r="F17" s="249" t="s">
        <v>1053</v>
      </c>
      <c r="G17" s="568">
        <v>225000</v>
      </c>
      <c r="H17" s="569"/>
      <c r="I17" s="530">
        <v>0</v>
      </c>
      <c r="J17" s="251">
        <v>45838</v>
      </c>
    </row>
    <row r="18" spans="1:10" ht="38.25" x14ac:dyDescent="0.2">
      <c r="A18" s="252" t="s">
        <v>3</v>
      </c>
      <c r="B18" s="566">
        <v>2023</v>
      </c>
      <c r="C18" s="252" t="s">
        <v>1116</v>
      </c>
      <c r="D18" s="250" t="s">
        <v>1117</v>
      </c>
      <c r="E18" s="567">
        <v>1897000</v>
      </c>
      <c r="F18" s="249" t="s">
        <v>1118</v>
      </c>
      <c r="G18" s="568">
        <v>400000</v>
      </c>
      <c r="H18" s="569"/>
      <c r="I18" s="530">
        <v>380000</v>
      </c>
      <c r="J18" s="251">
        <v>45473</v>
      </c>
    </row>
    <row r="19" spans="1:10" ht="38.25" x14ac:dyDescent="0.2">
      <c r="A19" s="252" t="s">
        <v>3</v>
      </c>
      <c r="B19" s="566">
        <v>2023</v>
      </c>
      <c r="C19" s="252" t="s">
        <v>1119</v>
      </c>
      <c r="D19" s="250" t="s">
        <v>1211</v>
      </c>
      <c r="E19" s="567">
        <v>1073874</v>
      </c>
      <c r="F19" s="249" t="s">
        <v>1120</v>
      </c>
      <c r="G19" s="568">
        <v>581350</v>
      </c>
      <c r="H19" s="569"/>
      <c r="I19" s="530">
        <v>0</v>
      </c>
      <c r="J19" s="251">
        <v>45838</v>
      </c>
    </row>
    <row r="20" spans="1:10" x14ac:dyDescent="0.2">
      <c r="A20" s="128"/>
      <c r="B20" s="128"/>
      <c r="C20" s="128"/>
      <c r="D20" s="125"/>
      <c r="E20" s="126"/>
      <c r="F20" s="124"/>
      <c r="G20" s="127"/>
      <c r="H20" s="5"/>
      <c r="I20" s="129"/>
      <c r="J20" s="7"/>
    </row>
    <row r="21" spans="1:10" ht="43.9" customHeight="1" x14ac:dyDescent="0.2">
      <c r="A21" s="252" t="s">
        <v>3</v>
      </c>
      <c r="B21" s="566">
        <v>2022</v>
      </c>
      <c r="C21" s="252" t="s">
        <v>1050</v>
      </c>
      <c r="D21" s="252" t="s">
        <v>1212</v>
      </c>
      <c r="E21" s="567">
        <v>735000</v>
      </c>
      <c r="F21" s="249" t="s">
        <v>1051</v>
      </c>
      <c r="G21" s="568">
        <v>400000</v>
      </c>
      <c r="H21" s="569"/>
      <c r="I21" s="530">
        <v>400000</v>
      </c>
      <c r="J21" s="251">
        <v>45098</v>
      </c>
    </row>
    <row r="22" spans="1:10" ht="42" customHeight="1" x14ac:dyDescent="0.2">
      <c r="A22" s="252" t="s">
        <v>3</v>
      </c>
      <c r="B22" s="566">
        <v>2022</v>
      </c>
      <c r="C22" s="252" t="s">
        <v>1052</v>
      </c>
      <c r="D22" s="252" t="s">
        <v>1121</v>
      </c>
      <c r="E22" s="567">
        <v>674000</v>
      </c>
      <c r="F22" s="249" t="s">
        <v>1053</v>
      </c>
      <c r="G22" s="568">
        <v>384000</v>
      </c>
      <c r="H22" s="569"/>
      <c r="I22" s="530">
        <v>0</v>
      </c>
      <c r="J22" s="251">
        <v>45473</v>
      </c>
    </row>
    <row r="23" spans="1:10" ht="54.6" customHeight="1" x14ac:dyDescent="0.2">
      <c r="A23" s="252" t="s">
        <v>3</v>
      </c>
      <c r="B23" s="566">
        <v>2022</v>
      </c>
      <c r="C23" s="252" t="s">
        <v>1054</v>
      </c>
      <c r="D23" s="252" t="s">
        <v>1122</v>
      </c>
      <c r="E23" s="567">
        <v>1182371</v>
      </c>
      <c r="F23" s="249" t="s">
        <v>1055</v>
      </c>
      <c r="G23" s="568">
        <v>493595</v>
      </c>
      <c r="H23" s="569"/>
      <c r="I23" s="530">
        <v>0</v>
      </c>
      <c r="J23" s="251">
        <v>45473</v>
      </c>
    </row>
    <row r="24" spans="1:10" ht="53.1" customHeight="1" x14ac:dyDescent="0.2">
      <c r="A24" s="252" t="s">
        <v>3</v>
      </c>
      <c r="B24" s="566">
        <v>2022</v>
      </c>
      <c r="C24" s="252" t="s">
        <v>1123</v>
      </c>
      <c r="D24" s="252" t="s">
        <v>1124</v>
      </c>
      <c r="E24" s="567">
        <v>393000</v>
      </c>
      <c r="F24" s="249" t="s">
        <v>1056</v>
      </c>
      <c r="G24" s="568">
        <v>220080</v>
      </c>
      <c r="H24" s="569"/>
      <c r="I24" s="530">
        <v>187835</v>
      </c>
      <c r="J24" s="251">
        <v>45473</v>
      </c>
    </row>
    <row r="25" spans="1:10" x14ac:dyDescent="0.2">
      <c r="A25" s="128"/>
      <c r="B25" s="128"/>
      <c r="C25" s="128"/>
      <c r="D25" s="125"/>
      <c r="E25" s="126"/>
      <c r="F25" s="124"/>
      <c r="G25" s="127"/>
      <c r="H25" s="5"/>
      <c r="I25" s="129"/>
      <c r="J25" s="7"/>
    </row>
    <row r="26" spans="1:10" ht="45.6" customHeight="1" x14ac:dyDescent="0.2">
      <c r="A26" s="252" t="s">
        <v>3</v>
      </c>
      <c r="B26" s="566">
        <v>2021</v>
      </c>
      <c r="C26" s="252" t="s">
        <v>930</v>
      </c>
      <c r="D26" s="252" t="s">
        <v>1125</v>
      </c>
      <c r="E26" s="567">
        <v>515000</v>
      </c>
      <c r="F26" s="249" t="s">
        <v>931</v>
      </c>
      <c r="G26" s="568">
        <v>165000</v>
      </c>
      <c r="H26" s="570"/>
      <c r="I26" s="530">
        <v>7522</v>
      </c>
      <c r="J26" s="251">
        <v>45473</v>
      </c>
    </row>
    <row r="27" spans="1:10" ht="43.15" customHeight="1" x14ac:dyDescent="0.2">
      <c r="A27" s="252" t="s">
        <v>3</v>
      </c>
      <c r="B27" s="566">
        <v>2021</v>
      </c>
      <c r="C27" s="252" t="s">
        <v>932</v>
      </c>
      <c r="D27" s="252" t="s">
        <v>1213</v>
      </c>
      <c r="E27" s="571">
        <v>2231700</v>
      </c>
      <c r="F27" s="249" t="s">
        <v>891</v>
      </c>
      <c r="G27" s="568">
        <v>295060</v>
      </c>
      <c r="H27" s="572"/>
      <c r="I27" s="568">
        <v>295060</v>
      </c>
      <c r="J27" s="251">
        <v>45202</v>
      </c>
    </row>
    <row r="28" spans="1:10" ht="45.6" customHeight="1" x14ac:dyDescent="0.2">
      <c r="A28" s="252" t="s">
        <v>3</v>
      </c>
      <c r="B28" s="566">
        <v>2021</v>
      </c>
      <c r="C28" s="252" t="s">
        <v>933</v>
      </c>
      <c r="D28" s="252" t="s">
        <v>1214</v>
      </c>
      <c r="E28" s="573">
        <v>631800</v>
      </c>
      <c r="F28" s="249" t="s">
        <v>934</v>
      </c>
      <c r="G28" s="568">
        <v>161800</v>
      </c>
      <c r="H28" s="572"/>
      <c r="I28" s="568">
        <v>161800</v>
      </c>
      <c r="J28" s="251">
        <v>45134</v>
      </c>
    </row>
    <row r="29" spans="1:10" ht="43.15" customHeight="1" x14ac:dyDescent="0.2">
      <c r="A29" s="252" t="s">
        <v>3</v>
      </c>
      <c r="B29" s="566">
        <v>2021</v>
      </c>
      <c r="C29" s="254" t="s">
        <v>935</v>
      </c>
      <c r="D29" s="252" t="s">
        <v>1215</v>
      </c>
      <c r="E29" s="567">
        <v>669300</v>
      </c>
      <c r="F29" s="249" t="s">
        <v>936</v>
      </c>
      <c r="G29" s="568">
        <v>201618</v>
      </c>
      <c r="H29" s="572" t="s">
        <v>1216</v>
      </c>
      <c r="I29" s="568">
        <v>150028</v>
      </c>
      <c r="J29" s="251">
        <v>45202</v>
      </c>
    </row>
    <row r="30" spans="1:10" ht="42" customHeight="1" x14ac:dyDescent="0.2">
      <c r="A30" s="252" t="s">
        <v>3</v>
      </c>
      <c r="B30" s="566">
        <v>2021</v>
      </c>
      <c r="C30" s="252" t="s">
        <v>937</v>
      </c>
      <c r="D30" s="252" t="s">
        <v>1217</v>
      </c>
      <c r="E30" s="571">
        <v>867022</v>
      </c>
      <c r="F30" s="249" t="s">
        <v>938</v>
      </c>
      <c r="G30" s="256">
        <v>176522</v>
      </c>
      <c r="H30" s="572"/>
      <c r="I30" s="256">
        <v>176522</v>
      </c>
      <c r="J30" s="251">
        <v>45239</v>
      </c>
    </row>
    <row r="31" spans="1:10" x14ac:dyDescent="0.2">
      <c r="A31" s="128"/>
      <c r="B31" s="128"/>
      <c r="C31" s="128"/>
      <c r="D31" s="125"/>
      <c r="E31" s="126"/>
      <c r="F31" s="124"/>
      <c r="G31" s="127"/>
      <c r="H31" s="5"/>
      <c r="I31" s="129"/>
      <c r="J31" s="7"/>
    </row>
    <row r="32" spans="1:10" ht="42.6" customHeight="1" x14ac:dyDescent="0.2">
      <c r="A32" s="252" t="s">
        <v>3</v>
      </c>
      <c r="B32" s="253">
        <v>2020</v>
      </c>
      <c r="C32" s="254" t="s">
        <v>1057</v>
      </c>
      <c r="D32" s="250" t="s">
        <v>1218</v>
      </c>
      <c r="E32" s="255">
        <v>569000</v>
      </c>
      <c r="F32" s="249" t="s">
        <v>888</v>
      </c>
      <c r="G32" s="256">
        <v>392610</v>
      </c>
      <c r="H32" s="572" t="s">
        <v>1216</v>
      </c>
      <c r="I32" s="256">
        <v>308055</v>
      </c>
      <c r="J32" s="251">
        <v>44995</v>
      </c>
    </row>
    <row r="33" spans="1:10" ht="59.25" customHeight="1" x14ac:dyDescent="0.2">
      <c r="A33" s="252" t="s">
        <v>3</v>
      </c>
      <c r="B33" s="253">
        <v>2020</v>
      </c>
      <c r="C33" s="254" t="s">
        <v>889</v>
      </c>
      <c r="D33" s="250" t="s">
        <v>939</v>
      </c>
      <c r="E33" s="255">
        <v>1115136</v>
      </c>
      <c r="F33" s="249" t="s">
        <v>940</v>
      </c>
      <c r="G33" s="256">
        <v>375000</v>
      </c>
      <c r="H33" s="572"/>
      <c r="I33" s="530">
        <v>356190</v>
      </c>
      <c r="J33" s="251">
        <v>45473</v>
      </c>
    </row>
    <row r="34" spans="1:10" ht="38.25" x14ac:dyDescent="0.2">
      <c r="A34" s="252" t="s">
        <v>3</v>
      </c>
      <c r="B34" s="253">
        <v>2020</v>
      </c>
      <c r="C34" s="254" t="s">
        <v>890</v>
      </c>
      <c r="D34" s="250" t="s">
        <v>1126</v>
      </c>
      <c r="E34" s="255">
        <v>1077000</v>
      </c>
      <c r="F34" s="249" t="s">
        <v>891</v>
      </c>
      <c r="G34" s="256">
        <v>530000</v>
      </c>
      <c r="H34" s="572"/>
      <c r="I34" s="533">
        <v>530000</v>
      </c>
      <c r="J34" s="251">
        <v>44713</v>
      </c>
    </row>
    <row r="35" spans="1:10" ht="43.15" customHeight="1" x14ac:dyDescent="0.2">
      <c r="A35" s="252" t="s">
        <v>3</v>
      </c>
      <c r="B35" s="253">
        <v>2020</v>
      </c>
      <c r="C35" s="254" t="s">
        <v>892</v>
      </c>
      <c r="D35" s="250" t="s">
        <v>1219</v>
      </c>
      <c r="E35" s="255">
        <v>612356</v>
      </c>
      <c r="F35" s="249" t="s">
        <v>893</v>
      </c>
      <c r="G35" s="256">
        <v>202390</v>
      </c>
      <c r="H35" s="572"/>
      <c r="I35" s="530">
        <v>202390</v>
      </c>
      <c r="J35" s="251">
        <v>44887</v>
      </c>
    </row>
    <row r="36" spans="1:10" x14ac:dyDescent="0.2">
      <c r="A36" s="128"/>
      <c r="B36" s="128"/>
      <c r="C36" s="128"/>
      <c r="D36" s="125"/>
      <c r="E36" s="126"/>
      <c r="F36" s="124"/>
      <c r="G36" s="127"/>
      <c r="H36" s="5"/>
      <c r="I36" s="129"/>
      <c r="J36" s="7"/>
    </row>
    <row r="37" spans="1:10" ht="38.25" x14ac:dyDescent="0.2">
      <c r="A37" s="252" t="s">
        <v>3</v>
      </c>
      <c r="B37" s="253">
        <v>2019</v>
      </c>
      <c r="C37" s="254" t="s">
        <v>827</v>
      </c>
      <c r="D37" s="534" t="s">
        <v>1059</v>
      </c>
      <c r="E37" s="255">
        <v>850000</v>
      </c>
      <c r="F37" s="249" t="s">
        <v>828</v>
      </c>
      <c r="G37" s="256">
        <v>360000</v>
      </c>
      <c r="H37" s="572" t="s">
        <v>1127</v>
      </c>
      <c r="I37" s="530">
        <v>222318</v>
      </c>
      <c r="J37" s="251">
        <v>44229</v>
      </c>
    </row>
    <row r="38" spans="1:10" ht="56.25" customHeight="1" x14ac:dyDescent="0.2">
      <c r="A38" s="252" t="s">
        <v>3</v>
      </c>
      <c r="B38" s="253">
        <v>2019</v>
      </c>
      <c r="C38" s="254" t="s">
        <v>829</v>
      </c>
      <c r="D38" s="250" t="s">
        <v>1220</v>
      </c>
      <c r="E38" s="255">
        <v>531840</v>
      </c>
      <c r="F38" s="249" t="s">
        <v>830</v>
      </c>
      <c r="G38" s="256">
        <v>91100</v>
      </c>
      <c r="H38" s="574" t="s">
        <v>469</v>
      </c>
      <c r="I38" s="530">
        <v>91100</v>
      </c>
      <c r="J38" s="251">
        <v>45069</v>
      </c>
    </row>
    <row r="39" spans="1:10" ht="38.25" x14ac:dyDescent="0.2">
      <c r="A39" s="252" t="s">
        <v>3</v>
      </c>
      <c r="B39" s="253">
        <v>2019</v>
      </c>
      <c r="C39" s="254" t="s">
        <v>831</v>
      </c>
      <c r="D39" s="250" t="s">
        <v>941</v>
      </c>
      <c r="E39" s="255">
        <v>461000</v>
      </c>
      <c r="F39" s="249" t="s">
        <v>832</v>
      </c>
      <c r="G39" s="256">
        <v>230000</v>
      </c>
      <c r="H39" s="572"/>
      <c r="I39" s="530">
        <v>230000</v>
      </c>
      <c r="J39" s="251">
        <v>44166</v>
      </c>
    </row>
    <row r="40" spans="1:10" ht="38.25" x14ac:dyDescent="0.2">
      <c r="A40" s="252" t="s">
        <v>3</v>
      </c>
      <c r="B40" s="253">
        <v>2019</v>
      </c>
      <c r="C40" s="254" t="s">
        <v>833</v>
      </c>
      <c r="D40" s="250" t="s">
        <v>1060</v>
      </c>
      <c r="E40" s="255">
        <v>939000</v>
      </c>
      <c r="F40" s="249" t="s">
        <v>834</v>
      </c>
      <c r="G40" s="256">
        <v>300000</v>
      </c>
      <c r="H40" s="572"/>
      <c r="I40" s="533">
        <v>300000</v>
      </c>
      <c r="J40" s="251">
        <v>44548</v>
      </c>
    </row>
    <row r="41" spans="1:10" ht="54.75" customHeight="1" x14ac:dyDescent="0.2">
      <c r="A41" s="252" t="s">
        <v>3</v>
      </c>
      <c r="B41" s="253">
        <v>2019</v>
      </c>
      <c r="C41" s="254" t="s">
        <v>835</v>
      </c>
      <c r="D41" s="250" t="s">
        <v>1221</v>
      </c>
      <c r="E41" s="255">
        <v>1188000</v>
      </c>
      <c r="F41" s="249" t="s">
        <v>836</v>
      </c>
      <c r="G41" s="256">
        <v>328000</v>
      </c>
      <c r="H41" s="572" t="s">
        <v>1216</v>
      </c>
      <c r="I41" s="530">
        <v>210794</v>
      </c>
      <c r="J41" s="251">
        <v>44719</v>
      </c>
    </row>
    <row r="42" spans="1:10" x14ac:dyDescent="0.2">
      <c r="A42" s="128"/>
      <c r="B42" s="128"/>
      <c r="C42" s="128"/>
      <c r="D42" s="125"/>
      <c r="E42" s="126"/>
      <c r="F42" s="124"/>
      <c r="G42" s="127"/>
      <c r="H42" s="5"/>
      <c r="I42" s="129"/>
      <c r="J42" s="7"/>
    </row>
    <row r="43" spans="1:10" s="123" customFormat="1" ht="38.25" x14ac:dyDescent="0.2">
      <c r="A43" s="252" t="s">
        <v>3</v>
      </c>
      <c r="B43" s="253">
        <v>2018</v>
      </c>
      <c r="C43" s="254" t="s">
        <v>750</v>
      </c>
      <c r="D43" s="250" t="s">
        <v>894</v>
      </c>
      <c r="E43" s="255">
        <v>162482</v>
      </c>
      <c r="F43" s="249" t="s">
        <v>641</v>
      </c>
      <c r="G43" s="256">
        <v>113185</v>
      </c>
      <c r="H43" s="572"/>
      <c r="I43" s="530">
        <v>113185</v>
      </c>
      <c r="J43" s="251">
        <v>43566</v>
      </c>
    </row>
    <row r="44" spans="1:10" s="123" customFormat="1" ht="55.15" customHeight="1" x14ac:dyDescent="0.2">
      <c r="A44" s="252" t="s">
        <v>3</v>
      </c>
      <c r="B44" s="253">
        <v>2018</v>
      </c>
      <c r="C44" s="254" t="s">
        <v>751</v>
      </c>
      <c r="D44" s="250" t="s">
        <v>1222</v>
      </c>
      <c r="E44" s="255">
        <v>456000</v>
      </c>
      <c r="F44" s="249" t="s">
        <v>752</v>
      </c>
      <c r="G44" s="256">
        <v>250000</v>
      </c>
      <c r="H44" s="572"/>
      <c r="I44" s="530">
        <v>250000</v>
      </c>
      <c r="J44" s="251">
        <v>44798</v>
      </c>
    </row>
    <row r="45" spans="1:10" s="123" customFormat="1" ht="43.9" customHeight="1" x14ac:dyDescent="0.2">
      <c r="A45" s="252" t="s">
        <v>3</v>
      </c>
      <c r="B45" s="253">
        <v>2018</v>
      </c>
      <c r="C45" s="254" t="s">
        <v>753</v>
      </c>
      <c r="D45" s="250" t="s">
        <v>837</v>
      </c>
      <c r="E45" s="255">
        <v>1700000</v>
      </c>
      <c r="F45" s="249" t="s">
        <v>754</v>
      </c>
      <c r="G45" s="256">
        <v>400082</v>
      </c>
      <c r="H45" s="572" t="s">
        <v>1128</v>
      </c>
      <c r="I45" s="530">
        <v>0</v>
      </c>
      <c r="J45" s="251">
        <v>45473</v>
      </c>
    </row>
    <row r="46" spans="1:10" s="123" customFormat="1" ht="38.25" x14ac:dyDescent="0.2">
      <c r="A46" s="252" t="s">
        <v>3</v>
      </c>
      <c r="B46" s="253">
        <v>2018</v>
      </c>
      <c r="C46" s="254" t="s">
        <v>755</v>
      </c>
      <c r="D46" s="250" t="s">
        <v>942</v>
      </c>
      <c r="E46" s="255">
        <v>556000</v>
      </c>
      <c r="F46" s="249" t="s">
        <v>756</v>
      </c>
      <c r="G46" s="256">
        <v>366000</v>
      </c>
      <c r="H46" s="572"/>
      <c r="I46" s="530">
        <v>366000</v>
      </c>
      <c r="J46" s="251">
        <v>43958</v>
      </c>
    </row>
    <row r="47" spans="1:10" s="123" customFormat="1" ht="76.5" x14ac:dyDescent="0.2">
      <c r="A47" s="252" t="s">
        <v>3</v>
      </c>
      <c r="B47" s="253">
        <v>2018</v>
      </c>
      <c r="C47" s="254" t="s">
        <v>757</v>
      </c>
      <c r="D47" s="250" t="s">
        <v>894</v>
      </c>
      <c r="E47" s="255">
        <v>765490</v>
      </c>
      <c r="F47" s="249" t="s">
        <v>758</v>
      </c>
      <c r="G47" s="256">
        <v>139000</v>
      </c>
      <c r="H47" s="572"/>
      <c r="I47" s="530">
        <v>139000</v>
      </c>
      <c r="J47" s="251">
        <v>43963</v>
      </c>
    </row>
    <row r="48" spans="1:10" s="123" customFormat="1" x14ac:dyDescent="0.2">
      <c r="A48" s="128"/>
      <c r="B48" s="128"/>
      <c r="C48" s="128"/>
      <c r="D48" s="125"/>
      <c r="E48" s="126"/>
      <c r="F48" s="124"/>
      <c r="G48" s="127"/>
      <c r="H48" s="5"/>
      <c r="I48" s="129"/>
      <c r="J48" s="7"/>
    </row>
    <row r="49" spans="1:10" s="123" customFormat="1" ht="39.75" customHeight="1" x14ac:dyDescent="0.2">
      <c r="A49" s="252" t="s">
        <v>3</v>
      </c>
      <c r="B49" s="253">
        <v>2017</v>
      </c>
      <c r="C49" s="254" t="s">
        <v>623</v>
      </c>
      <c r="D49" s="250" t="s">
        <v>1061</v>
      </c>
      <c r="E49" s="531">
        <v>600000</v>
      </c>
      <c r="F49" s="249" t="s">
        <v>624</v>
      </c>
      <c r="G49" s="532">
        <v>250000</v>
      </c>
      <c r="H49" s="572"/>
      <c r="I49" s="530">
        <v>250000</v>
      </c>
      <c r="J49" s="251">
        <v>44362</v>
      </c>
    </row>
    <row r="50" spans="1:10" s="123" customFormat="1" ht="43.9" customHeight="1" x14ac:dyDescent="0.2">
      <c r="A50" s="252" t="s">
        <v>3</v>
      </c>
      <c r="B50" s="253">
        <v>2017</v>
      </c>
      <c r="C50" s="254" t="s">
        <v>625</v>
      </c>
      <c r="D50" s="250" t="s">
        <v>838</v>
      </c>
      <c r="E50" s="531">
        <v>753000</v>
      </c>
      <c r="F50" s="249" t="s">
        <v>626</v>
      </c>
      <c r="G50" s="532">
        <v>300000</v>
      </c>
      <c r="H50" s="572"/>
      <c r="I50" s="532">
        <v>300000</v>
      </c>
      <c r="J50" s="251">
        <v>43281</v>
      </c>
    </row>
    <row r="51" spans="1:10" s="123" customFormat="1" ht="42.6" customHeight="1" x14ac:dyDescent="0.2">
      <c r="A51" s="252" t="s">
        <v>3</v>
      </c>
      <c r="B51" s="253">
        <v>2017</v>
      </c>
      <c r="C51" s="254" t="s">
        <v>627</v>
      </c>
      <c r="D51" s="250" t="s">
        <v>1223</v>
      </c>
      <c r="E51" s="531">
        <v>3225917</v>
      </c>
      <c r="F51" s="249" t="s">
        <v>628</v>
      </c>
      <c r="G51" s="532">
        <v>650000</v>
      </c>
      <c r="H51" s="572"/>
      <c r="I51" s="530">
        <v>650000</v>
      </c>
      <c r="J51" s="251">
        <v>45001</v>
      </c>
    </row>
    <row r="52" spans="1:10" s="123" customFormat="1" ht="42" customHeight="1" x14ac:dyDescent="0.2">
      <c r="A52" s="252" t="s">
        <v>3</v>
      </c>
      <c r="B52" s="253">
        <v>2017</v>
      </c>
      <c r="C52" s="254" t="s">
        <v>629</v>
      </c>
      <c r="D52" s="250" t="s">
        <v>1058</v>
      </c>
      <c r="E52" s="531">
        <v>866667</v>
      </c>
      <c r="F52" s="249" t="s">
        <v>630</v>
      </c>
      <c r="G52" s="532">
        <v>650000</v>
      </c>
      <c r="H52" s="572"/>
      <c r="I52" s="530">
        <v>411241</v>
      </c>
      <c r="J52" s="251">
        <v>45473</v>
      </c>
    </row>
    <row r="53" spans="1:10" s="123" customFormat="1" ht="63.75" x14ac:dyDescent="0.2">
      <c r="A53" s="252" t="s">
        <v>3</v>
      </c>
      <c r="B53" s="253">
        <v>2017</v>
      </c>
      <c r="C53" s="254" t="s">
        <v>631</v>
      </c>
      <c r="D53" s="250" t="s">
        <v>943</v>
      </c>
      <c r="E53" s="531">
        <v>1288380</v>
      </c>
      <c r="F53" s="249" t="s">
        <v>632</v>
      </c>
      <c r="G53" s="532">
        <v>664678</v>
      </c>
      <c r="H53" s="572"/>
      <c r="I53" s="530">
        <v>664678</v>
      </c>
      <c r="J53" s="251">
        <v>44131</v>
      </c>
    </row>
    <row r="54" spans="1:10" s="123" customFormat="1" ht="16.7" customHeight="1" x14ac:dyDescent="0.2">
      <c r="A54" s="128"/>
      <c r="B54" s="128"/>
      <c r="C54" s="128"/>
      <c r="D54" s="125"/>
      <c r="E54" s="126"/>
      <c r="F54" s="124"/>
      <c r="G54" s="127"/>
      <c r="H54" s="5"/>
      <c r="I54" s="129"/>
      <c r="J54" s="7"/>
    </row>
    <row r="55" spans="1:10" s="123" customFormat="1" ht="41.45" customHeight="1" x14ac:dyDescent="0.2">
      <c r="A55" s="252" t="s">
        <v>3</v>
      </c>
      <c r="B55" s="253">
        <v>2016</v>
      </c>
      <c r="C55" s="254" t="s">
        <v>488</v>
      </c>
      <c r="D55" s="250" t="s">
        <v>839</v>
      </c>
      <c r="E55" s="531">
        <v>1209000</v>
      </c>
      <c r="F55" s="249" t="s">
        <v>633</v>
      </c>
      <c r="G55" s="532">
        <v>600000</v>
      </c>
      <c r="H55" s="572"/>
      <c r="I55" s="530">
        <v>600000</v>
      </c>
      <c r="J55" s="251">
        <v>43281</v>
      </c>
    </row>
    <row r="56" spans="1:10" s="123" customFormat="1" ht="38.25" x14ac:dyDescent="0.2">
      <c r="A56" s="252" t="s">
        <v>3</v>
      </c>
      <c r="B56" s="253">
        <v>2016</v>
      </c>
      <c r="C56" s="254" t="s">
        <v>489</v>
      </c>
      <c r="D56" s="250" t="s">
        <v>840</v>
      </c>
      <c r="E56" s="531">
        <v>850000</v>
      </c>
      <c r="F56" s="249" t="s">
        <v>634</v>
      </c>
      <c r="G56" s="532">
        <v>398500</v>
      </c>
      <c r="H56" s="572"/>
      <c r="I56" s="530">
        <v>398500</v>
      </c>
      <c r="J56" s="251">
        <v>43281</v>
      </c>
    </row>
    <row r="57" spans="1:10" s="123" customFormat="1" ht="38.25" x14ac:dyDescent="0.2">
      <c r="A57" s="252" t="s">
        <v>3</v>
      </c>
      <c r="B57" s="253">
        <v>2016</v>
      </c>
      <c r="C57" s="254" t="s">
        <v>490</v>
      </c>
      <c r="D57" s="250" t="s">
        <v>759</v>
      </c>
      <c r="E57" s="531">
        <v>4321590</v>
      </c>
      <c r="F57" s="249" t="s">
        <v>635</v>
      </c>
      <c r="G57" s="532">
        <v>726344</v>
      </c>
      <c r="H57" s="572" t="s">
        <v>760</v>
      </c>
      <c r="I57" s="530">
        <f>726344+46645</f>
        <v>772989</v>
      </c>
      <c r="J57" s="251">
        <v>44047</v>
      </c>
    </row>
    <row r="58" spans="1:10" s="123" customFormat="1" ht="38.25" x14ac:dyDescent="0.2">
      <c r="A58" s="252" t="s">
        <v>3</v>
      </c>
      <c r="B58" s="253">
        <v>2016</v>
      </c>
      <c r="C58" s="254" t="s">
        <v>1129</v>
      </c>
      <c r="D58" s="250" t="s">
        <v>759</v>
      </c>
      <c r="E58" s="531">
        <v>296400</v>
      </c>
      <c r="F58" s="249" t="s">
        <v>636</v>
      </c>
      <c r="G58" s="532">
        <v>222300</v>
      </c>
      <c r="H58" s="572" t="s">
        <v>944</v>
      </c>
      <c r="I58" s="530">
        <v>197851</v>
      </c>
      <c r="J58" s="251">
        <v>42916</v>
      </c>
    </row>
    <row r="59" spans="1:10" s="123" customFormat="1" ht="41.45" customHeight="1" x14ac:dyDescent="0.2">
      <c r="A59" s="252" t="s">
        <v>3</v>
      </c>
      <c r="B59" s="253">
        <v>2016</v>
      </c>
      <c r="C59" s="254" t="s">
        <v>491</v>
      </c>
      <c r="D59" s="250" t="s">
        <v>492</v>
      </c>
      <c r="E59" s="531">
        <v>1200100</v>
      </c>
      <c r="F59" s="249" t="s">
        <v>637</v>
      </c>
      <c r="G59" s="532">
        <v>749501</v>
      </c>
      <c r="H59" s="572"/>
      <c r="I59" s="530">
        <v>707236</v>
      </c>
      <c r="J59" s="251">
        <v>45473</v>
      </c>
    </row>
    <row r="60" spans="1:10" s="123" customFormat="1" ht="38.25" x14ac:dyDescent="0.2">
      <c r="A60" s="252" t="s">
        <v>3</v>
      </c>
      <c r="B60" s="253">
        <v>2016</v>
      </c>
      <c r="C60" s="254" t="s">
        <v>493</v>
      </c>
      <c r="D60" s="250" t="s">
        <v>759</v>
      </c>
      <c r="E60" s="531">
        <v>1136000</v>
      </c>
      <c r="F60" s="249" t="s">
        <v>638</v>
      </c>
      <c r="G60" s="532">
        <v>750000</v>
      </c>
      <c r="H60" s="572"/>
      <c r="I60" s="530">
        <v>750000</v>
      </c>
      <c r="J60" s="251">
        <v>43741</v>
      </c>
    </row>
    <row r="61" spans="1:10" s="123" customFormat="1" x14ac:dyDescent="0.2">
      <c r="A61" s="128"/>
      <c r="B61" s="128"/>
      <c r="C61" s="128"/>
      <c r="D61" s="125"/>
      <c r="E61" s="126"/>
      <c r="F61" s="124"/>
      <c r="G61" s="127"/>
      <c r="H61" s="5"/>
      <c r="I61" s="129"/>
      <c r="J61" s="7"/>
    </row>
    <row r="62" spans="1:10" s="123" customFormat="1" ht="38.25" x14ac:dyDescent="0.2">
      <c r="A62" s="257" t="s">
        <v>3</v>
      </c>
      <c r="B62" s="253">
        <v>2015</v>
      </c>
      <c r="C62" s="254" t="s">
        <v>431</v>
      </c>
      <c r="D62" s="250" t="s">
        <v>494</v>
      </c>
      <c r="E62" s="531">
        <v>2109860</v>
      </c>
      <c r="F62" s="249" t="s">
        <v>639</v>
      </c>
      <c r="G62" s="532">
        <v>782500</v>
      </c>
      <c r="H62" s="572"/>
      <c r="I62" s="530">
        <v>782500</v>
      </c>
      <c r="J62" s="258">
        <v>42061</v>
      </c>
    </row>
    <row r="63" spans="1:10" s="123" customFormat="1" ht="38.25" x14ac:dyDescent="0.2">
      <c r="A63" s="257" t="s">
        <v>3</v>
      </c>
      <c r="B63" s="253">
        <v>2015</v>
      </c>
      <c r="C63" s="254" t="s">
        <v>432</v>
      </c>
      <c r="D63" s="250" t="s">
        <v>640</v>
      </c>
      <c r="E63" s="531">
        <v>214542</v>
      </c>
      <c r="F63" s="249" t="s">
        <v>641</v>
      </c>
      <c r="G63" s="532">
        <v>160906</v>
      </c>
      <c r="H63" s="572"/>
      <c r="I63" s="530">
        <v>160906</v>
      </c>
      <c r="J63" s="258">
        <v>42551</v>
      </c>
    </row>
    <row r="64" spans="1:10" s="123" customFormat="1" ht="38.25" x14ac:dyDescent="0.2">
      <c r="A64" s="257" t="s">
        <v>3</v>
      </c>
      <c r="B64" s="253">
        <v>2015</v>
      </c>
      <c r="C64" s="254" t="s">
        <v>433</v>
      </c>
      <c r="D64" s="250" t="s">
        <v>761</v>
      </c>
      <c r="E64" s="531">
        <v>299250</v>
      </c>
      <c r="F64" s="249" t="s">
        <v>21</v>
      </c>
      <c r="G64" s="532">
        <v>224437</v>
      </c>
      <c r="H64" s="572"/>
      <c r="I64" s="530">
        <v>224437</v>
      </c>
      <c r="J64" s="258">
        <v>42916</v>
      </c>
    </row>
    <row r="65" spans="1:10" s="123" customFormat="1" ht="38.25" x14ac:dyDescent="0.2">
      <c r="A65" s="257" t="s">
        <v>3</v>
      </c>
      <c r="B65" s="253">
        <v>2015</v>
      </c>
      <c r="C65" s="254" t="s">
        <v>1130</v>
      </c>
      <c r="D65" s="250" t="s">
        <v>762</v>
      </c>
      <c r="E65" s="531">
        <v>1690000</v>
      </c>
      <c r="F65" s="249" t="s">
        <v>434</v>
      </c>
      <c r="G65" s="532">
        <v>340000</v>
      </c>
      <c r="H65" s="572" t="s">
        <v>1131</v>
      </c>
      <c r="I65" s="530">
        <v>257045.57</v>
      </c>
      <c r="J65" s="258">
        <v>42719</v>
      </c>
    </row>
    <row r="66" spans="1:10" s="123" customFormat="1" ht="38.25" x14ac:dyDescent="0.2">
      <c r="A66" s="257" t="s">
        <v>3</v>
      </c>
      <c r="B66" s="253">
        <v>2015</v>
      </c>
      <c r="C66" s="254" t="s">
        <v>435</v>
      </c>
      <c r="D66" s="250" t="s">
        <v>842</v>
      </c>
      <c r="E66" s="531">
        <v>605333</v>
      </c>
      <c r="F66" s="249" t="s">
        <v>641</v>
      </c>
      <c r="G66" s="532">
        <v>454000</v>
      </c>
      <c r="H66" s="572" t="s">
        <v>760</v>
      </c>
      <c r="I66" s="530">
        <f>454000-46645</f>
        <v>407355</v>
      </c>
      <c r="J66" s="258">
        <v>43341</v>
      </c>
    </row>
    <row r="67" spans="1:10" s="123" customFormat="1" ht="38.25" x14ac:dyDescent="0.2">
      <c r="A67" s="257" t="s">
        <v>3</v>
      </c>
      <c r="B67" s="253">
        <v>2015</v>
      </c>
      <c r="C67" s="254" t="s">
        <v>436</v>
      </c>
      <c r="D67" s="250" t="s">
        <v>642</v>
      </c>
      <c r="E67" s="531">
        <v>395000</v>
      </c>
      <c r="F67" s="249" t="s">
        <v>643</v>
      </c>
      <c r="G67" s="532">
        <v>296250</v>
      </c>
      <c r="H67" s="572"/>
      <c r="I67" s="530">
        <v>296250</v>
      </c>
      <c r="J67" s="258">
        <v>42551</v>
      </c>
    </row>
    <row r="68" spans="1:10" s="123" customFormat="1" ht="38.25" x14ac:dyDescent="0.2">
      <c r="A68" s="257" t="s">
        <v>3</v>
      </c>
      <c r="B68" s="253">
        <v>2015</v>
      </c>
      <c r="C68" s="254" t="s">
        <v>437</v>
      </c>
      <c r="D68" s="250" t="s">
        <v>763</v>
      </c>
      <c r="E68" s="531">
        <v>1335000</v>
      </c>
      <c r="F68" s="249" t="s">
        <v>644</v>
      </c>
      <c r="G68" s="532">
        <v>775000</v>
      </c>
      <c r="H68" s="572"/>
      <c r="I68" s="530">
        <v>775000</v>
      </c>
      <c r="J68" s="258">
        <v>42376</v>
      </c>
    </row>
    <row r="69" spans="1:10" s="123" customFormat="1" ht="38.25" x14ac:dyDescent="0.2">
      <c r="A69" s="257" t="s">
        <v>3</v>
      </c>
      <c r="B69" s="253">
        <v>2015</v>
      </c>
      <c r="C69" s="254" t="s">
        <v>1132</v>
      </c>
      <c r="D69" s="250" t="s">
        <v>895</v>
      </c>
      <c r="E69" s="531">
        <v>1066590</v>
      </c>
      <c r="F69" s="249" t="s">
        <v>645</v>
      </c>
      <c r="G69" s="532">
        <v>500000</v>
      </c>
      <c r="H69" s="572" t="s">
        <v>771</v>
      </c>
      <c r="I69" s="530">
        <v>500000</v>
      </c>
      <c r="J69" s="258">
        <v>43829</v>
      </c>
    </row>
    <row r="70" spans="1:10" s="123" customFormat="1" ht="38.25" x14ac:dyDescent="0.2">
      <c r="A70" s="257" t="s">
        <v>3</v>
      </c>
      <c r="B70" s="253">
        <v>2015</v>
      </c>
      <c r="C70" s="254" t="s">
        <v>1133</v>
      </c>
      <c r="D70" s="250" t="s">
        <v>843</v>
      </c>
      <c r="E70" s="531">
        <v>862853</v>
      </c>
      <c r="F70" s="249" t="s">
        <v>646</v>
      </c>
      <c r="G70" s="532">
        <v>647140</v>
      </c>
      <c r="H70" s="572" t="s">
        <v>1131</v>
      </c>
      <c r="I70" s="530">
        <v>631947.12</v>
      </c>
      <c r="J70" s="258">
        <v>43281</v>
      </c>
    </row>
    <row r="71" spans="1:10" s="123" customFormat="1" ht="38.25" x14ac:dyDescent="0.2">
      <c r="A71" s="257" t="s">
        <v>3</v>
      </c>
      <c r="B71" s="253">
        <v>2015</v>
      </c>
      <c r="C71" s="254" t="s">
        <v>1134</v>
      </c>
      <c r="D71" s="250" t="s">
        <v>844</v>
      </c>
      <c r="E71" s="531">
        <v>1369575</v>
      </c>
      <c r="F71" s="249" t="s">
        <v>438</v>
      </c>
      <c r="G71" s="532">
        <v>579074</v>
      </c>
      <c r="H71" s="572" t="s">
        <v>1131</v>
      </c>
      <c r="I71" s="530">
        <v>282679.69</v>
      </c>
      <c r="J71" s="258">
        <v>43281</v>
      </c>
    </row>
    <row r="72" spans="1:10" s="123" customFormat="1" ht="38.25" x14ac:dyDescent="0.2">
      <c r="A72" s="257" t="s">
        <v>3</v>
      </c>
      <c r="B72" s="253">
        <v>2015</v>
      </c>
      <c r="C72" s="254" t="s">
        <v>439</v>
      </c>
      <c r="D72" s="250" t="s">
        <v>1224</v>
      </c>
      <c r="E72" s="531">
        <v>933333</v>
      </c>
      <c r="F72" s="249" t="s">
        <v>647</v>
      </c>
      <c r="G72" s="532">
        <v>700000</v>
      </c>
      <c r="H72" s="572" t="s">
        <v>1128</v>
      </c>
      <c r="I72" s="530">
        <v>700000</v>
      </c>
      <c r="J72" s="258">
        <v>44755</v>
      </c>
    </row>
    <row r="73" spans="1:10" s="123" customFormat="1" ht="38.25" x14ac:dyDescent="0.2">
      <c r="A73" s="257" t="s">
        <v>3</v>
      </c>
      <c r="B73" s="253">
        <v>2015</v>
      </c>
      <c r="C73" s="254" t="s">
        <v>440</v>
      </c>
      <c r="D73" s="250" t="s">
        <v>765</v>
      </c>
      <c r="E73" s="531">
        <v>75000</v>
      </c>
      <c r="F73" s="249" t="s">
        <v>441</v>
      </c>
      <c r="G73" s="532">
        <v>55000</v>
      </c>
      <c r="H73" s="572"/>
      <c r="I73" s="530">
        <v>55000</v>
      </c>
      <c r="J73" s="258">
        <v>42913</v>
      </c>
    </row>
    <row r="74" spans="1:10" s="123" customFormat="1" ht="38.25" x14ac:dyDescent="0.2">
      <c r="A74" s="257" t="s">
        <v>3</v>
      </c>
      <c r="B74" s="253">
        <v>2015</v>
      </c>
      <c r="C74" s="254" t="s">
        <v>1135</v>
      </c>
      <c r="D74" s="250" t="s">
        <v>766</v>
      </c>
      <c r="E74" s="531">
        <v>3740000</v>
      </c>
      <c r="F74" s="249" t="s">
        <v>648</v>
      </c>
      <c r="G74" s="532">
        <v>500000</v>
      </c>
      <c r="H74" s="572" t="s">
        <v>771</v>
      </c>
      <c r="I74" s="530">
        <v>500000</v>
      </c>
      <c r="J74" s="258">
        <v>42746</v>
      </c>
    </row>
    <row r="75" spans="1:10" s="123" customFormat="1" x14ac:dyDescent="0.2">
      <c r="A75" s="128"/>
      <c r="B75" s="128"/>
      <c r="C75" s="128"/>
      <c r="D75" s="125"/>
      <c r="E75" s="126"/>
      <c r="F75" s="124"/>
      <c r="G75" s="127"/>
      <c r="H75" s="5"/>
      <c r="I75" s="129"/>
      <c r="J75" s="7"/>
    </row>
    <row r="76" spans="1:10" s="123" customFormat="1" ht="38.25" x14ac:dyDescent="0.2">
      <c r="A76" s="257" t="s">
        <v>3</v>
      </c>
      <c r="B76" s="253">
        <v>2014</v>
      </c>
      <c r="C76" s="254" t="s">
        <v>442</v>
      </c>
      <c r="D76" s="250" t="s">
        <v>443</v>
      </c>
      <c r="E76" s="531">
        <v>3065000</v>
      </c>
      <c r="F76" s="249" t="s">
        <v>361</v>
      </c>
      <c r="G76" s="532">
        <v>782500</v>
      </c>
      <c r="H76" s="572"/>
      <c r="I76" s="530">
        <v>782500</v>
      </c>
      <c r="J76" s="258">
        <v>41760</v>
      </c>
    </row>
    <row r="77" spans="1:10" s="123" customFormat="1" ht="38.25" x14ac:dyDescent="0.2">
      <c r="A77" s="257" t="s">
        <v>3</v>
      </c>
      <c r="B77" s="253">
        <v>2014</v>
      </c>
      <c r="C77" s="254" t="s">
        <v>362</v>
      </c>
      <c r="D77" s="250" t="s">
        <v>649</v>
      </c>
      <c r="E77" s="531">
        <v>722275</v>
      </c>
      <c r="F77" s="249" t="s">
        <v>650</v>
      </c>
      <c r="G77" s="532">
        <v>260774</v>
      </c>
      <c r="H77" s="572"/>
      <c r="I77" s="530">
        <v>260774</v>
      </c>
      <c r="J77" s="251">
        <v>42551</v>
      </c>
    </row>
    <row r="78" spans="1:10" s="123" customFormat="1" ht="42.6" customHeight="1" x14ac:dyDescent="0.2">
      <c r="A78" s="259" t="s">
        <v>3</v>
      </c>
      <c r="B78" s="253">
        <v>2014</v>
      </c>
      <c r="C78" s="254" t="s">
        <v>363</v>
      </c>
      <c r="D78" s="250" t="s">
        <v>444</v>
      </c>
      <c r="E78" s="531">
        <v>1604512</v>
      </c>
      <c r="F78" s="249" t="s">
        <v>651</v>
      </c>
      <c r="G78" s="532">
        <v>380265</v>
      </c>
      <c r="H78" s="572"/>
      <c r="I78" s="530">
        <v>93090</v>
      </c>
      <c r="J78" s="251">
        <v>45473</v>
      </c>
    </row>
    <row r="79" spans="1:10" s="123" customFormat="1" ht="42" customHeight="1" x14ac:dyDescent="0.2">
      <c r="A79" s="257" t="s">
        <v>3</v>
      </c>
      <c r="B79" s="253">
        <v>2014</v>
      </c>
      <c r="C79" s="254" t="s">
        <v>364</v>
      </c>
      <c r="D79" s="250" t="s">
        <v>1225</v>
      </c>
      <c r="E79" s="531">
        <v>650000</v>
      </c>
      <c r="F79" s="249" t="s">
        <v>365</v>
      </c>
      <c r="G79" s="532">
        <v>487500</v>
      </c>
      <c r="H79" s="572"/>
      <c r="I79" s="530">
        <v>487500</v>
      </c>
      <c r="J79" s="251">
        <v>45112</v>
      </c>
    </row>
    <row r="80" spans="1:10" s="123" customFormat="1" ht="38.25" x14ac:dyDescent="0.2">
      <c r="A80" s="257" t="s">
        <v>3</v>
      </c>
      <c r="B80" s="253">
        <v>2014</v>
      </c>
      <c r="C80" s="254" t="s">
        <v>366</v>
      </c>
      <c r="D80" s="250" t="s">
        <v>652</v>
      </c>
      <c r="E80" s="531">
        <v>1375694</v>
      </c>
      <c r="F80" s="249" t="s">
        <v>367</v>
      </c>
      <c r="G80" s="532">
        <v>775000</v>
      </c>
      <c r="H80" s="572"/>
      <c r="I80" s="530">
        <v>775000</v>
      </c>
      <c r="J80" s="251">
        <v>42551</v>
      </c>
    </row>
    <row r="81" spans="1:10" s="123" customFormat="1" ht="38.25" x14ac:dyDescent="0.2">
      <c r="A81" s="257" t="s">
        <v>3</v>
      </c>
      <c r="B81" s="253">
        <v>2014</v>
      </c>
      <c r="C81" s="254" t="s">
        <v>368</v>
      </c>
      <c r="D81" s="250" t="s">
        <v>767</v>
      </c>
      <c r="E81" s="531">
        <v>1017000</v>
      </c>
      <c r="F81" s="249" t="s">
        <v>653</v>
      </c>
      <c r="G81" s="532">
        <v>318644</v>
      </c>
      <c r="H81" s="572"/>
      <c r="I81" s="530">
        <v>318644</v>
      </c>
      <c r="J81" s="251">
        <v>42878</v>
      </c>
    </row>
    <row r="82" spans="1:10" s="123" customFormat="1" ht="38.25" x14ac:dyDescent="0.2">
      <c r="A82" s="257" t="s">
        <v>3</v>
      </c>
      <c r="B82" s="253">
        <v>2014</v>
      </c>
      <c r="C82" s="254" t="s">
        <v>369</v>
      </c>
      <c r="D82" s="250" t="s">
        <v>654</v>
      </c>
      <c r="E82" s="531">
        <v>521479</v>
      </c>
      <c r="F82" s="249" t="s">
        <v>370</v>
      </c>
      <c r="G82" s="532">
        <v>371479</v>
      </c>
      <c r="H82" s="572"/>
      <c r="I82" s="530">
        <v>371479</v>
      </c>
      <c r="J82" s="251">
        <v>42551</v>
      </c>
    </row>
    <row r="83" spans="1:10" s="123" customFormat="1" ht="42.6" customHeight="1" x14ac:dyDescent="0.2">
      <c r="A83" s="257" t="s">
        <v>3</v>
      </c>
      <c r="B83" s="253">
        <v>2014</v>
      </c>
      <c r="C83" s="254" t="s">
        <v>371</v>
      </c>
      <c r="D83" s="250" t="s">
        <v>896</v>
      </c>
      <c r="E83" s="531">
        <v>290000</v>
      </c>
      <c r="F83" s="249" t="s">
        <v>372</v>
      </c>
      <c r="G83" s="532">
        <v>92897</v>
      </c>
      <c r="H83" s="572" t="s">
        <v>1216</v>
      </c>
      <c r="I83" s="530">
        <v>92879.59</v>
      </c>
      <c r="J83" s="251">
        <v>43676</v>
      </c>
    </row>
    <row r="84" spans="1:10" s="123" customFormat="1" x14ac:dyDescent="0.2">
      <c r="A84" s="128"/>
      <c r="B84" s="128"/>
      <c r="C84" s="128"/>
      <c r="D84" s="125"/>
      <c r="E84" s="126"/>
      <c r="F84" s="124"/>
      <c r="G84" s="127"/>
      <c r="H84" s="5"/>
      <c r="I84" s="129"/>
      <c r="J84" s="7"/>
    </row>
    <row r="85" spans="1:10" s="123" customFormat="1" ht="38.25" x14ac:dyDescent="0.2">
      <c r="A85" s="257" t="s">
        <v>3</v>
      </c>
      <c r="B85" s="260">
        <v>2013</v>
      </c>
      <c r="C85" s="249" t="s">
        <v>86</v>
      </c>
      <c r="D85" s="250" t="s">
        <v>495</v>
      </c>
      <c r="E85" s="531">
        <v>125800</v>
      </c>
      <c r="F85" s="249" t="s">
        <v>655</v>
      </c>
      <c r="G85" s="532">
        <v>78000</v>
      </c>
      <c r="H85" s="575"/>
      <c r="I85" s="530">
        <v>78000</v>
      </c>
      <c r="J85" s="258">
        <v>42233</v>
      </c>
    </row>
    <row r="86" spans="1:10" s="123" customFormat="1" ht="38.25" x14ac:dyDescent="0.2">
      <c r="A86" s="257" t="s">
        <v>3</v>
      </c>
      <c r="B86" s="260">
        <v>2013</v>
      </c>
      <c r="C86" s="249" t="s">
        <v>66</v>
      </c>
      <c r="D86" s="250" t="s">
        <v>496</v>
      </c>
      <c r="E86" s="531">
        <v>535544</v>
      </c>
      <c r="F86" s="249" t="s">
        <v>80</v>
      </c>
      <c r="G86" s="532">
        <v>400000</v>
      </c>
      <c r="H86" s="575"/>
      <c r="I86" s="530">
        <v>400000</v>
      </c>
      <c r="J86" s="258">
        <v>42130</v>
      </c>
    </row>
    <row r="87" spans="1:10" s="123" customFormat="1" ht="51" x14ac:dyDescent="0.2">
      <c r="A87" s="257" t="s">
        <v>3</v>
      </c>
      <c r="B87" s="260">
        <v>2013</v>
      </c>
      <c r="C87" s="249" t="s">
        <v>87</v>
      </c>
      <c r="D87" s="250" t="s">
        <v>768</v>
      </c>
      <c r="E87" s="531">
        <v>1190931</v>
      </c>
      <c r="F87" s="249" t="s">
        <v>656</v>
      </c>
      <c r="G87" s="532">
        <v>700000</v>
      </c>
      <c r="H87" s="575"/>
      <c r="I87" s="531">
        <v>700000</v>
      </c>
      <c r="J87" s="251">
        <v>42978</v>
      </c>
    </row>
    <row r="88" spans="1:10" s="123" customFormat="1" ht="38.25" x14ac:dyDescent="0.2">
      <c r="A88" s="257" t="s">
        <v>3</v>
      </c>
      <c r="B88" s="260">
        <v>2013</v>
      </c>
      <c r="C88" s="249" t="s">
        <v>71</v>
      </c>
      <c r="D88" s="250" t="s">
        <v>640</v>
      </c>
      <c r="E88" s="531">
        <v>2100000</v>
      </c>
      <c r="F88" s="249" t="s">
        <v>657</v>
      </c>
      <c r="G88" s="532">
        <v>441000</v>
      </c>
      <c r="H88" s="575"/>
      <c r="I88" s="531">
        <v>441000</v>
      </c>
      <c r="J88" s="251">
        <v>42762</v>
      </c>
    </row>
    <row r="89" spans="1:10" s="123" customFormat="1" ht="38.25" x14ac:dyDescent="0.2">
      <c r="A89" s="257" t="s">
        <v>3</v>
      </c>
      <c r="B89" s="260">
        <v>2013</v>
      </c>
      <c r="C89" s="249" t="s">
        <v>67</v>
      </c>
      <c r="D89" s="250" t="s">
        <v>496</v>
      </c>
      <c r="E89" s="531">
        <v>227333</v>
      </c>
      <c r="F89" s="249" t="s">
        <v>81</v>
      </c>
      <c r="G89" s="532">
        <v>170500</v>
      </c>
      <c r="H89" s="575"/>
      <c r="I89" s="531">
        <v>170500</v>
      </c>
      <c r="J89" s="251">
        <v>42551</v>
      </c>
    </row>
    <row r="90" spans="1:10" s="123" customFormat="1" ht="42" customHeight="1" x14ac:dyDescent="0.2">
      <c r="A90" s="257" t="s">
        <v>3</v>
      </c>
      <c r="B90" s="260">
        <v>2013</v>
      </c>
      <c r="C90" s="249" t="s">
        <v>68</v>
      </c>
      <c r="D90" s="250" t="s">
        <v>897</v>
      </c>
      <c r="E90" s="531">
        <v>984400</v>
      </c>
      <c r="F90" s="249" t="s">
        <v>82</v>
      </c>
      <c r="G90" s="532">
        <v>300000</v>
      </c>
      <c r="H90" s="575"/>
      <c r="I90" s="531">
        <v>300000</v>
      </c>
      <c r="J90" s="251">
        <v>43592</v>
      </c>
    </row>
    <row r="91" spans="1:10" s="123" customFormat="1" ht="38.25" x14ac:dyDescent="0.2">
      <c r="A91" s="257" t="s">
        <v>3</v>
      </c>
      <c r="B91" s="260">
        <v>2013</v>
      </c>
      <c r="C91" s="249" t="s">
        <v>69</v>
      </c>
      <c r="D91" s="250" t="s">
        <v>845</v>
      </c>
      <c r="E91" s="531">
        <v>1007592</v>
      </c>
      <c r="F91" s="249" t="s">
        <v>658</v>
      </c>
      <c r="G91" s="532">
        <v>755694</v>
      </c>
      <c r="H91" s="575" t="s">
        <v>1127</v>
      </c>
      <c r="I91" s="531">
        <v>659506.71</v>
      </c>
      <c r="J91" s="251">
        <v>43281</v>
      </c>
    </row>
    <row r="92" spans="1:10" s="123" customFormat="1" ht="38.25" x14ac:dyDescent="0.2">
      <c r="A92" s="257" t="s">
        <v>3</v>
      </c>
      <c r="B92" s="260">
        <v>2013</v>
      </c>
      <c r="C92" s="249" t="s">
        <v>70</v>
      </c>
      <c r="D92" s="250" t="s">
        <v>769</v>
      </c>
      <c r="E92" s="531">
        <v>354000</v>
      </c>
      <c r="F92" s="249" t="s">
        <v>21</v>
      </c>
      <c r="G92" s="532">
        <v>204000</v>
      </c>
      <c r="H92" s="575"/>
      <c r="I92" s="531">
        <v>204000</v>
      </c>
      <c r="J92" s="251">
        <v>42842</v>
      </c>
    </row>
    <row r="93" spans="1:10" s="123" customFormat="1" x14ac:dyDescent="0.2">
      <c r="A93" s="128"/>
      <c r="B93" s="128"/>
      <c r="C93" s="128"/>
      <c r="D93" s="125"/>
      <c r="E93" s="126"/>
      <c r="F93" s="124"/>
      <c r="G93" s="127"/>
      <c r="H93" s="5"/>
      <c r="I93" s="129"/>
      <c r="J93" s="7"/>
    </row>
    <row r="94" spans="1:10" s="123" customFormat="1" ht="38.25" x14ac:dyDescent="0.2">
      <c r="A94" s="257" t="s">
        <v>3</v>
      </c>
      <c r="B94" s="260">
        <v>2012</v>
      </c>
      <c r="C94" s="261" t="s">
        <v>84</v>
      </c>
      <c r="D94" s="250" t="s">
        <v>898</v>
      </c>
      <c r="E94" s="262">
        <v>506100</v>
      </c>
      <c r="F94" s="249" t="s">
        <v>659</v>
      </c>
      <c r="G94" s="263">
        <v>100000</v>
      </c>
      <c r="H94" s="575"/>
      <c r="I94" s="531">
        <v>100000</v>
      </c>
      <c r="J94" s="258">
        <v>43816</v>
      </c>
    </row>
    <row r="95" spans="1:10" s="123" customFormat="1" ht="38.25" x14ac:dyDescent="0.2">
      <c r="A95" s="257" t="s">
        <v>3</v>
      </c>
      <c r="B95" s="260">
        <v>2012</v>
      </c>
      <c r="C95" s="261" t="s">
        <v>1136</v>
      </c>
      <c r="D95" s="250" t="s">
        <v>445</v>
      </c>
      <c r="E95" s="262">
        <v>80000</v>
      </c>
      <c r="F95" s="249" t="s">
        <v>43</v>
      </c>
      <c r="G95" s="263">
        <v>60000</v>
      </c>
      <c r="H95" s="575" t="s">
        <v>1131</v>
      </c>
      <c r="I95" s="531">
        <v>25959.74</v>
      </c>
      <c r="J95" s="251">
        <v>43281</v>
      </c>
    </row>
    <row r="96" spans="1:10" s="123" customFormat="1" ht="38.25" x14ac:dyDescent="0.2">
      <c r="A96" s="257" t="s">
        <v>3</v>
      </c>
      <c r="B96" s="260">
        <v>2012</v>
      </c>
      <c r="C96" s="261" t="s">
        <v>44</v>
      </c>
      <c r="D96" s="250" t="s">
        <v>846</v>
      </c>
      <c r="E96" s="262">
        <v>562500</v>
      </c>
      <c r="F96" s="249" t="s">
        <v>497</v>
      </c>
      <c r="G96" s="263">
        <v>108500</v>
      </c>
      <c r="H96" s="575"/>
      <c r="I96" s="531">
        <v>108500</v>
      </c>
      <c r="J96" s="251">
        <v>43281</v>
      </c>
    </row>
    <row r="97" spans="1:10" s="123" customFormat="1" ht="51" x14ac:dyDescent="0.2">
      <c r="A97" s="257" t="s">
        <v>3</v>
      </c>
      <c r="B97" s="260">
        <v>2012</v>
      </c>
      <c r="C97" s="261" t="s">
        <v>33</v>
      </c>
      <c r="D97" s="250" t="s">
        <v>373</v>
      </c>
      <c r="E97" s="262">
        <v>3612516</v>
      </c>
      <c r="F97" s="249" t="s">
        <v>660</v>
      </c>
      <c r="G97" s="263">
        <v>396516</v>
      </c>
      <c r="H97" s="575" t="s">
        <v>764</v>
      </c>
      <c r="I97" s="531" t="s">
        <v>41</v>
      </c>
      <c r="J97" s="258" t="s">
        <v>13</v>
      </c>
    </row>
    <row r="98" spans="1:10" s="123" customFormat="1" ht="38.25" x14ac:dyDescent="0.2">
      <c r="A98" s="257" t="s">
        <v>3</v>
      </c>
      <c r="B98" s="260">
        <v>2012</v>
      </c>
      <c r="C98" s="261" t="s">
        <v>45</v>
      </c>
      <c r="D98" s="250" t="s">
        <v>498</v>
      </c>
      <c r="E98" s="262">
        <v>10891016</v>
      </c>
      <c r="F98" s="249" t="s">
        <v>661</v>
      </c>
      <c r="G98" s="263">
        <v>753750</v>
      </c>
      <c r="H98" s="575"/>
      <c r="I98" s="531">
        <v>753750</v>
      </c>
      <c r="J98" s="258">
        <v>42311</v>
      </c>
    </row>
    <row r="99" spans="1:10" s="123" customFormat="1" ht="38.25" x14ac:dyDescent="0.2">
      <c r="A99" s="257" t="s">
        <v>3</v>
      </c>
      <c r="B99" s="260">
        <v>2012</v>
      </c>
      <c r="C99" s="261" t="s">
        <v>46</v>
      </c>
      <c r="D99" s="250" t="s">
        <v>374</v>
      </c>
      <c r="E99" s="262">
        <v>165500</v>
      </c>
      <c r="F99" s="249" t="s">
        <v>370</v>
      </c>
      <c r="G99" s="263">
        <v>115850</v>
      </c>
      <c r="H99" s="575"/>
      <c r="I99" s="531">
        <v>115850</v>
      </c>
      <c r="J99" s="258">
        <v>41555</v>
      </c>
    </row>
    <row r="100" spans="1:10" s="123" customFormat="1" ht="43.15" customHeight="1" x14ac:dyDescent="0.2">
      <c r="A100" s="257" t="s">
        <v>3</v>
      </c>
      <c r="B100" s="260">
        <v>2012</v>
      </c>
      <c r="C100" s="261" t="s">
        <v>1137</v>
      </c>
      <c r="D100" s="250" t="s">
        <v>662</v>
      </c>
      <c r="E100" s="262">
        <v>586570</v>
      </c>
      <c r="F100" s="249" t="s">
        <v>47</v>
      </c>
      <c r="G100" s="263">
        <v>439920</v>
      </c>
      <c r="H100" s="575" t="s">
        <v>841</v>
      </c>
      <c r="I100" s="531">
        <v>425493</v>
      </c>
      <c r="J100" s="251">
        <v>42551</v>
      </c>
    </row>
    <row r="101" spans="1:10" s="123" customFormat="1" ht="38.25" x14ac:dyDescent="0.2">
      <c r="A101" s="257" t="s">
        <v>3</v>
      </c>
      <c r="B101" s="260">
        <v>2012</v>
      </c>
      <c r="C101" s="261" t="s">
        <v>48</v>
      </c>
      <c r="D101" s="250" t="s">
        <v>499</v>
      </c>
      <c r="E101" s="262">
        <v>626349</v>
      </c>
      <c r="F101" s="249" t="s">
        <v>663</v>
      </c>
      <c r="G101" s="263">
        <v>211500</v>
      </c>
      <c r="H101" s="575"/>
      <c r="I101" s="531">
        <v>211500</v>
      </c>
      <c r="J101" s="258">
        <v>42550</v>
      </c>
    </row>
    <row r="102" spans="1:10" s="123" customFormat="1" ht="38.25" x14ac:dyDescent="0.2">
      <c r="A102" s="257" t="s">
        <v>3</v>
      </c>
      <c r="B102" s="260">
        <v>2012</v>
      </c>
      <c r="C102" s="261" t="s">
        <v>49</v>
      </c>
      <c r="D102" s="250" t="s">
        <v>445</v>
      </c>
      <c r="E102" s="262">
        <v>350000</v>
      </c>
      <c r="F102" s="249" t="s">
        <v>643</v>
      </c>
      <c r="G102" s="263">
        <v>262500</v>
      </c>
      <c r="H102" s="575"/>
      <c r="I102" s="531">
        <v>262500</v>
      </c>
      <c r="J102" s="258">
        <v>41988</v>
      </c>
    </row>
    <row r="103" spans="1:10" s="123" customFormat="1" ht="38.25" x14ac:dyDescent="0.2">
      <c r="A103" s="257" t="s">
        <v>3</v>
      </c>
      <c r="B103" s="260">
        <v>2012</v>
      </c>
      <c r="C103" s="261" t="s">
        <v>50</v>
      </c>
      <c r="D103" s="250" t="s">
        <v>664</v>
      </c>
      <c r="E103" s="262">
        <v>2400000</v>
      </c>
      <c r="F103" s="249" t="s">
        <v>51</v>
      </c>
      <c r="G103" s="263">
        <v>181464</v>
      </c>
      <c r="H103" s="575"/>
      <c r="I103" s="531">
        <v>181464</v>
      </c>
      <c r="J103" s="251">
        <v>42551</v>
      </c>
    </row>
    <row r="104" spans="1:10" s="123" customFormat="1" ht="43.15" customHeight="1" x14ac:dyDescent="0.2">
      <c r="A104" s="257" t="s">
        <v>3</v>
      </c>
      <c r="B104" s="260">
        <v>2012</v>
      </c>
      <c r="C104" s="261" t="s">
        <v>52</v>
      </c>
      <c r="D104" s="250" t="s">
        <v>1226</v>
      </c>
      <c r="E104" s="262">
        <v>880576</v>
      </c>
      <c r="F104" s="249" t="s">
        <v>665</v>
      </c>
      <c r="G104" s="263">
        <v>237245</v>
      </c>
      <c r="H104" s="575"/>
      <c r="I104" s="531">
        <v>237245</v>
      </c>
      <c r="J104" s="251">
        <v>44742</v>
      </c>
    </row>
    <row r="105" spans="1:10" s="123" customFormat="1" ht="38.25" x14ac:dyDescent="0.2">
      <c r="A105" s="257" t="s">
        <v>3</v>
      </c>
      <c r="B105" s="260">
        <v>2012</v>
      </c>
      <c r="C105" s="261" t="s">
        <v>53</v>
      </c>
      <c r="D105" s="250" t="s">
        <v>500</v>
      </c>
      <c r="E105" s="262">
        <v>160000</v>
      </c>
      <c r="F105" s="249" t="s">
        <v>54</v>
      </c>
      <c r="G105" s="263">
        <v>120000</v>
      </c>
      <c r="H105" s="575"/>
      <c r="I105" s="531">
        <v>120000</v>
      </c>
      <c r="J105" s="258">
        <v>42067</v>
      </c>
    </row>
    <row r="106" spans="1:10" s="123" customFormat="1" x14ac:dyDescent="0.2">
      <c r="A106" s="128"/>
      <c r="B106" s="128"/>
      <c r="C106" s="128"/>
      <c r="D106" s="125"/>
      <c r="E106" s="126"/>
      <c r="F106" s="124"/>
      <c r="G106" s="127"/>
      <c r="H106" s="5"/>
      <c r="I106" s="129"/>
      <c r="J106" s="7"/>
    </row>
    <row r="107" spans="1:10" s="123" customFormat="1" ht="38.25" x14ac:dyDescent="0.2">
      <c r="A107" s="257" t="s">
        <v>3</v>
      </c>
      <c r="B107" s="260">
        <v>2010</v>
      </c>
      <c r="C107" s="249" t="s">
        <v>1138</v>
      </c>
      <c r="D107" s="250" t="s">
        <v>666</v>
      </c>
      <c r="E107" s="531">
        <v>7245382</v>
      </c>
      <c r="F107" s="249" t="s">
        <v>34</v>
      </c>
      <c r="G107" s="532">
        <v>750000</v>
      </c>
      <c r="H107" s="576"/>
      <c r="I107" s="531">
        <v>750000</v>
      </c>
      <c r="J107" s="251">
        <v>42551</v>
      </c>
    </row>
    <row r="108" spans="1:10" s="123" customFormat="1" ht="38.25" x14ac:dyDescent="0.2">
      <c r="A108" s="257" t="s">
        <v>3</v>
      </c>
      <c r="B108" s="260">
        <v>2010</v>
      </c>
      <c r="C108" s="249" t="s">
        <v>33</v>
      </c>
      <c r="D108" s="250" t="s">
        <v>375</v>
      </c>
      <c r="E108" s="531">
        <v>2658938</v>
      </c>
      <c r="F108" s="249" t="s">
        <v>667</v>
      </c>
      <c r="G108" s="532">
        <v>250000</v>
      </c>
      <c r="H108" s="575"/>
      <c r="I108" s="531">
        <v>250000</v>
      </c>
      <c r="J108" s="258">
        <v>41182</v>
      </c>
    </row>
    <row r="109" spans="1:10" s="123" customFormat="1" ht="38.25" x14ac:dyDescent="0.2">
      <c r="A109" s="257" t="s">
        <v>3</v>
      </c>
      <c r="B109" s="260">
        <v>2010</v>
      </c>
      <c r="C109" s="249" t="s">
        <v>1139</v>
      </c>
      <c r="D109" s="250" t="s">
        <v>76</v>
      </c>
      <c r="E109" s="531">
        <f>1426504.65+511493.03</f>
        <v>1937997.68</v>
      </c>
      <c r="F109" s="249" t="s">
        <v>668</v>
      </c>
      <c r="G109" s="532">
        <v>73474</v>
      </c>
      <c r="H109" s="575"/>
      <c r="I109" s="531">
        <v>73474</v>
      </c>
      <c r="J109" s="258">
        <v>42016</v>
      </c>
    </row>
    <row r="110" spans="1:10" s="123" customFormat="1" ht="38.25" x14ac:dyDescent="0.2">
      <c r="A110" s="257" t="s">
        <v>3</v>
      </c>
      <c r="B110" s="260">
        <v>2010</v>
      </c>
      <c r="C110" s="249" t="s">
        <v>32</v>
      </c>
      <c r="D110" s="250" t="s">
        <v>85</v>
      </c>
      <c r="E110" s="531">
        <v>350000</v>
      </c>
      <c r="F110" s="249" t="s">
        <v>643</v>
      </c>
      <c r="G110" s="532">
        <v>262500</v>
      </c>
      <c r="H110" s="575"/>
      <c r="I110" s="531">
        <v>262500</v>
      </c>
      <c r="J110" s="258">
        <v>41246</v>
      </c>
    </row>
    <row r="111" spans="1:10" s="123" customFormat="1" ht="38.25" x14ac:dyDescent="0.2">
      <c r="A111" s="257" t="s">
        <v>3</v>
      </c>
      <c r="B111" s="260">
        <v>2010</v>
      </c>
      <c r="C111" s="249" t="s">
        <v>1140</v>
      </c>
      <c r="D111" s="250" t="s">
        <v>76</v>
      </c>
      <c r="E111" s="531">
        <v>375000</v>
      </c>
      <c r="F111" s="249" t="s">
        <v>31</v>
      </c>
      <c r="G111" s="532">
        <v>281000</v>
      </c>
      <c r="H111" s="572" t="s">
        <v>944</v>
      </c>
      <c r="I111" s="531">
        <v>180059.72</v>
      </c>
      <c r="J111" s="258">
        <v>41127</v>
      </c>
    </row>
    <row r="112" spans="1:10" s="123" customFormat="1" ht="38.25" x14ac:dyDescent="0.2">
      <c r="A112" s="257" t="s">
        <v>3</v>
      </c>
      <c r="B112" s="260">
        <v>2010</v>
      </c>
      <c r="C112" s="249" t="s">
        <v>1141</v>
      </c>
      <c r="D112" s="250" t="s">
        <v>376</v>
      </c>
      <c r="E112" s="531">
        <v>1600000</v>
      </c>
      <c r="F112" s="249" t="s">
        <v>30</v>
      </c>
      <c r="G112" s="532">
        <v>128000</v>
      </c>
      <c r="H112" s="575"/>
      <c r="I112" s="531">
        <v>128000</v>
      </c>
      <c r="J112" s="258">
        <v>41493</v>
      </c>
    </row>
    <row r="113" spans="1:10" s="123" customFormat="1" ht="38.25" x14ac:dyDescent="0.2">
      <c r="A113" s="257" t="s">
        <v>3</v>
      </c>
      <c r="B113" s="260">
        <v>2010</v>
      </c>
      <c r="C113" s="249" t="s">
        <v>1142</v>
      </c>
      <c r="D113" s="250" t="s">
        <v>378</v>
      </c>
      <c r="E113" s="531">
        <v>666667</v>
      </c>
      <c r="F113" s="249" t="s">
        <v>29</v>
      </c>
      <c r="G113" s="532">
        <v>500000</v>
      </c>
      <c r="H113" s="575" t="s">
        <v>773</v>
      </c>
      <c r="I113" s="531">
        <v>500000</v>
      </c>
      <c r="J113" s="258">
        <v>41148</v>
      </c>
    </row>
    <row r="114" spans="1:10" s="123" customFormat="1" ht="38.25" x14ac:dyDescent="0.2">
      <c r="A114" s="257" t="s">
        <v>3</v>
      </c>
      <c r="B114" s="260">
        <v>2010</v>
      </c>
      <c r="C114" s="249" t="s">
        <v>1143</v>
      </c>
      <c r="D114" s="250" t="s">
        <v>377</v>
      </c>
      <c r="E114" s="531">
        <v>1000000</v>
      </c>
      <c r="F114" s="249" t="s">
        <v>28</v>
      </c>
      <c r="G114" s="532">
        <v>750000</v>
      </c>
      <c r="H114" s="575" t="s">
        <v>773</v>
      </c>
      <c r="I114" s="531">
        <v>750000</v>
      </c>
      <c r="J114" s="258">
        <v>41379</v>
      </c>
    </row>
    <row r="115" spans="1:10" s="123" customFormat="1" ht="201.6" customHeight="1" x14ac:dyDescent="0.2">
      <c r="A115" s="257" t="s">
        <v>3</v>
      </c>
      <c r="B115" s="260">
        <v>2010</v>
      </c>
      <c r="C115" s="249" t="s">
        <v>1144</v>
      </c>
      <c r="D115" s="250" t="s">
        <v>79</v>
      </c>
      <c r="E115" s="531">
        <v>6655696</v>
      </c>
      <c r="F115" s="249" t="s">
        <v>1145</v>
      </c>
      <c r="G115" s="532">
        <v>484995</v>
      </c>
      <c r="H115" s="575"/>
      <c r="I115" s="531">
        <v>484995</v>
      </c>
      <c r="J115" s="258">
        <v>41144</v>
      </c>
    </row>
    <row r="116" spans="1:10" s="123" customFormat="1" ht="38.25" x14ac:dyDescent="0.2">
      <c r="A116" s="257" t="s">
        <v>3</v>
      </c>
      <c r="B116" s="260">
        <v>2010</v>
      </c>
      <c r="C116" s="249" t="s">
        <v>27</v>
      </c>
      <c r="D116" s="250" t="s">
        <v>55</v>
      </c>
      <c r="E116" s="531">
        <v>1203795</v>
      </c>
      <c r="F116" s="249" t="s">
        <v>669</v>
      </c>
      <c r="G116" s="532">
        <v>525000</v>
      </c>
      <c r="H116" s="575"/>
      <c r="I116" s="531">
        <v>525000</v>
      </c>
      <c r="J116" s="258">
        <v>40378</v>
      </c>
    </row>
    <row r="117" spans="1:10" s="123" customFormat="1" ht="38.25" x14ac:dyDescent="0.2">
      <c r="A117" s="257" t="s">
        <v>3</v>
      </c>
      <c r="B117" s="260">
        <v>2010</v>
      </c>
      <c r="C117" s="249" t="s">
        <v>1146</v>
      </c>
      <c r="D117" s="250" t="s">
        <v>72</v>
      </c>
      <c r="E117" s="531">
        <v>143028</v>
      </c>
      <c r="F117" s="249" t="s">
        <v>26</v>
      </c>
      <c r="G117" s="532">
        <v>107271</v>
      </c>
      <c r="H117" s="575" t="s">
        <v>774</v>
      </c>
      <c r="I117" s="531">
        <v>107271</v>
      </c>
      <c r="J117" s="258">
        <v>41058</v>
      </c>
    </row>
    <row r="118" spans="1:10" s="123" customFormat="1" ht="38.25" x14ac:dyDescent="0.2">
      <c r="A118" s="257" t="s">
        <v>3</v>
      </c>
      <c r="B118" s="260">
        <v>2010</v>
      </c>
      <c r="C118" s="249" t="s">
        <v>25</v>
      </c>
      <c r="D118" s="250" t="s">
        <v>73</v>
      </c>
      <c r="E118" s="531">
        <v>782722</v>
      </c>
      <c r="F118" s="249" t="s">
        <v>670</v>
      </c>
      <c r="G118" s="532">
        <v>300000</v>
      </c>
      <c r="H118" s="575"/>
      <c r="I118" s="531">
        <v>300000</v>
      </c>
      <c r="J118" s="258">
        <v>40973</v>
      </c>
    </row>
    <row r="119" spans="1:10" s="123" customFormat="1" ht="38.25" x14ac:dyDescent="0.2">
      <c r="A119" s="257" t="s">
        <v>3</v>
      </c>
      <c r="B119" s="260">
        <v>2010</v>
      </c>
      <c r="C119" s="249" t="s">
        <v>446</v>
      </c>
      <c r="D119" s="250" t="s">
        <v>74</v>
      </c>
      <c r="E119" s="531">
        <v>105000</v>
      </c>
      <c r="F119" s="249" t="s">
        <v>671</v>
      </c>
      <c r="G119" s="532">
        <v>75000</v>
      </c>
      <c r="H119" s="575"/>
      <c r="I119" s="531">
        <v>75000</v>
      </c>
      <c r="J119" s="258">
        <v>41092</v>
      </c>
    </row>
    <row r="120" spans="1:10" s="123" customFormat="1" x14ac:dyDescent="0.2">
      <c r="A120" s="128"/>
      <c r="B120" s="128"/>
      <c r="C120" s="128"/>
      <c r="D120" s="125"/>
      <c r="E120" s="126"/>
      <c r="F120" s="124"/>
      <c r="G120" s="127"/>
      <c r="H120" s="5"/>
      <c r="I120" s="129"/>
      <c r="J120" s="7"/>
    </row>
    <row r="121" spans="1:10" s="123" customFormat="1" ht="38.25" x14ac:dyDescent="0.2">
      <c r="A121" s="257" t="s">
        <v>3</v>
      </c>
      <c r="B121" s="260">
        <v>2009</v>
      </c>
      <c r="C121" s="249" t="s">
        <v>1147</v>
      </c>
      <c r="D121" s="250" t="s">
        <v>58</v>
      </c>
      <c r="E121" s="264">
        <v>133333</v>
      </c>
      <c r="F121" s="249" t="s">
        <v>24</v>
      </c>
      <c r="G121" s="532">
        <v>100000</v>
      </c>
      <c r="H121" s="575" t="s">
        <v>773</v>
      </c>
      <c r="I121" s="531">
        <v>100000</v>
      </c>
      <c r="J121" s="258">
        <v>43281</v>
      </c>
    </row>
    <row r="122" spans="1:10" s="123" customFormat="1" ht="38.25" x14ac:dyDescent="0.2">
      <c r="A122" s="257" t="s">
        <v>3</v>
      </c>
      <c r="B122" s="260">
        <v>2009</v>
      </c>
      <c r="C122" s="249" t="s">
        <v>1148</v>
      </c>
      <c r="D122" s="250" t="s">
        <v>56</v>
      </c>
      <c r="E122" s="264">
        <v>40000</v>
      </c>
      <c r="F122" s="249" t="s">
        <v>2</v>
      </c>
      <c r="G122" s="532">
        <v>30000</v>
      </c>
      <c r="H122" s="575" t="s">
        <v>773</v>
      </c>
      <c r="I122" s="531">
        <v>30000</v>
      </c>
      <c r="J122" s="265">
        <v>40441</v>
      </c>
    </row>
    <row r="123" spans="1:10" s="123" customFormat="1" ht="38.25" x14ac:dyDescent="0.2">
      <c r="A123" s="257" t="s">
        <v>3</v>
      </c>
      <c r="B123" s="260">
        <v>2009</v>
      </c>
      <c r="C123" s="249" t="s">
        <v>1149</v>
      </c>
      <c r="D123" s="250" t="s">
        <v>77</v>
      </c>
      <c r="E123" s="264">
        <v>653550</v>
      </c>
      <c r="F123" s="249" t="s">
        <v>672</v>
      </c>
      <c r="G123" s="532">
        <v>490162</v>
      </c>
      <c r="H123" s="575" t="s">
        <v>764</v>
      </c>
      <c r="I123" s="531">
        <v>408425.41</v>
      </c>
      <c r="J123" s="265">
        <v>41191</v>
      </c>
    </row>
    <row r="124" spans="1:10" s="123" customFormat="1" ht="38.25" x14ac:dyDescent="0.2">
      <c r="A124" s="257" t="s">
        <v>3</v>
      </c>
      <c r="B124" s="260">
        <v>2009</v>
      </c>
      <c r="C124" s="249" t="s">
        <v>23</v>
      </c>
      <c r="D124" s="250" t="s">
        <v>378</v>
      </c>
      <c r="E124" s="264">
        <v>1476000</v>
      </c>
      <c r="F124" s="249" t="s">
        <v>2</v>
      </c>
      <c r="G124" s="532">
        <v>800000</v>
      </c>
      <c r="H124" s="575"/>
      <c r="I124" s="531">
        <v>800000</v>
      </c>
      <c r="J124" s="265">
        <v>41157</v>
      </c>
    </row>
    <row r="125" spans="1:10" s="123" customFormat="1" ht="38.25" x14ac:dyDescent="0.2">
      <c r="A125" s="257" t="s">
        <v>3</v>
      </c>
      <c r="B125" s="260">
        <v>2009</v>
      </c>
      <c r="C125" s="249" t="s">
        <v>1150</v>
      </c>
      <c r="D125" s="250" t="s">
        <v>57</v>
      </c>
      <c r="E125" s="264">
        <v>133334</v>
      </c>
      <c r="F125" s="249" t="s">
        <v>2</v>
      </c>
      <c r="G125" s="532">
        <v>100000</v>
      </c>
      <c r="H125" s="575" t="s">
        <v>773</v>
      </c>
      <c r="I125" s="531">
        <v>100000</v>
      </c>
      <c r="J125" s="265">
        <v>40763</v>
      </c>
    </row>
    <row r="126" spans="1:10" s="123" customFormat="1" ht="38.25" x14ac:dyDescent="0.2">
      <c r="A126" s="257" t="s">
        <v>3</v>
      </c>
      <c r="B126" s="260">
        <v>2009</v>
      </c>
      <c r="C126" s="249" t="s">
        <v>22</v>
      </c>
      <c r="D126" s="250" t="s">
        <v>58</v>
      </c>
      <c r="E126" s="264">
        <v>469000</v>
      </c>
      <c r="F126" s="249" t="s">
        <v>673</v>
      </c>
      <c r="G126" s="532">
        <v>351750</v>
      </c>
      <c r="H126" s="575"/>
      <c r="I126" s="531">
        <v>351750</v>
      </c>
      <c r="J126" s="265">
        <v>40294</v>
      </c>
    </row>
    <row r="127" spans="1:10" s="123" customFormat="1" ht="38.25" x14ac:dyDescent="0.2">
      <c r="A127" s="257" t="s">
        <v>3</v>
      </c>
      <c r="B127" s="260">
        <v>2009</v>
      </c>
      <c r="C127" s="249" t="s">
        <v>1151</v>
      </c>
      <c r="D127" s="250" t="s">
        <v>379</v>
      </c>
      <c r="E127" s="264">
        <v>1000000</v>
      </c>
      <c r="F127" s="249" t="s">
        <v>674</v>
      </c>
      <c r="G127" s="532">
        <v>750000</v>
      </c>
      <c r="H127" s="575" t="s">
        <v>773</v>
      </c>
      <c r="I127" s="531">
        <v>750000</v>
      </c>
      <c r="J127" s="265">
        <v>41379</v>
      </c>
    </row>
    <row r="128" spans="1:10" s="123" customFormat="1" ht="38.25" x14ac:dyDescent="0.2">
      <c r="A128" s="257" t="s">
        <v>3</v>
      </c>
      <c r="B128" s="260">
        <v>2009</v>
      </c>
      <c r="C128" s="249" t="s">
        <v>1152</v>
      </c>
      <c r="D128" s="250" t="s">
        <v>83</v>
      </c>
      <c r="E128" s="264">
        <v>71000</v>
      </c>
      <c r="F128" s="249" t="s">
        <v>6</v>
      </c>
      <c r="G128" s="532">
        <v>40000</v>
      </c>
      <c r="H128" s="575" t="s">
        <v>770</v>
      </c>
      <c r="I128" s="531" t="s">
        <v>41</v>
      </c>
      <c r="J128" s="265" t="s">
        <v>13</v>
      </c>
    </row>
    <row r="129" spans="1:10" s="123" customFormat="1" ht="42.6" customHeight="1" x14ac:dyDescent="0.2">
      <c r="A129" s="257" t="s">
        <v>3</v>
      </c>
      <c r="B129" s="260">
        <v>2009</v>
      </c>
      <c r="C129" s="249" t="s">
        <v>1153</v>
      </c>
      <c r="D129" s="250" t="s">
        <v>1227</v>
      </c>
      <c r="E129" s="264">
        <v>133333</v>
      </c>
      <c r="F129" s="249" t="s">
        <v>2</v>
      </c>
      <c r="G129" s="532">
        <v>100000</v>
      </c>
      <c r="H129" s="575" t="s">
        <v>773</v>
      </c>
      <c r="I129" s="531">
        <v>100000</v>
      </c>
      <c r="J129" s="258">
        <v>45152</v>
      </c>
    </row>
    <row r="130" spans="1:10" s="123" customFormat="1" ht="38.25" x14ac:dyDescent="0.2">
      <c r="A130" s="257" t="s">
        <v>3</v>
      </c>
      <c r="B130" s="260">
        <v>2009</v>
      </c>
      <c r="C130" s="249" t="s">
        <v>1154</v>
      </c>
      <c r="D130" s="250" t="s">
        <v>847</v>
      </c>
      <c r="E130" s="264">
        <v>133333</v>
      </c>
      <c r="F130" s="249" t="s">
        <v>675</v>
      </c>
      <c r="G130" s="532">
        <v>100000</v>
      </c>
      <c r="H130" s="575" t="s">
        <v>773</v>
      </c>
      <c r="I130" s="531">
        <v>100000</v>
      </c>
      <c r="J130" s="258">
        <v>43281</v>
      </c>
    </row>
    <row r="131" spans="1:10" s="123" customFormat="1" ht="38.25" x14ac:dyDescent="0.2">
      <c r="A131" s="257" t="s">
        <v>3</v>
      </c>
      <c r="B131" s="260">
        <v>2009</v>
      </c>
      <c r="C131" s="249" t="s">
        <v>20</v>
      </c>
      <c r="D131" s="250" t="s">
        <v>59</v>
      </c>
      <c r="E131" s="264">
        <v>443750</v>
      </c>
      <c r="F131" s="249" t="s">
        <v>676</v>
      </c>
      <c r="G131" s="532">
        <v>138088</v>
      </c>
      <c r="H131" s="575"/>
      <c r="I131" s="531">
        <v>138088</v>
      </c>
      <c r="J131" s="265">
        <v>40469</v>
      </c>
    </row>
    <row r="132" spans="1:10" s="123" customFormat="1" x14ac:dyDescent="0.2">
      <c r="A132" s="128"/>
      <c r="B132" s="128"/>
      <c r="C132" s="128"/>
      <c r="D132" s="125"/>
      <c r="E132" s="126"/>
      <c r="F132" s="124"/>
      <c r="G132" s="127"/>
      <c r="H132" s="5"/>
      <c r="I132" s="129"/>
      <c r="J132" s="7"/>
    </row>
    <row r="133" spans="1:10" s="123" customFormat="1" ht="38.25" x14ac:dyDescent="0.2">
      <c r="A133" s="257" t="s">
        <v>3</v>
      </c>
      <c r="B133" s="260">
        <v>2008</v>
      </c>
      <c r="C133" s="249" t="s">
        <v>19</v>
      </c>
      <c r="D133" s="250" t="s">
        <v>380</v>
      </c>
      <c r="E133" s="264">
        <v>3415960</v>
      </c>
      <c r="F133" s="249" t="s">
        <v>677</v>
      </c>
      <c r="G133" s="532">
        <v>565960</v>
      </c>
      <c r="H133" s="575"/>
      <c r="I133" s="531">
        <v>565960</v>
      </c>
      <c r="J133" s="265">
        <v>41121</v>
      </c>
    </row>
    <row r="134" spans="1:10" s="123" customFormat="1" ht="38.25" x14ac:dyDescent="0.2">
      <c r="A134" s="257" t="s">
        <v>3</v>
      </c>
      <c r="B134" s="260">
        <v>2008</v>
      </c>
      <c r="C134" s="249" t="s">
        <v>1155</v>
      </c>
      <c r="D134" s="250" t="s">
        <v>56</v>
      </c>
      <c r="E134" s="264">
        <v>40000</v>
      </c>
      <c r="F134" s="249" t="s">
        <v>18</v>
      </c>
      <c r="G134" s="532">
        <v>30000</v>
      </c>
      <c r="H134" s="575" t="s">
        <v>773</v>
      </c>
      <c r="I134" s="531">
        <v>30000</v>
      </c>
      <c r="J134" s="265">
        <v>40441</v>
      </c>
    </row>
    <row r="135" spans="1:10" s="123" customFormat="1" ht="38.25" x14ac:dyDescent="0.2">
      <c r="A135" s="257" t="s">
        <v>3</v>
      </c>
      <c r="B135" s="260">
        <v>2008</v>
      </c>
      <c r="C135" s="249" t="s">
        <v>1156</v>
      </c>
      <c r="D135" s="250" t="s">
        <v>75</v>
      </c>
      <c r="E135" s="264">
        <v>266667</v>
      </c>
      <c r="F135" s="249" t="s">
        <v>2</v>
      </c>
      <c r="G135" s="532">
        <v>200000</v>
      </c>
      <c r="H135" s="575" t="s">
        <v>773</v>
      </c>
      <c r="I135" s="531">
        <v>200000</v>
      </c>
      <c r="J135" s="265">
        <v>41058</v>
      </c>
    </row>
    <row r="136" spans="1:10" s="123" customFormat="1" ht="38.25" x14ac:dyDescent="0.2">
      <c r="A136" s="257" t="s">
        <v>3</v>
      </c>
      <c r="B136" s="260">
        <v>2008</v>
      </c>
      <c r="C136" s="249" t="s">
        <v>17</v>
      </c>
      <c r="D136" s="250" t="s">
        <v>447</v>
      </c>
      <c r="E136" s="264">
        <v>1937254</v>
      </c>
      <c r="F136" s="249" t="s">
        <v>2</v>
      </c>
      <c r="G136" s="532">
        <v>100000</v>
      </c>
      <c r="H136" s="575"/>
      <c r="I136" s="531">
        <v>100000</v>
      </c>
      <c r="J136" s="265">
        <v>41638</v>
      </c>
    </row>
    <row r="137" spans="1:10" s="123" customFormat="1" ht="38.25" x14ac:dyDescent="0.2">
      <c r="A137" s="257" t="s">
        <v>3</v>
      </c>
      <c r="B137" s="260">
        <v>2008</v>
      </c>
      <c r="C137" s="249" t="s">
        <v>1157</v>
      </c>
      <c r="D137" s="250" t="s">
        <v>848</v>
      </c>
      <c r="E137" s="264">
        <v>246667</v>
      </c>
      <c r="F137" s="249" t="s">
        <v>2</v>
      </c>
      <c r="G137" s="532">
        <v>185000</v>
      </c>
      <c r="H137" s="575" t="s">
        <v>773</v>
      </c>
      <c r="I137" s="531">
        <v>182908</v>
      </c>
      <c r="J137" s="258">
        <v>43281</v>
      </c>
    </row>
    <row r="138" spans="1:10" s="123" customFormat="1" ht="25.5" x14ac:dyDescent="0.2">
      <c r="A138" s="257" t="s">
        <v>3</v>
      </c>
      <c r="B138" s="260">
        <v>2008</v>
      </c>
      <c r="C138" s="249" t="s">
        <v>16</v>
      </c>
      <c r="D138" s="250" t="s">
        <v>678</v>
      </c>
      <c r="E138" s="264">
        <v>66667</v>
      </c>
      <c r="F138" s="249" t="s">
        <v>2</v>
      </c>
      <c r="G138" s="532">
        <v>50000</v>
      </c>
      <c r="H138" s="575"/>
      <c r="I138" s="531">
        <v>50000</v>
      </c>
      <c r="J138" s="265">
        <v>40735</v>
      </c>
    </row>
    <row r="139" spans="1:10" s="123" customFormat="1" ht="38.25" x14ac:dyDescent="0.2">
      <c r="A139" s="257" t="s">
        <v>3</v>
      </c>
      <c r="B139" s="260">
        <v>2008</v>
      </c>
      <c r="C139" s="249" t="s">
        <v>15</v>
      </c>
      <c r="D139" s="250" t="s">
        <v>60</v>
      </c>
      <c r="E139" s="264">
        <v>549605</v>
      </c>
      <c r="F139" s="249" t="s">
        <v>2</v>
      </c>
      <c r="G139" s="532">
        <v>69300</v>
      </c>
      <c r="H139" s="575"/>
      <c r="I139" s="531">
        <v>69300</v>
      </c>
      <c r="J139" s="265">
        <v>40763</v>
      </c>
    </row>
    <row r="140" spans="1:10" s="123" customFormat="1" ht="51" x14ac:dyDescent="0.2">
      <c r="A140" s="257" t="s">
        <v>3</v>
      </c>
      <c r="B140" s="260">
        <v>2008</v>
      </c>
      <c r="C140" s="249" t="s">
        <v>1158</v>
      </c>
      <c r="D140" s="250" t="s">
        <v>14</v>
      </c>
      <c r="E140" s="264">
        <v>1227779</v>
      </c>
      <c r="F140" s="249" t="s">
        <v>2</v>
      </c>
      <c r="G140" s="532">
        <v>799740</v>
      </c>
      <c r="H140" s="575" t="s">
        <v>772</v>
      </c>
      <c r="I140" s="531" t="s">
        <v>41</v>
      </c>
      <c r="J140" s="265" t="s">
        <v>13</v>
      </c>
    </row>
    <row r="141" spans="1:10" s="123" customFormat="1" x14ac:dyDescent="0.2">
      <c r="A141" s="128"/>
      <c r="B141" s="128"/>
      <c r="C141" s="128"/>
      <c r="D141" s="125"/>
      <c r="E141" s="126"/>
      <c r="F141" s="124"/>
      <c r="G141" s="127"/>
      <c r="H141" s="5"/>
      <c r="I141" s="129"/>
      <c r="J141" s="7"/>
    </row>
    <row r="142" spans="1:10" s="123" customFormat="1" ht="38.25" x14ac:dyDescent="0.2">
      <c r="A142" s="257" t="s">
        <v>5</v>
      </c>
      <c r="B142" s="260">
        <v>2007</v>
      </c>
      <c r="C142" s="249" t="s">
        <v>12</v>
      </c>
      <c r="D142" s="250" t="s">
        <v>381</v>
      </c>
      <c r="E142" s="264">
        <v>1334331</v>
      </c>
      <c r="F142" s="249" t="s">
        <v>679</v>
      </c>
      <c r="G142" s="532">
        <v>690000</v>
      </c>
      <c r="H142" s="575"/>
      <c r="I142" s="531">
        <v>690000</v>
      </c>
      <c r="J142" s="265">
        <v>41059</v>
      </c>
    </row>
    <row r="143" spans="1:10" s="123" customFormat="1" ht="38.25" x14ac:dyDescent="0.2">
      <c r="A143" s="257" t="s">
        <v>5</v>
      </c>
      <c r="B143" s="260">
        <v>2007</v>
      </c>
      <c r="C143" s="249" t="s">
        <v>11</v>
      </c>
      <c r="D143" s="250" t="s">
        <v>61</v>
      </c>
      <c r="E143" s="264">
        <v>336250</v>
      </c>
      <c r="F143" s="249" t="s">
        <v>10</v>
      </c>
      <c r="G143" s="532">
        <v>252187</v>
      </c>
      <c r="H143" s="575"/>
      <c r="I143" s="531">
        <v>252187</v>
      </c>
      <c r="J143" s="265">
        <v>40637</v>
      </c>
    </row>
    <row r="144" spans="1:10" s="123" customFormat="1" ht="38.25" x14ac:dyDescent="0.2">
      <c r="A144" s="257" t="s">
        <v>5</v>
      </c>
      <c r="B144" s="260">
        <v>2007</v>
      </c>
      <c r="C144" s="249" t="s">
        <v>9</v>
      </c>
      <c r="D144" s="250" t="s">
        <v>448</v>
      </c>
      <c r="E144" s="264">
        <v>536540</v>
      </c>
      <c r="F144" s="249" t="s">
        <v>680</v>
      </c>
      <c r="G144" s="532">
        <v>402405</v>
      </c>
      <c r="H144" s="575"/>
      <c r="I144" s="531">
        <v>402405</v>
      </c>
      <c r="J144" s="265">
        <v>41900</v>
      </c>
    </row>
    <row r="145" spans="1:10" s="123" customFormat="1" ht="38.25" x14ac:dyDescent="0.2">
      <c r="A145" s="257" t="s">
        <v>5</v>
      </c>
      <c r="B145" s="260">
        <v>2007</v>
      </c>
      <c r="C145" s="249" t="s">
        <v>1159</v>
      </c>
      <c r="D145" s="250" t="s">
        <v>849</v>
      </c>
      <c r="E145" s="264">
        <v>200000</v>
      </c>
      <c r="F145" s="249" t="s">
        <v>681</v>
      </c>
      <c r="G145" s="532">
        <v>150000</v>
      </c>
      <c r="H145" s="575" t="s">
        <v>1131</v>
      </c>
      <c r="I145" s="531">
        <v>129112.3</v>
      </c>
      <c r="J145" s="258">
        <v>43281</v>
      </c>
    </row>
    <row r="146" spans="1:10" s="123" customFormat="1" ht="38.25" x14ac:dyDescent="0.2">
      <c r="A146" s="257" t="s">
        <v>5</v>
      </c>
      <c r="B146" s="260">
        <v>2007</v>
      </c>
      <c r="C146" s="249" t="s">
        <v>7</v>
      </c>
      <c r="D146" s="250" t="s">
        <v>62</v>
      </c>
      <c r="E146" s="264">
        <v>142500</v>
      </c>
      <c r="F146" s="249" t="s">
        <v>682</v>
      </c>
      <c r="G146" s="532">
        <v>106875</v>
      </c>
      <c r="H146" s="575"/>
      <c r="I146" s="531">
        <v>106875</v>
      </c>
      <c r="J146" s="265">
        <v>40252</v>
      </c>
    </row>
    <row r="147" spans="1:10" s="123" customFormat="1" ht="38.25" x14ac:dyDescent="0.2">
      <c r="A147" s="257" t="s">
        <v>5</v>
      </c>
      <c r="B147" s="260">
        <v>2007</v>
      </c>
      <c r="C147" s="249" t="s">
        <v>1160</v>
      </c>
      <c r="D147" s="250" t="s">
        <v>775</v>
      </c>
      <c r="E147" s="264">
        <v>480000</v>
      </c>
      <c r="F147" s="249" t="s">
        <v>683</v>
      </c>
      <c r="G147" s="532">
        <v>360000</v>
      </c>
      <c r="H147" s="572" t="s">
        <v>944</v>
      </c>
      <c r="I147" s="531">
        <v>357491.87</v>
      </c>
      <c r="J147" s="258">
        <v>42773</v>
      </c>
    </row>
    <row r="148" spans="1:10" s="123" customFormat="1" ht="38.25" x14ac:dyDescent="0.2">
      <c r="A148" s="257" t="s">
        <v>5</v>
      </c>
      <c r="B148" s="260">
        <v>2007</v>
      </c>
      <c r="C148" s="249" t="s">
        <v>1161</v>
      </c>
      <c r="D148" s="250" t="s">
        <v>684</v>
      </c>
      <c r="E148" s="264">
        <v>52420</v>
      </c>
      <c r="F148" s="249" t="s">
        <v>6</v>
      </c>
      <c r="G148" s="532">
        <v>39315</v>
      </c>
      <c r="H148" s="575"/>
      <c r="I148" s="531">
        <v>39315</v>
      </c>
      <c r="J148" s="258">
        <v>42551</v>
      </c>
    </row>
    <row r="149" spans="1:10" s="123" customFormat="1" ht="51" x14ac:dyDescent="0.2">
      <c r="A149" s="257" t="s">
        <v>5</v>
      </c>
      <c r="B149" s="260">
        <v>2007</v>
      </c>
      <c r="C149" s="249" t="s">
        <v>1162</v>
      </c>
      <c r="D149" s="250" t="s">
        <v>78</v>
      </c>
      <c r="E149" s="264">
        <v>266667</v>
      </c>
      <c r="F149" s="249" t="s">
        <v>2</v>
      </c>
      <c r="G149" s="532">
        <v>200000</v>
      </c>
      <c r="H149" s="575" t="s">
        <v>773</v>
      </c>
      <c r="I149" s="531">
        <v>196072.35</v>
      </c>
      <c r="J149" s="265">
        <v>40259</v>
      </c>
    </row>
    <row r="150" spans="1:10" x14ac:dyDescent="0.2">
      <c r="A150" s="128"/>
      <c r="B150" s="128"/>
      <c r="C150" s="128"/>
      <c r="D150" s="125"/>
      <c r="E150" s="126"/>
      <c r="F150" s="124"/>
      <c r="G150" s="127"/>
      <c r="H150" s="5"/>
      <c r="I150" s="129"/>
      <c r="J150" s="7"/>
    </row>
    <row r="151" spans="1:10" ht="38.25" x14ac:dyDescent="0.2">
      <c r="A151" s="257" t="s">
        <v>3</v>
      </c>
      <c r="B151" s="260">
        <v>2006</v>
      </c>
      <c r="C151" s="249" t="s">
        <v>449</v>
      </c>
      <c r="D151" s="250" t="s">
        <v>63</v>
      </c>
      <c r="E151" s="264">
        <v>1660250</v>
      </c>
      <c r="F151" s="249" t="s">
        <v>685</v>
      </c>
      <c r="G151" s="532">
        <v>250000</v>
      </c>
      <c r="H151" s="575"/>
      <c r="I151" s="531">
        <v>250000</v>
      </c>
      <c r="J151" s="265">
        <v>40365</v>
      </c>
    </row>
    <row r="152" spans="1:10" ht="38.25" x14ac:dyDescent="0.2">
      <c r="A152" s="257" t="s">
        <v>3</v>
      </c>
      <c r="B152" s="260">
        <v>2006</v>
      </c>
      <c r="C152" s="249" t="s">
        <v>450</v>
      </c>
      <c r="D152" s="250" t="s">
        <v>64</v>
      </c>
      <c r="E152" s="264">
        <v>1027760</v>
      </c>
      <c r="F152" s="249" t="s">
        <v>686</v>
      </c>
      <c r="G152" s="532">
        <v>150000</v>
      </c>
      <c r="H152" s="575"/>
      <c r="I152" s="531">
        <v>150000</v>
      </c>
      <c r="J152" s="265">
        <v>39356</v>
      </c>
    </row>
    <row r="153" spans="1:10" ht="76.5" x14ac:dyDescent="0.2">
      <c r="A153" s="257" t="s">
        <v>3</v>
      </c>
      <c r="B153" s="260">
        <v>2006</v>
      </c>
      <c r="C153" s="249" t="s">
        <v>451</v>
      </c>
      <c r="D153" s="250" t="s">
        <v>687</v>
      </c>
      <c r="E153" s="264">
        <v>437216</v>
      </c>
      <c r="F153" s="249" t="s">
        <v>4</v>
      </c>
      <c r="G153" s="532">
        <v>327912</v>
      </c>
      <c r="H153" s="575"/>
      <c r="I153" s="531">
        <v>327912</v>
      </c>
      <c r="J153" s="265">
        <v>39569</v>
      </c>
    </row>
    <row r="154" spans="1:10" ht="38.25" x14ac:dyDescent="0.2">
      <c r="A154" s="257" t="s">
        <v>3</v>
      </c>
      <c r="B154" s="260">
        <v>2006</v>
      </c>
      <c r="C154" s="249" t="s">
        <v>452</v>
      </c>
      <c r="D154" s="250" t="s">
        <v>65</v>
      </c>
      <c r="E154" s="264">
        <v>1406960</v>
      </c>
      <c r="F154" s="249" t="s">
        <v>688</v>
      </c>
      <c r="G154" s="532">
        <v>346739</v>
      </c>
      <c r="H154" s="575"/>
      <c r="I154" s="531">
        <v>346739</v>
      </c>
      <c r="J154" s="265">
        <v>40350</v>
      </c>
    </row>
    <row r="155" spans="1:10" ht="38.25" x14ac:dyDescent="0.2">
      <c r="A155" s="257" t="s">
        <v>3</v>
      </c>
      <c r="B155" s="260">
        <v>2006</v>
      </c>
      <c r="C155" s="249" t="s">
        <v>453</v>
      </c>
      <c r="D155" s="250" t="s">
        <v>64</v>
      </c>
      <c r="E155" s="264">
        <v>71167</v>
      </c>
      <c r="F155" s="249" t="s">
        <v>2</v>
      </c>
      <c r="G155" s="532">
        <v>50000</v>
      </c>
      <c r="H155" s="575"/>
      <c r="I155" s="531">
        <v>50000</v>
      </c>
      <c r="J155" s="265">
        <v>39577</v>
      </c>
    </row>
    <row r="156" spans="1:10" x14ac:dyDescent="0.2">
      <c r="A156" s="128"/>
      <c r="B156" s="128"/>
      <c r="C156" s="128"/>
      <c r="D156" s="125"/>
      <c r="E156" s="126"/>
      <c r="F156" s="124"/>
      <c r="G156" s="127"/>
      <c r="H156" s="5"/>
      <c r="I156" s="129"/>
      <c r="J156" s="7"/>
    </row>
    <row r="157" spans="1:10" x14ac:dyDescent="0.2">
      <c r="G157" s="4"/>
      <c r="H157" s="3"/>
      <c r="I157" s="2"/>
    </row>
    <row r="158" spans="1:10" x14ac:dyDescent="0.2">
      <c r="A158" s="579" t="s">
        <v>382</v>
      </c>
      <c r="B158" s="579"/>
      <c r="C158" s="579"/>
      <c r="D158" s="579"/>
      <c r="E158" s="579"/>
      <c r="F158" s="579"/>
      <c r="G158" s="579"/>
      <c r="H158" s="579"/>
      <c r="I158" s="579"/>
      <c r="J158" s="579"/>
    </row>
    <row r="159" spans="1:10" x14ac:dyDescent="0.2">
      <c r="A159" s="579"/>
      <c r="B159" s="579"/>
      <c r="C159" s="579"/>
      <c r="D159" s="579"/>
      <c r="E159" s="579"/>
      <c r="F159" s="579"/>
      <c r="G159" s="579"/>
      <c r="H159" s="579"/>
      <c r="I159" s="579"/>
      <c r="J159" s="579"/>
    </row>
    <row r="160" spans="1:10" x14ac:dyDescent="0.2">
      <c r="A160" s="536"/>
      <c r="B160" s="536"/>
      <c r="C160" s="536"/>
      <c r="D160" s="536"/>
      <c r="E160" s="536"/>
      <c r="F160" s="536"/>
      <c r="G160" s="536"/>
      <c r="I160" s="536"/>
      <c r="J160" s="536"/>
    </row>
    <row r="161" spans="1:10" x14ac:dyDescent="0.2">
      <c r="A161" s="579" t="s">
        <v>850</v>
      </c>
      <c r="B161" s="579"/>
      <c r="C161" s="579"/>
      <c r="D161" s="579"/>
      <c r="E161" s="579"/>
      <c r="F161" s="579"/>
      <c r="G161" s="579"/>
      <c r="H161" s="579"/>
      <c r="I161" s="579"/>
      <c r="J161" s="579"/>
    </row>
    <row r="162" spans="1:10" x14ac:dyDescent="0.2">
      <c r="A162" s="579" t="s">
        <v>1163</v>
      </c>
      <c r="B162" s="579"/>
      <c r="C162" s="579"/>
      <c r="D162" s="579"/>
      <c r="E162" s="579"/>
      <c r="F162" s="579"/>
      <c r="G162" s="579"/>
      <c r="H162" s="579"/>
      <c r="I162" s="579"/>
      <c r="J162" s="579"/>
    </row>
    <row r="163" spans="1:10" x14ac:dyDescent="0.2">
      <c r="A163" s="579" t="s">
        <v>1164</v>
      </c>
      <c r="B163" s="579"/>
      <c r="C163" s="579"/>
      <c r="D163" s="579"/>
      <c r="E163" s="579"/>
      <c r="F163" s="579"/>
      <c r="G163" s="579"/>
      <c r="H163" s="579"/>
      <c r="I163" s="579"/>
      <c r="J163" s="579"/>
    </row>
    <row r="164" spans="1:10" x14ac:dyDescent="0.2">
      <c r="A164" s="579" t="s">
        <v>1165</v>
      </c>
      <c r="B164" s="579"/>
      <c r="C164" s="579"/>
      <c r="D164" s="579"/>
      <c r="E164" s="579"/>
      <c r="F164" s="579"/>
      <c r="G164" s="579"/>
      <c r="H164" s="579"/>
      <c r="I164" s="579"/>
      <c r="J164" s="579"/>
    </row>
    <row r="165" spans="1:10" x14ac:dyDescent="0.2">
      <c r="A165" s="101" t="s">
        <v>1166</v>
      </c>
      <c r="B165" s="536"/>
      <c r="C165" s="536"/>
      <c r="D165" s="536"/>
      <c r="E165" s="536"/>
      <c r="F165" s="536"/>
      <c r="G165" s="536"/>
      <c r="I165" s="536"/>
      <c r="J165" s="536"/>
    </row>
    <row r="166" spans="1:10" x14ac:dyDescent="0.2">
      <c r="A166" s="101" t="s">
        <v>1167</v>
      </c>
      <c r="B166" s="536"/>
      <c r="C166" s="536"/>
      <c r="D166" s="536"/>
      <c r="E166" s="536"/>
      <c r="F166" s="536"/>
      <c r="G166" s="536"/>
      <c r="I166" s="536"/>
      <c r="J166" s="536"/>
    </row>
    <row r="167" spans="1:10" x14ac:dyDescent="0.2">
      <c r="A167" s="101" t="s">
        <v>1168</v>
      </c>
      <c r="B167" s="536"/>
      <c r="C167" s="536"/>
      <c r="D167" s="536"/>
      <c r="E167" s="536"/>
      <c r="F167" s="536"/>
      <c r="G167" s="536"/>
      <c r="I167" s="536"/>
      <c r="J167" s="536"/>
    </row>
    <row r="168" spans="1:10" x14ac:dyDescent="0.2">
      <c r="A168" s="101" t="s">
        <v>1169</v>
      </c>
      <c r="B168" s="536"/>
      <c r="C168" s="536"/>
      <c r="D168" s="536"/>
      <c r="E168" s="536"/>
      <c r="F168" s="536"/>
      <c r="G168" s="536"/>
      <c r="I168" s="536"/>
      <c r="J168" s="536"/>
    </row>
    <row r="169" spans="1:10" x14ac:dyDescent="0.2">
      <c r="A169" s="101" t="s">
        <v>1170</v>
      </c>
      <c r="B169" s="536"/>
      <c r="C169" s="536"/>
      <c r="D169" s="536"/>
      <c r="E169" s="536"/>
      <c r="F169" s="536"/>
      <c r="G169" s="536"/>
      <c r="I169" s="536"/>
      <c r="J169" s="536"/>
    </row>
    <row r="170" spans="1:10" x14ac:dyDescent="0.2">
      <c r="A170" s="101" t="s">
        <v>1171</v>
      </c>
      <c r="B170" s="536"/>
      <c r="C170" s="536"/>
      <c r="D170" s="536"/>
      <c r="E170" s="536"/>
      <c r="F170" s="536"/>
      <c r="G170" s="536"/>
      <c r="I170" s="536"/>
      <c r="J170" s="536"/>
    </row>
    <row r="171" spans="1:10" x14ac:dyDescent="0.2">
      <c r="A171" s="101" t="s">
        <v>1172</v>
      </c>
      <c r="B171" s="536"/>
      <c r="C171" s="536"/>
      <c r="D171" s="536"/>
      <c r="E171" s="536"/>
      <c r="F171" s="536"/>
      <c r="G171" s="536"/>
      <c r="I171" s="536"/>
      <c r="J171" s="536"/>
    </row>
    <row r="172" spans="1:10" x14ac:dyDescent="0.2">
      <c r="A172" s="101" t="s">
        <v>1173</v>
      </c>
      <c r="B172" s="536"/>
      <c r="C172" s="536"/>
      <c r="D172" s="536"/>
      <c r="E172" s="536"/>
      <c r="F172" s="536"/>
      <c r="G172" s="536"/>
      <c r="I172" s="536"/>
      <c r="J172" s="536"/>
    </row>
    <row r="173" spans="1:10" x14ac:dyDescent="0.2">
      <c r="A173" s="101" t="s">
        <v>1174</v>
      </c>
      <c r="B173" s="536"/>
      <c r="C173" s="536"/>
      <c r="D173" s="536"/>
      <c r="E173" s="536"/>
      <c r="F173" s="536"/>
      <c r="G173" s="536"/>
      <c r="I173" s="536"/>
      <c r="J173" s="536"/>
    </row>
    <row r="174" spans="1:10" x14ac:dyDescent="0.2">
      <c r="A174" s="101" t="s">
        <v>1228</v>
      </c>
      <c r="B174" s="536"/>
      <c r="C174" s="536"/>
      <c r="D174" s="536"/>
      <c r="E174" s="536"/>
      <c r="F174" s="536"/>
      <c r="G174" s="536"/>
      <c r="I174" s="536"/>
      <c r="J174" s="536"/>
    </row>
    <row r="175" spans="1:10" x14ac:dyDescent="0.2">
      <c r="A175" s="101" t="s">
        <v>1229</v>
      </c>
      <c r="B175" s="536"/>
      <c r="C175" s="536"/>
      <c r="D175" s="536"/>
      <c r="E175" s="536"/>
      <c r="F175" s="536"/>
      <c r="G175" s="536"/>
      <c r="I175" s="536"/>
      <c r="J175" s="536"/>
    </row>
    <row r="176" spans="1:10" x14ac:dyDescent="0.2">
      <c r="A176" s="536"/>
      <c r="B176" s="536"/>
      <c r="C176" s="536"/>
      <c r="D176" s="536"/>
      <c r="E176" s="536"/>
      <c r="F176" s="536"/>
      <c r="G176" s="536"/>
      <c r="I176" s="536"/>
      <c r="J176" s="536"/>
    </row>
    <row r="177" spans="1:10" x14ac:dyDescent="0.2">
      <c r="A177" s="579" t="s">
        <v>1175</v>
      </c>
      <c r="B177" s="579"/>
      <c r="C177" s="579"/>
      <c r="D177" s="579"/>
      <c r="E177" s="579"/>
      <c r="F177" s="579"/>
      <c r="G177" s="579"/>
      <c r="H177" s="579"/>
      <c r="I177" s="579"/>
      <c r="J177" s="579"/>
    </row>
    <row r="178" spans="1:10" x14ac:dyDescent="0.2">
      <c r="A178" s="579" t="s">
        <v>1176</v>
      </c>
      <c r="B178" s="579"/>
      <c r="C178" s="579"/>
      <c r="D178" s="579"/>
      <c r="E178" s="579"/>
      <c r="F178" s="579"/>
      <c r="G178" s="579"/>
      <c r="H178" s="579"/>
      <c r="I178" s="579"/>
      <c r="J178" s="579"/>
    </row>
    <row r="179" spans="1:10" x14ac:dyDescent="0.2">
      <c r="A179" s="579" t="s">
        <v>1177</v>
      </c>
      <c r="B179" s="579"/>
      <c r="C179" s="579"/>
      <c r="D179" s="579"/>
      <c r="E179" s="579"/>
      <c r="F179" s="579"/>
      <c r="G179" s="579"/>
      <c r="H179" s="579"/>
      <c r="I179" s="579"/>
      <c r="J179" s="579"/>
    </row>
    <row r="180" spans="1:10" x14ac:dyDescent="0.2">
      <c r="A180" s="579" t="s">
        <v>1178</v>
      </c>
      <c r="B180" s="579"/>
      <c r="C180" s="579"/>
      <c r="D180" s="579"/>
      <c r="E180" s="579"/>
      <c r="F180" s="579"/>
      <c r="G180" s="579"/>
      <c r="H180" s="579"/>
      <c r="I180" s="579"/>
      <c r="J180" s="579"/>
    </row>
    <row r="181" spans="1:10" x14ac:dyDescent="0.2">
      <c r="A181" s="579" t="s">
        <v>1179</v>
      </c>
      <c r="B181" s="579"/>
      <c r="C181" s="579"/>
      <c r="D181" s="579"/>
      <c r="E181" s="579"/>
      <c r="F181" s="579"/>
      <c r="G181" s="579"/>
      <c r="H181" s="579"/>
      <c r="I181" s="579"/>
      <c r="J181" s="579"/>
    </row>
    <row r="182" spans="1:10" x14ac:dyDescent="0.2">
      <c r="A182" s="579" t="s">
        <v>1180</v>
      </c>
      <c r="B182" s="579"/>
      <c r="C182" s="579"/>
      <c r="D182" s="579"/>
      <c r="E182" s="579"/>
      <c r="F182" s="579"/>
      <c r="G182" s="579"/>
      <c r="H182" s="579"/>
      <c r="I182" s="579"/>
      <c r="J182" s="579"/>
    </row>
    <row r="183" spans="1:10" x14ac:dyDescent="0.2">
      <c r="A183" s="579" t="s">
        <v>1181</v>
      </c>
      <c r="B183" s="579"/>
      <c r="C183" s="579"/>
      <c r="D183" s="579"/>
      <c r="E183" s="579"/>
      <c r="F183" s="579"/>
      <c r="G183" s="579"/>
      <c r="H183" s="579"/>
      <c r="I183" s="579"/>
      <c r="J183" s="579"/>
    </row>
    <row r="184" spans="1:10" x14ac:dyDescent="0.2">
      <c r="A184" s="579" t="s">
        <v>1182</v>
      </c>
      <c r="B184" s="579"/>
      <c r="C184" s="579"/>
      <c r="D184" s="579"/>
      <c r="E184" s="579"/>
      <c r="F184" s="579"/>
      <c r="G184" s="579"/>
      <c r="H184" s="579"/>
      <c r="I184" s="579"/>
      <c r="J184" s="579"/>
    </row>
    <row r="185" spans="1:10" x14ac:dyDescent="0.2">
      <c r="A185" s="579" t="s">
        <v>1183</v>
      </c>
      <c r="B185" s="579"/>
      <c r="C185" s="579"/>
      <c r="D185" s="579"/>
      <c r="E185" s="579"/>
      <c r="F185" s="579"/>
      <c r="G185" s="579"/>
      <c r="H185" s="579"/>
      <c r="I185" s="579"/>
      <c r="J185" s="579"/>
    </row>
    <row r="186" spans="1:10" x14ac:dyDescent="0.2">
      <c r="A186" s="579" t="s">
        <v>1184</v>
      </c>
      <c r="B186" s="579"/>
      <c r="C186" s="579"/>
      <c r="D186" s="579"/>
      <c r="E186" s="579"/>
      <c r="F186" s="579"/>
      <c r="G186" s="579"/>
      <c r="H186" s="579"/>
      <c r="I186" s="579"/>
      <c r="J186" s="579"/>
    </row>
    <row r="187" spans="1:10" x14ac:dyDescent="0.2">
      <c r="A187" s="579" t="s">
        <v>1185</v>
      </c>
      <c r="B187" s="579"/>
      <c r="C187" s="579"/>
      <c r="D187" s="579"/>
      <c r="E187" s="579"/>
      <c r="F187" s="579"/>
      <c r="G187" s="579"/>
      <c r="H187" s="579"/>
      <c r="I187" s="579"/>
      <c r="J187" s="579"/>
    </row>
    <row r="188" spans="1:10" x14ac:dyDescent="0.2">
      <c r="A188" s="579" t="s">
        <v>1186</v>
      </c>
      <c r="B188" s="579"/>
      <c r="C188" s="579"/>
      <c r="D188" s="579"/>
      <c r="E188" s="579"/>
      <c r="F188" s="579"/>
      <c r="G188" s="579"/>
      <c r="H188" s="579"/>
      <c r="I188" s="579"/>
      <c r="J188" s="579"/>
    </row>
    <row r="189" spans="1:10" x14ac:dyDescent="0.2">
      <c r="A189" s="579" t="s">
        <v>1187</v>
      </c>
      <c r="B189" s="579"/>
      <c r="C189" s="579"/>
      <c r="D189" s="579"/>
      <c r="E189" s="579"/>
      <c r="F189" s="579"/>
      <c r="G189" s="579"/>
      <c r="H189" s="579"/>
      <c r="I189" s="579"/>
      <c r="J189" s="579"/>
    </row>
    <row r="190" spans="1:10" x14ac:dyDescent="0.2">
      <c r="A190" s="579" t="s">
        <v>1188</v>
      </c>
      <c r="B190" s="579"/>
      <c r="C190" s="579"/>
      <c r="D190" s="579"/>
      <c r="E190" s="579"/>
      <c r="F190" s="579"/>
      <c r="G190" s="579"/>
      <c r="H190" s="579"/>
      <c r="I190" s="579"/>
      <c r="J190" s="579"/>
    </row>
    <row r="191" spans="1:10" x14ac:dyDescent="0.2">
      <c r="A191" s="579" t="s">
        <v>1189</v>
      </c>
      <c r="B191" s="579"/>
      <c r="C191" s="579"/>
      <c r="D191" s="579"/>
      <c r="E191" s="579"/>
      <c r="F191" s="579"/>
      <c r="G191" s="579"/>
      <c r="H191" s="579"/>
      <c r="I191" s="579"/>
      <c r="J191" s="579"/>
    </row>
    <row r="192" spans="1:10" x14ac:dyDescent="0.2">
      <c r="A192" s="579" t="s">
        <v>1190</v>
      </c>
      <c r="B192" s="579"/>
      <c r="C192" s="579"/>
      <c r="D192" s="579"/>
      <c r="E192" s="579"/>
      <c r="F192" s="579"/>
      <c r="G192" s="579"/>
      <c r="H192" s="579"/>
      <c r="I192" s="579"/>
      <c r="J192" s="579"/>
    </row>
    <row r="193" spans="1:10" x14ac:dyDescent="0.2">
      <c r="A193" s="579" t="s">
        <v>1191</v>
      </c>
      <c r="B193" s="579"/>
      <c r="C193" s="579"/>
      <c r="D193" s="579"/>
      <c r="E193" s="579"/>
      <c r="F193" s="579"/>
      <c r="G193" s="579"/>
      <c r="H193" s="579"/>
      <c r="I193" s="579"/>
      <c r="J193" s="579"/>
    </row>
    <row r="194" spans="1:10" x14ac:dyDescent="0.2">
      <c r="A194" s="579" t="s">
        <v>1192</v>
      </c>
      <c r="B194" s="579"/>
      <c r="C194" s="579"/>
      <c r="D194" s="579"/>
      <c r="E194" s="579"/>
      <c r="F194" s="579"/>
      <c r="G194" s="579"/>
      <c r="H194" s="579"/>
      <c r="I194" s="579"/>
      <c r="J194" s="579"/>
    </row>
    <row r="195" spans="1:10" ht="12.75" customHeight="1" x14ac:dyDescent="0.2">
      <c r="A195" s="579" t="s">
        <v>1230</v>
      </c>
      <c r="B195" s="579"/>
      <c r="C195" s="579"/>
      <c r="D195" s="579"/>
      <c r="E195" s="579"/>
      <c r="F195" s="579"/>
      <c r="G195" s="579"/>
      <c r="H195" s="579"/>
      <c r="I195" s="579"/>
      <c r="J195" s="579"/>
    </row>
  </sheetData>
  <mergeCells count="26">
    <mergeCell ref="A195:J195"/>
    <mergeCell ref="A190:J190"/>
    <mergeCell ref="A191:J191"/>
    <mergeCell ref="A192:J192"/>
    <mergeCell ref="A193:J193"/>
    <mergeCell ref="A194:J194"/>
    <mergeCell ref="A185:J185"/>
    <mergeCell ref="A186:J186"/>
    <mergeCell ref="A187:J187"/>
    <mergeCell ref="A188:J188"/>
    <mergeCell ref="A189:J189"/>
    <mergeCell ref="A1:J1"/>
    <mergeCell ref="G2:H2"/>
    <mergeCell ref="A158:J159"/>
    <mergeCell ref="A161:J161"/>
    <mergeCell ref="A162:J162"/>
    <mergeCell ref="A163:J163"/>
    <mergeCell ref="A164:J164"/>
    <mergeCell ref="A181:J181"/>
    <mergeCell ref="A182:J182"/>
    <mergeCell ref="A183:J183"/>
    <mergeCell ref="A184:J184"/>
    <mergeCell ref="A177:J177"/>
    <mergeCell ref="A178:J178"/>
    <mergeCell ref="A179:J179"/>
    <mergeCell ref="A180:J180"/>
  </mergeCells>
  <printOptions horizontalCentered="1" verticalCentered="1"/>
  <pageMargins left="0.7" right="0.7" top="0.75" bottom="0.75" header="0.3" footer="0.3"/>
  <pageSetup paperSize="5" scale="70" fitToHeight="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19"/>
  <sheetViews>
    <sheetView zoomScale="80" zoomScaleNormal="80" workbookViewId="0">
      <selection activeCell="C17" sqref="C17"/>
    </sheetView>
  </sheetViews>
  <sheetFormatPr defaultRowHeight="12.75" x14ac:dyDescent="0.2"/>
  <cols>
    <col min="1" max="1" width="44.28515625" customWidth="1"/>
    <col min="2" max="2" width="45.28515625" customWidth="1"/>
    <col min="3" max="3" width="15.7109375" customWidth="1"/>
    <col min="4" max="4" width="15.140625" bestFit="1" customWidth="1"/>
    <col min="5" max="5" width="17.28515625" customWidth="1"/>
    <col min="6" max="6" width="15.140625" style="243" bestFit="1" customWidth="1"/>
    <col min="7" max="7" width="16" style="243" customWidth="1"/>
    <col min="8" max="8" width="26.85546875" style="243" customWidth="1"/>
    <col min="9" max="9" width="26" style="243" customWidth="1"/>
    <col min="253" max="253" width="22" customWidth="1"/>
    <col min="254" max="254" width="17.140625" customWidth="1"/>
    <col min="255" max="255" width="15.7109375" customWidth="1"/>
    <col min="256" max="256" width="12.7109375" customWidth="1"/>
    <col min="257" max="257" width="17.28515625" customWidth="1"/>
    <col min="258" max="258" width="12.7109375" customWidth="1"/>
    <col min="259" max="259" width="16" customWidth="1"/>
    <col min="260" max="260" width="15.28515625" customWidth="1"/>
    <col min="261" max="261" width="13.140625" customWidth="1"/>
    <col min="509" max="509" width="22" customWidth="1"/>
    <col min="510" max="510" width="17.140625" customWidth="1"/>
    <col min="511" max="511" width="15.7109375" customWidth="1"/>
    <col min="512" max="512" width="12.7109375" customWidth="1"/>
    <col min="513" max="513" width="17.28515625" customWidth="1"/>
    <col min="514" max="514" width="12.7109375" customWidth="1"/>
    <col min="515" max="515" width="16" customWidth="1"/>
    <col min="516" max="516" width="15.28515625" customWidth="1"/>
    <col min="517" max="517" width="13.140625" customWidth="1"/>
    <col min="765" max="765" width="22" customWidth="1"/>
    <col min="766" max="766" width="17.140625" customWidth="1"/>
    <col min="767" max="767" width="15.7109375" customWidth="1"/>
    <col min="768" max="768" width="12.7109375" customWidth="1"/>
    <col min="769" max="769" width="17.28515625" customWidth="1"/>
    <col min="770" max="770" width="12.7109375" customWidth="1"/>
    <col min="771" max="771" width="16" customWidth="1"/>
    <col min="772" max="772" width="15.28515625" customWidth="1"/>
    <col min="773" max="773" width="13.140625" customWidth="1"/>
    <col min="1021" max="1021" width="22" customWidth="1"/>
    <col min="1022" max="1022" width="17.140625" customWidth="1"/>
    <col min="1023" max="1023" width="15.7109375" customWidth="1"/>
    <col min="1024" max="1024" width="12.7109375" customWidth="1"/>
    <col min="1025" max="1025" width="17.28515625" customWidth="1"/>
    <col min="1026" max="1026" width="12.7109375" customWidth="1"/>
    <col min="1027" max="1027" width="16" customWidth="1"/>
    <col min="1028" max="1028" width="15.28515625" customWidth="1"/>
    <col min="1029" max="1029" width="13.140625" customWidth="1"/>
    <col min="1277" max="1277" width="22" customWidth="1"/>
    <col min="1278" max="1278" width="17.140625" customWidth="1"/>
    <col min="1279" max="1279" width="15.7109375" customWidth="1"/>
    <col min="1280" max="1280" width="12.7109375" customWidth="1"/>
    <col min="1281" max="1281" width="17.28515625" customWidth="1"/>
    <col min="1282" max="1282" width="12.7109375" customWidth="1"/>
    <col min="1283" max="1283" width="16" customWidth="1"/>
    <col min="1284" max="1284" width="15.28515625" customWidth="1"/>
    <col min="1285" max="1285" width="13.140625" customWidth="1"/>
    <col min="1533" max="1533" width="22" customWidth="1"/>
    <col min="1534" max="1534" width="17.140625" customWidth="1"/>
    <col min="1535" max="1535" width="15.7109375" customWidth="1"/>
    <col min="1536" max="1536" width="12.7109375" customWidth="1"/>
    <col min="1537" max="1537" width="17.28515625" customWidth="1"/>
    <col min="1538" max="1538" width="12.7109375" customWidth="1"/>
    <col min="1539" max="1539" width="16" customWidth="1"/>
    <col min="1540" max="1540" width="15.28515625" customWidth="1"/>
    <col min="1541" max="1541" width="13.140625" customWidth="1"/>
    <col min="1789" max="1789" width="22" customWidth="1"/>
    <col min="1790" max="1790" width="17.140625" customWidth="1"/>
    <col min="1791" max="1791" width="15.7109375" customWidth="1"/>
    <col min="1792" max="1792" width="12.7109375" customWidth="1"/>
    <col min="1793" max="1793" width="17.28515625" customWidth="1"/>
    <col min="1794" max="1794" width="12.7109375" customWidth="1"/>
    <col min="1795" max="1795" width="16" customWidth="1"/>
    <col min="1796" max="1796" width="15.28515625" customWidth="1"/>
    <col min="1797" max="1797" width="13.140625" customWidth="1"/>
    <col min="2045" max="2045" width="22" customWidth="1"/>
    <col min="2046" max="2046" width="17.140625" customWidth="1"/>
    <col min="2047" max="2047" width="15.7109375" customWidth="1"/>
    <col min="2048" max="2048" width="12.7109375" customWidth="1"/>
    <col min="2049" max="2049" width="17.28515625" customWidth="1"/>
    <col min="2050" max="2050" width="12.7109375" customWidth="1"/>
    <col min="2051" max="2051" width="16" customWidth="1"/>
    <col min="2052" max="2052" width="15.28515625" customWidth="1"/>
    <col min="2053" max="2053" width="13.140625" customWidth="1"/>
    <col min="2301" max="2301" width="22" customWidth="1"/>
    <col min="2302" max="2302" width="17.140625" customWidth="1"/>
    <col min="2303" max="2303" width="15.7109375" customWidth="1"/>
    <col min="2304" max="2304" width="12.7109375" customWidth="1"/>
    <col min="2305" max="2305" width="17.28515625" customWidth="1"/>
    <col min="2306" max="2306" width="12.7109375" customWidth="1"/>
    <col min="2307" max="2307" width="16" customWidth="1"/>
    <col min="2308" max="2308" width="15.28515625" customWidth="1"/>
    <col min="2309" max="2309" width="13.140625" customWidth="1"/>
    <col min="2557" max="2557" width="22" customWidth="1"/>
    <col min="2558" max="2558" width="17.140625" customWidth="1"/>
    <col min="2559" max="2559" width="15.7109375" customWidth="1"/>
    <col min="2560" max="2560" width="12.7109375" customWidth="1"/>
    <col min="2561" max="2561" width="17.28515625" customWidth="1"/>
    <col min="2562" max="2562" width="12.7109375" customWidth="1"/>
    <col min="2563" max="2563" width="16" customWidth="1"/>
    <col min="2564" max="2564" width="15.28515625" customWidth="1"/>
    <col min="2565" max="2565" width="13.140625" customWidth="1"/>
    <col min="2813" max="2813" width="22" customWidth="1"/>
    <col min="2814" max="2814" width="17.140625" customWidth="1"/>
    <col min="2815" max="2815" width="15.7109375" customWidth="1"/>
    <col min="2816" max="2816" width="12.7109375" customWidth="1"/>
    <col min="2817" max="2817" width="17.28515625" customWidth="1"/>
    <col min="2818" max="2818" width="12.7109375" customWidth="1"/>
    <col min="2819" max="2819" width="16" customWidth="1"/>
    <col min="2820" max="2820" width="15.28515625" customWidth="1"/>
    <col min="2821" max="2821" width="13.140625" customWidth="1"/>
    <col min="3069" max="3069" width="22" customWidth="1"/>
    <col min="3070" max="3070" width="17.140625" customWidth="1"/>
    <col min="3071" max="3071" width="15.7109375" customWidth="1"/>
    <col min="3072" max="3072" width="12.7109375" customWidth="1"/>
    <col min="3073" max="3073" width="17.28515625" customWidth="1"/>
    <col min="3074" max="3074" width="12.7109375" customWidth="1"/>
    <col min="3075" max="3075" width="16" customWidth="1"/>
    <col min="3076" max="3076" width="15.28515625" customWidth="1"/>
    <col min="3077" max="3077" width="13.140625" customWidth="1"/>
    <col min="3325" max="3325" width="22" customWidth="1"/>
    <col min="3326" max="3326" width="17.140625" customWidth="1"/>
    <col min="3327" max="3327" width="15.7109375" customWidth="1"/>
    <col min="3328" max="3328" width="12.7109375" customWidth="1"/>
    <col min="3329" max="3329" width="17.28515625" customWidth="1"/>
    <col min="3330" max="3330" width="12.7109375" customWidth="1"/>
    <col min="3331" max="3331" width="16" customWidth="1"/>
    <col min="3332" max="3332" width="15.28515625" customWidth="1"/>
    <col min="3333" max="3333" width="13.140625" customWidth="1"/>
    <col min="3581" max="3581" width="22" customWidth="1"/>
    <col min="3582" max="3582" width="17.140625" customWidth="1"/>
    <col min="3583" max="3583" width="15.7109375" customWidth="1"/>
    <col min="3584" max="3584" width="12.7109375" customWidth="1"/>
    <col min="3585" max="3585" width="17.28515625" customWidth="1"/>
    <col min="3586" max="3586" width="12.7109375" customWidth="1"/>
    <col min="3587" max="3587" width="16" customWidth="1"/>
    <col min="3588" max="3588" width="15.28515625" customWidth="1"/>
    <col min="3589" max="3589" width="13.140625" customWidth="1"/>
    <col min="3837" max="3837" width="22" customWidth="1"/>
    <col min="3838" max="3838" width="17.140625" customWidth="1"/>
    <col min="3839" max="3839" width="15.7109375" customWidth="1"/>
    <col min="3840" max="3840" width="12.7109375" customWidth="1"/>
    <col min="3841" max="3841" width="17.28515625" customWidth="1"/>
    <col min="3842" max="3842" width="12.7109375" customWidth="1"/>
    <col min="3843" max="3843" width="16" customWidth="1"/>
    <col min="3844" max="3844" width="15.28515625" customWidth="1"/>
    <col min="3845" max="3845" width="13.140625" customWidth="1"/>
    <col min="4093" max="4093" width="22" customWidth="1"/>
    <col min="4094" max="4094" width="17.140625" customWidth="1"/>
    <col min="4095" max="4095" width="15.7109375" customWidth="1"/>
    <col min="4096" max="4096" width="12.7109375" customWidth="1"/>
    <col min="4097" max="4097" width="17.28515625" customWidth="1"/>
    <col min="4098" max="4098" width="12.7109375" customWidth="1"/>
    <col min="4099" max="4099" width="16" customWidth="1"/>
    <col min="4100" max="4100" width="15.28515625" customWidth="1"/>
    <col min="4101" max="4101" width="13.140625" customWidth="1"/>
    <col min="4349" max="4349" width="22" customWidth="1"/>
    <col min="4350" max="4350" width="17.140625" customWidth="1"/>
    <col min="4351" max="4351" width="15.7109375" customWidth="1"/>
    <col min="4352" max="4352" width="12.7109375" customWidth="1"/>
    <col min="4353" max="4353" width="17.28515625" customWidth="1"/>
    <col min="4354" max="4354" width="12.7109375" customWidth="1"/>
    <col min="4355" max="4355" width="16" customWidth="1"/>
    <col min="4356" max="4356" width="15.28515625" customWidth="1"/>
    <col min="4357" max="4357" width="13.140625" customWidth="1"/>
    <col min="4605" max="4605" width="22" customWidth="1"/>
    <col min="4606" max="4606" width="17.140625" customWidth="1"/>
    <col min="4607" max="4607" width="15.7109375" customWidth="1"/>
    <col min="4608" max="4608" width="12.7109375" customWidth="1"/>
    <col min="4609" max="4609" width="17.28515625" customWidth="1"/>
    <col min="4610" max="4610" width="12.7109375" customWidth="1"/>
    <col min="4611" max="4611" width="16" customWidth="1"/>
    <col min="4612" max="4612" width="15.28515625" customWidth="1"/>
    <col min="4613" max="4613" width="13.140625" customWidth="1"/>
    <col min="4861" max="4861" width="22" customWidth="1"/>
    <col min="4862" max="4862" width="17.140625" customWidth="1"/>
    <col min="4863" max="4863" width="15.7109375" customWidth="1"/>
    <col min="4864" max="4864" width="12.7109375" customWidth="1"/>
    <col min="4865" max="4865" width="17.28515625" customWidth="1"/>
    <col min="4866" max="4866" width="12.7109375" customWidth="1"/>
    <col min="4867" max="4867" width="16" customWidth="1"/>
    <col min="4868" max="4868" width="15.28515625" customWidth="1"/>
    <col min="4869" max="4869" width="13.140625" customWidth="1"/>
    <col min="5117" max="5117" width="22" customWidth="1"/>
    <col min="5118" max="5118" width="17.140625" customWidth="1"/>
    <col min="5119" max="5119" width="15.7109375" customWidth="1"/>
    <col min="5120" max="5120" width="12.7109375" customWidth="1"/>
    <col min="5121" max="5121" width="17.28515625" customWidth="1"/>
    <col min="5122" max="5122" width="12.7109375" customWidth="1"/>
    <col min="5123" max="5123" width="16" customWidth="1"/>
    <col min="5124" max="5124" width="15.28515625" customWidth="1"/>
    <col min="5125" max="5125" width="13.140625" customWidth="1"/>
    <col min="5373" max="5373" width="22" customWidth="1"/>
    <col min="5374" max="5374" width="17.140625" customWidth="1"/>
    <col min="5375" max="5375" width="15.7109375" customWidth="1"/>
    <col min="5376" max="5376" width="12.7109375" customWidth="1"/>
    <col min="5377" max="5377" width="17.28515625" customWidth="1"/>
    <col min="5378" max="5378" width="12.7109375" customWidth="1"/>
    <col min="5379" max="5379" width="16" customWidth="1"/>
    <col min="5380" max="5380" width="15.28515625" customWidth="1"/>
    <col min="5381" max="5381" width="13.140625" customWidth="1"/>
    <col min="5629" max="5629" width="22" customWidth="1"/>
    <col min="5630" max="5630" width="17.140625" customWidth="1"/>
    <col min="5631" max="5631" width="15.7109375" customWidth="1"/>
    <col min="5632" max="5632" width="12.7109375" customWidth="1"/>
    <col min="5633" max="5633" width="17.28515625" customWidth="1"/>
    <col min="5634" max="5634" width="12.7109375" customWidth="1"/>
    <col min="5635" max="5635" width="16" customWidth="1"/>
    <col min="5636" max="5636" width="15.28515625" customWidth="1"/>
    <col min="5637" max="5637" width="13.140625" customWidth="1"/>
    <col min="5885" max="5885" width="22" customWidth="1"/>
    <col min="5886" max="5886" width="17.140625" customWidth="1"/>
    <col min="5887" max="5887" width="15.7109375" customWidth="1"/>
    <col min="5888" max="5888" width="12.7109375" customWidth="1"/>
    <col min="5889" max="5889" width="17.28515625" customWidth="1"/>
    <col min="5890" max="5890" width="12.7109375" customWidth="1"/>
    <col min="5891" max="5891" width="16" customWidth="1"/>
    <col min="5892" max="5892" width="15.28515625" customWidth="1"/>
    <col min="5893" max="5893" width="13.140625" customWidth="1"/>
    <col min="6141" max="6141" width="22" customWidth="1"/>
    <col min="6142" max="6142" width="17.140625" customWidth="1"/>
    <col min="6143" max="6143" width="15.7109375" customWidth="1"/>
    <col min="6144" max="6144" width="12.7109375" customWidth="1"/>
    <col min="6145" max="6145" width="17.28515625" customWidth="1"/>
    <col min="6146" max="6146" width="12.7109375" customWidth="1"/>
    <col min="6147" max="6147" width="16" customWidth="1"/>
    <col min="6148" max="6148" width="15.28515625" customWidth="1"/>
    <col min="6149" max="6149" width="13.140625" customWidth="1"/>
    <col min="6397" max="6397" width="22" customWidth="1"/>
    <col min="6398" max="6398" width="17.140625" customWidth="1"/>
    <col min="6399" max="6399" width="15.7109375" customWidth="1"/>
    <col min="6400" max="6400" width="12.7109375" customWidth="1"/>
    <col min="6401" max="6401" width="17.28515625" customWidth="1"/>
    <col min="6402" max="6402" width="12.7109375" customWidth="1"/>
    <col min="6403" max="6403" width="16" customWidth="1"/>
    <col min="6404" max="6404" width="15.28515625" customWidth="1"/>
    <col min="6405" max="6405" width="13.140625" customWidth="1"/>
    <col min="6653" max="6653" width="22" customWidth="1"/>
    <col min="6654" max="6654" width="17.140625" customWidth="1"/>
    <col min="6655" max="6655" width="15.7109375" customWidth="1"/>
    <col min="6656" max="6656" width="12.7109375" customWidth="1"/>
    <col min="6657" max="6657" width="17.28515625" customWidth="1"/>
    <col min="6658" max="6658" width="12.7109375" customWidth="1"/>
    <col min="6659" max="6659" width="16" customWidth="1"/>
    <col min="6660" max="6660" width="15.28515625" customWidth="1"/>
    <col min="6661" max="6661" width="13.140625" customWidth="1"/>
    <col min="6909" max="6909" width="22" customWidth="1"/>
    <col min="6910" max="6910" width="17.140625" customWidth="1"/>
    <col min="6911" max="6911" width="15.7109375" customWidth="1"/>
    <col min="6912" max="6912" width="12.7109375" customWidth="1"/>
    <col min="6913" max="6913" width="17.28515625" customWidth="1"/>
    <col min="6914" max="6914" width="12.7109375" customWidth="1"/>
    <col min="6915" max="6915" width="16" customWidth="1"/>
    <col min="6916" max="6916" width="15.28515625" customWidth="1"/>
    <col min="6917" max="6917" width="13.140625" customWidth="1"/>
    <col min="7165" max="7165" width="22" customWidth="1"/>
    <col min="7166" max="7166" width="17.140625" customWidth="1"/>
    <col min="7167" max="7167" width="15.7109375" customWidth="1"/>
    <col min="7168" max="7168" width="12.7109375" customWidth="1"/>
    <col min="7169" max="7169" width="17.28515625" customWidth="1"/>
    <col min="7170" max="7170" width="12.7109375" customWidth="1"/>
    <col min="7171" max="7171" width="16" customWidth="1"/>
    <col min="7172" max="7172" width="15.28515625" customWidth="1"/>
    <col min="7173" max="7173" width="13.140625" customWidth="1"/>
    <col min="7421" max="7421" width="22" customWidth="1"/>
    <col min="7422" max="7422" width="17.140625" customWidth="1"/>
    <col min="7423" max="7423" width="15.7109375" customWidth="1"/>
    <col min="7424" max="7424" width="12.7109375" customWidth="1"/>
    <col min="7425" max="7425" width="17.28515625" customWidth="1"/>
    <col min="7426" max="7426" width="12.7109375" customWidth="1"/>
    <col min="7427" max="7427" width="16" customWidth="1"/>
    <col min="7428" max="7428" width="15.28515625" customWidth="1"/>
    <col min="7429" max="7429" width="13.140625" customWidth="1"/>
    <col min="7677" max="7677" width="22" customWidth="1"/>
    <col min="7678" max="7678" width="17.140625" customWidth="1"/>
    <col min="7679" max="7679" width="15.7109375" customWidth="1"/>
    <col min="7680" max="7680" width="12.7109375" customWidth="1"/>
    <col min="7681" max="7681" width="17.28515625" customWidth="1"/>
    <col min="7682" max="7682" width="12.7109375" customWidth="1"/>
    <col min="7683" max="7683" width="16" customWidth="1"/>
    <col min="7684" max="7684" width="15.28515625" customWidth="1"/>
    <col min="7685" max="7685" width="13.140625" customWidth="1"/>
    <col min="7933" max="7933" width="22" customWidth="1"/>
    <col min="7934" max="7934" width="17.140625" customWidth="1"/>
    <col min="7935" max="7935" width="15.7109375" customWidth="1"/>
    <col min="7936" max="7936" width="12.7109375" customWidth="1"/>
    <col min="7937" max="7937" width="17.28515625" customWidth="1"/>
    <col min="7938" max="7938" width="12.7109375" customWidth="1"/>
    <col min="7939" max="7939" width="16" customWidth="1"/>
    <col min="7940" max="7940" width="15.28515625" customWidth="1"/>
    <col min="7941" max="7941" width="13.140625" customWidth="1"/>
    <col min="8189" max="8189" width="22" customWidth="1"/>
    <col min="8190" max="8190" width="17.140625" customWidth="1"/>
    <col min="8191" max="8191" width="15.7109375" customWidth="1"/>
    <col min="8192" max="8192" width="12.7109375" customWidth="1"/>
    <col min="8193" max="8193" width="17.28515625" customWidth="1"/>
    <col min="8194" max="8194" width="12.7109375" customWidth="1"/>
    <col min="8195" max="8195" width="16" customWidth="1"/>
    <col min="8196" max="8196" width="15.28515625" customWidth="1"/>
    <col min="8197" max="8197" width="13.140625" customWidth="1"/>
    <col min="8445" max="8445" width="22" customWidth="1"/>
    <col min="8446" max="8446" width="17.140625" customWidth="1"/>
    <col min="8447" max="8447" width="15.7109375" customWidth="1"/>
    <col min="8448" max="8448" width="12.7109375" customWidth="1"/>
    <col min="8449" max="8449" width="17.28515625" customWidth="1"/>
    <col min="8450" max="8450" width="12.7109375" customWidth="1"/>
    <col min="8451" max="8451" width="16" customWidth="1"/>
    <col min="8452" max="8452" width="15.28515625" customWidth="1"/>
    <col min="8453" max="8453" width="13.140625" customWidth="1"/>
    <col min="8701" max="8701" width="22" customWidth="1"/>
    <col min="8702" max="8702" width="17.140625" customWidth="1"/>
    <col min="8703" max="8703" width="15.7109375" customWidth="1"/>
    <col min="8704" max="8704" width="12.7109375" customWidth="1"/>
    <col min="8705" max="8705" width="17.28515625" customWidth="1"/>
    <col min="8706" max="8706" width="12.7109375" customWidth="1"/>
    <col min="8707" max="8707" width="16" customWidth="1"/>
    <col min="8708" max="8708" width="15.28515625" customWidth="1"/>
    <col min="8709" max="8709" width="13.140625" customWidth="1"/>
    <col min="8957" max="8957" width="22" customWidth="1"/>
    <col min="8958" max="8958" width="17.140625" customWidth="1"/>
    <col min="8959" max="8959" width="15.7109375" customWidth="1"/>
    <col min="8960" max="8960" width="12.7109375" customWidth="1"/>
    <col min="8961" max="8961" width="17.28515625" customWidth="1"/>
    <col min="8962" max="8962" width="12.7109375" customWidth="1"/>
    <col min="8963" max="8963" width="16" customWidth="1"/>
    <col min="8964" max="8964" width="15.28515625" customWidth="1"/>
    <col min="8965" max="8965" width="13.140625" customWidth="1"/>
    <col min="9213" max="9213" width="22" customWidth="1"/>
    <col min="9214" max="9214" width="17.140625" customWidth="1"/>
    <col min="9215" max="9215" width="15.7109375" customWidth="1"/>
    <col min="9216" max="9216" width="12.7109375" customWidth="1"/>
    <col min="9217" max="9217" width="17.28515625" customWidth="1"/>
    <col min="9218" max="9218" width="12.7109375" customWidth="1"/>
    <col min="9219" max="9219" width="16" customWidth="1"/>
    <col min="9220" max="9220" width="15.28515625" customWidth="1"/>
    <col min="9221" max="9221" width="13.140625" customWidth="1"/>
    <col min="9469" max="9469" width="22" customWidth="1"/>
    <col min="9470" max="9470" width="17.140625" customWidth="1"/>
    <col min="9471" max="9471" width="15.7109375" customWidth="1"/>
    <col min="9472" max="9472" width="12.7109375" customWidth="1"/>
    <col min="9473" max="9473" width="17.28515625" customWidth="1"/>
    <col min="9474" max="9474" width="12.7109375" customWidth="1"/>
    <col min="9475" max="9475" width="16" customWidth="1"/>
    <col min="9476" max="9476" width="15.28515625" customWidth="1"/>
    <col min="9477" max="9477" width="13.140625" customWidth="1"/>
    <col min="9725" max="9725" width="22" customWidth="1"/>
    <col min="9726" max="9726" width="17.140625" customWidth="1"/>
    <col min="9727" max="9727" width="15.7109375" customWidth="1"/>
    <col min="9728" max="9728" width="12.7109375" customWidth="1"/>
    <col min="9729" max="9729" width="17.28515625" customWidth="1"/>
    <col min="9730" max="9730" width="12.7109375" customWidth="1"/>
    <col min="9731" max="9731" width="16" customWidth="1"/>
    <col min="9732" max="9732" width="15.28515625" customWidth="1"/>
    <col min="9733" max="9733" width="13.140625" customWidth="1"/>
    <col min="9981" max="9981" width="22" customWidth="1"/>
    <col min="9982" max="9982" width="17.140625" customWidth="1"/>
    <col min="9983" max="9983" width="15.7109375" customWidth="1"/>
    <col min="9984" max="9984" width="12.7109375" customWidth="1"/>
    <col min="9985" max="9985" width="17.28515625" customWidth="1"/>
    <col min="9986" max="9986" width="12.7109375" customWidth="1"/>
    <col min="9987" max="9987" width="16" customWidth="1"/>
    <col min="9988" max="9988" width="15.28515625" customWidth="1"/>
    <col min="9989" max="9989" width="13.140625" customWidth="1"/>
    <col min="10237" max="10237" width="22" customWidth="1"/>
    <col min="10238" max="10238" width="17.140625" customWidth="1"/>
    <col min="10239" max="10239" width="15.7109375" customWidth="1"/>
    <col min="10240" max="10240" width="12.7109375" customWidth="1"/>
    <col min="10241" max="10241" width="17.28515625" customWidth="1"/>
    <col min="10242" max="10242" width="12.7109375" customWidth="1"/>
    <col min="10243" max="10243" width="16" customWidth="1"/>
    <col min="10244" max="10244" width="15.28515625" customWidth="1"/>
    <col min="10245" max="10245" width="13.140625" customWidth="1"/>
    <col min="10493" max="10493" width="22" customWidth="1"/>
    <col min="10494" max="10494" width="17.140625" customWidth="1"/>
    <col min="10495" max="10495" width="15.7109375" customWidth="1"/>
    <col min="10496" max="10496" width="12.7109375" customWidth="1"/>
    <col min="10497" max="10497" width="17.28515625" customWidth="1"/>
    <col min="10498" max="10498" width="12.7109375" customWidth="1"/>
    <col min="10499" max="10499" width="16" customWidth="1"/>
    <col min="10500" max="10500" width="15.28515625" customWidth="1"/>
    <col min="10501" max="10501" width="13.140625" customWidth="1"/>
    <col min="10749" max="10749" width="22" customWidth="1"/>
    <col min="10750" max="10750" width="17.140625" customWidth="1"/>
    <col min="10751" max="10751" width="15.7109375" customWidth="1"/>
    <col min="10752" max="10752" width="12.7109375" customWidth="1"/>
    <col min="10753" max="10753" width="17.28515625" customWidth="1"/>
    <col min="10754" max="10754" width="12.7109375" customWidth="1"/>
    <col min="10755" max="10755" width="16" customWidth="1"/>
    <col min="10756" max="10756" width="15.28515625" customWidth="1"/>
    <col min="10757" max="10757" width="13.140625" customWidth="1"/>
    <col min="11005" max="11005" width="22" customWidth="1"/>
    <col min="11006" max="11006" width="17.140625" customWidth="1"/>
    <col min="11007" max="11007" width="15.7109375" customWidth="1"/>
    <col min="11008" max="11008" width="12.7109375" customWidth="1"/>
    <col min="11009" max="11009" width="17.28515625" customWidth="1"/>
    <col min="11010" max="11010" width="12.7109375" customWidth="1"/>
    <col min="11011" max="11011" width="16" customWidth="1"/>
    <col min="11012" max="11012" width="15.28515625" customWidth="1"/>
    <col min="11013" max="11013" width="13.140625" customWidth="1"/>
    <col min="11261" max="11261" width="22" customWidth="1"/>
    <col min="11262" max="11262" width="17.140625" customWidth="1"/>
    <col min="11263" max="11263" width="15.7109375" customWidth="1"/>
    <col min="11264" max="11264" width="12.7109375" customWidth="1"/>
    <col min="11265" max="11265" width="17.28515625" customWidth="1"/>
    <col min="11266" max="11266" width="12.7109375" customWidth="1"/>
    <col min="11267" max="11267" width="16" customWidth="1"/>
    <col min="11268" max="11268" width="15.28515625" customWidth="1"/>
    <col min="11269" max="11269" width="13.140625" customWidth="1"/>
    <col min="11517" max="11517" width="22" customWidth="1"/>
    <col min="11518" max="11518" width="17.140625" customWidth="1"/>
    <col min="11519" max="11519" width="15.7109375" customWidth="1"/>
    <col min="11520" max="11520" width="12.7109375" customWidth="1"/>
    <col min="11521" max="11521" width="17.28515625" customWidth="1"/>
    <col min="11522" max="11522" width="12.7109375" customWidth="1"/>
    <col min="11523" max="11523" width="16" customWidth="1"/>
    <col min="11524" max="11524" width="15.28515625" customWidth="1"/>
    <col min="11525" max="11525" width="13.140625" customWidth="1"/>
    <col min="11773" max="11773" width="22" customWidth="1"/>
    <col min="11774" max="11774" width="17.140625" customWidth="1"/>
    <col min="11775" max="11775" width="15.7109375" customWidth="1"/>
    <col min="11776" max="11776" width="12.7109375" customWidth="1"/>
    <col min="11777" max="11777" width="17.28515625" customWidth="1"/>
    <col min="11778" max="11778" width="12.7109375" customWidth="1"/>
    <col min="11779" max="11779" width="16" customWidth="1"/>
    <col min="11780" max="11780" width="15.28515625" customWidth="1"/>
    <col min="11781" max="11781" width="13.140625" customWidth="1"/>
    <col min="12029" max="12029" width="22" customWidth="1"/>
    <col min="12030" max="12030" width="17.140625" customWidth="1"/>
    <col min="12031" max="12031" width="15.7109375" customWidth="1"/>
    <col min="12032" max="12032" width="12.7109375" customWidth="1"/>
    <col min="12033" max="12033" width="17.28515625" customWidth="1"/>
    <col min="12034" max="12034" width="12.7109375" customWidth="1"/>
    <col min="12035" max="12035" width="16" customWidth="1"/>
    <col min="12036" max="12036" width="15.28515625" customWidth="1"/>
    <col min="12037" max="12037" width="13.140625" customWidth="1"/>
    <col min="12285" max="12285" width="22" customWidth="1"/>
    <col min="12286" max="12286" width="17.140625" customWidth="1"/>
    <col min="12287" max="12287" width="15.7109375" customWidth="1"/>
    <col min="12288" max="12288" width="12.7109375" customWidth="1"/>
    <col min="12289" max="12289" width="17.28515625" customWidth="1"/>
    <col min="12290" max="12290" width="12.7109375" customWidth="1"/>
    <col min="12291" max="12291" width="16" customWidth="1"/>
    <col min="12292" max="12292" width="15.28515625" customWidth="1"/>
    <col min="12293" max="12293" width="13.140625" customWidth="1"/>
    <col min="12541" max="12541" width="22" customWidth="1"/>
    <col min="12542" max="12542" width="17.140625" customWidth="1"/>
    <col min="12543" max="12543" width="15.7109375" customWidth="1"/>
    <col min="12544" max="12544" width="12.7109375" customWidth="1"/>
    <col min="12545" max="12545" width="17.28515625" customWidth="1"/>
    <col min="12546" max="12546" width="12.7109375" customWidth="1"/>
    <col min="12547" max="12547" width="16" customWidth="1"/>
    <col min="12548" max="12548" width="15.28515625" customWidth="1"/>
    <col min="12549" max="12549" width="13.140625" customWidth="1"/>
    <col min="12797" max="12797" width="22" customWidth="1"/>
    <col min="12798" max="12798" width="17.140625" customWidth="1"/>
    <col min="12799" max="12799" width="15.7109375" customWidth="1"/>
    <col min="12800" max="12800" width="12.7109375" customWidth="1"/>
    <col min="12801" max="12801" width="17.28515625" customWidth="1"/>
    <col min="12802" max="12802" width="12.7109375" customWidth="1"/>
    <col min="12803" max="12803" width="16" customWidth="1"/>
    <col min="12804" max="12804" width="15.28515625" customWidth="1"/>
    <col min="12805" max="12805" width="13.140625" customWidth="1"/>
    <col min="13053" max="13053" width="22" customWidth="1"/>
    <col min="13054" max="13054" width="17.140625" customWidth="1"/>
    <col min="13055" max="13055" width="15.7109375" customWidth="1"/>
    <col min="13056" max="13056" width="12.7109375" customWidth="1"/>
    <col min="13057" max="13057" width="17.28515625" customWidth="1"/>
    <col min="13058" max="13058" width="12.7109375" customWidth="1"/>
    <col min="13059" max="13059" width="16" customWidth="1"/>
    <col min="13060" max="13060" width="15.28515625" customWidth="1"/>
    <col min="13061" max="13061" width="13.140625" customWidth="1"/>
    <col min="13309" max="13309" width="22" customWidth="1"/>
    <col min="13310" max="13310" width="17.140625" customWidth="1"/>
    <col min="13311" max="13311" width="15.7109375" customWidth="1"/>
    <col min="13312" max="13312" width="12.7109375" customWidth="1"/>
    <col min="13313" max="13313" width="17.28515625" customWidth="1"/>
    <col min="13314" max="13314" width="12.7109375" customWidth="1"/>
    <col min="13315" max="13315" width="16" customWidth="1"/>
    <col min="13316" max="13316" width="15.28515625" customWidth="1"/>
    <col min="13317" max="13317" width="13.140625" customWidth="1"/>
    <col min="13565" max="13565" width="22" customWidth="1"/>
    <col min="13566" max="13566" width="17.140625" customWidth="1"/>
    <col min="13567" max="13567" width="15.7109375" customWidth="1"/>
    <col min="13568" max="13568" width="12.7109375" customWidth="1"/>
    <col min="13569" max="13569" width="17.28515625" customWidth="1"/>
    <col min="13570" max="13570" width="12.7109375" customWidth="1"/>
    <col min="13571" max="13571" width="16" customWidth="1"/>
    <col min="13572" max="13572" width="15.28515625" customWidth="1"/>
    <col min="13573" max="13573" width="13.140625" customWidth="1"/>
    <col min="13821" max="13821" width="22" customWidth="1"/>
    <col min="13822" max="13822" width="17.140625" customWidth="1"/>
    <col min="13823" max="13823" width="15.7109375" customWidth="1"/>
    <col min="13824" max="13824" width="12.7109375" customWidth="1"/>
    <col min="13825" max="13825" width="17.28515625" customWidth="1"/>
    <col min="13826" max="13826" width="12.7109375" customWidth="1"/>
    <col min="13827" max="13827" width="16" customWidth="1"/>
    <col min="13828" max="13828" width="15.28515625" customWidth="1"/>
    <col min="13829" max="13829" width="13.140625" customWidth="1"/>
    <col min="14077" max="14077" width="22" customWidth="1"/>
    <col min="14078" max="14078" width="17.140625" customWidth="1"/>
    <col min="14079" max="14079" width="15.7109375" customWidth="1"/>
    <col min="14080" max="14080" width="12.7109375" customWidth="1"/>
    <col min="14081" max="14081" width="17.28515625" customWidth="1"/>
    <col min="14082" max="14082" width="12.7109375" customWidth="1"/>
    <col min="14083" max="14083" width="16" customWidth="1"/>
    <col min="14084" max="14084" width="15.28515625" customWidth="1"/>
    <col min="14085" max="14085" width="13.140625" customWidth="1"/>
    <col min="14333" max="14333" width="22" customWidth="1"/>
    <col min="14334" max="14334" width="17.140625" customWidth="1"/>
    <col min="14335" max="14335" width="15.7109375" customWidth="1"/>
    <col min="14336" max="14336" width="12.7109375" customWidth="1"/>
    <col min="14337" max="14337" width="17.28515625" customWidth="1"/>
    <col min="14338" max="14338" width="12.7109375" customWidth="1"/>
    <col min="14339" max="14339" width="16" customWidth="1"/>
    <col min="14340" max="14340" width="15.28515625" customWidth="1"/>
    <col min="14341" max="14341" width="13.140625" customWidth="1"/>
    <col min="14589" max="14589" width="22" customWidth="1"/>
    <col min="14590" max="14590" width="17.140625" customWidth="1"/>
    <col min="14591" max="14591" width="15.7109375" customWidth="1"/>
    <col min="14592" max="14592" width="12.7109375" customWidth="1"/>
    <col min="14593" max="14593" width="17.28515625" customWidth="1"/>
    <col min="14594" max="14594" width="12.7109375" customWidth="1"/>
    <col min="14595" max="14595" width="16" customWidth="1"/>
    <col min="14596" max="14596" width="15.28515625" customWidth="1"/>
    <col min="14597" max="14597" width="13.140625" customWidth="1"/>
    <col min="14845" max="14845" width="22" customWidth="1"/>
    <col min="14846" max="14846" width="17.140625" customWidth="1"/>
    <col min="14847" max="14847" width="15.7109375" customWidth="1"/>
    <col min="14848" max="14848" width="12.7109375" customWidth="1"/>
    <col min="14849" max="14849" width="17.28515625" customWidth="1"/>
    <col min="14850" max="14850" width="12.7109375" customWidth="1"/>
    <col min="14851" max="14851" width="16" customWidth="1"/>
    <col min="14852" max="14852" width="15.28515625" customWidth="1"/>
    <col min="14853" max="14853" width="13.140625" customWidth="1"/>
    <col min="15101" max="15101" width="22" customWidth="1"/>
    <col min="15102" max="15102" width="17.140625" customWidth="1"/>
    <col min="15103" max="15103" width="15.7109375" customWidth="1"/>
    <col min="15104" max="15104" width="12.7109375" customWidth="1"/>
    <col min="15105" max="15105" width="17.28515625" customWidth="1"/>
    <col min="15106" max="15106" width="12.7109375" customWidth="1"/>
    <col min="15107" max="15107" width="16" customWidth="1"/>
    <col min="15108" max="15108" width="15.28515625" customWidth="1"/>
    <col min="15109" max="15109" width="13.140625" customWidth="1"/>
    <col min="15357" max="15357" width="22" customWidth="1"/>
    <col min="15358" max="15358" width="17.140625" customWidth="1"/>
    <col min="15359" max="15359" width="15.7109375" customWidth="1"/>
    <col min="15360" max="15360" width="12.7109375" customWidth="1"/>
    <col min="15361" max="15361" width="17.28515625" customWidth="1"/>
    <col min="15362" max="15362" width="12.7109375" customWidth="1"/>
    <col min="15363" max="15363" width="16" customWidth="1"/>
    <col min="15364" max="15364" width="15.28515625" customWidth="1"/>
    <col min="15365" max="15365" width="13.140625" customWidth="1"/>
    <col min="15613" max="15613" width="22" customWidth="1"/>
    <col min="15614" max="15614" width="17.140625" customWidth="1"/>
    <col min="15615" max="15615" width="15.7109375" customWidth="1"/>
    <col min="15616" max="15616" width="12.7109375" customWidth="1"/>
    <col min="15617" max="15617" width="17.28515625" customWidth="1"/>
    <col min="15618" max="15618" width="12.7109375" customWidth="1"/>
    <col min="15619" max="15619" width="16" customWidth="1"/>
    <col min="15620" max="15620" width="15.28515625" customWidth="1"/>
    <col min="15621" max="15621" width="13.140625" customWidth="1"/>
    <col min="15869" max="15869" width="22" customWidth="1"/>
    <col min="15870" max="15870" width="17.140625" customWidth="1"/>
    <col min="15871" max="15871" width="15.7109375" customWidth="1"/>
    <col min="15872" max="15872" width="12.7109375" customWidth="1"/>
    <col min="15873" max="15873" width="17.28515625" customWidth="1"/>
    <col min="15874" max="15874" width="12.7109375" customWidth="1"/>
    <col min="15875" max="15875" width="16" customWidth="1"/>
    <col min="15876" max="15876" width="15.28515625" customWidth="1"/>
    <col min="15877" max="15877" width="13.140625" customWidth="1"/>
    <col min="16125" max="16125" width="22" customWidth="1"/>
    <col min="16126" max="16126" width="17.140625" customWidth="1"/>
    <col min="16127" max="16127" width="15.7109375" customWidth="1"/>
    <col min="16128" max="16128" width="12.7109375" customWidth="1"/>
    <col min="16129" max="16129" width="17.28515625" customWidth="1"/>
    <col min="16130" max="16130" width="12.7109375" customWidth="1"/>
    <col min="16131" max="16131" width="16" customWidth="1"/>
    <col min="16132" max="16132" width="15.28515625" customWidth="1"/>
    <col min="16133" max="16133" width="13.140625" customWidth="1"/>
  </cols>
  <sheetData>
    <row r="1" spans="1:9" ht="15" customHeight="1" x14ac:dyDescent="0.2">
      <c r="A1" s="584" t="s">
        <v>1268</v>
      </c>
      <c r="B1" s="584"/>
      <c r="C1" s="584"/>
      <c r="D1" s="584"/>
      <c r="E1" s="584"/>
      <c r="F1" s="584"/>
      <c r="G1" s="584"/>
      <c r="H1" s="584"/>
      <c r="I1" s="584"/>
    </row>
    <row r="2" spans="1:9" ht="60" x14ac:dyDescent="0.2">
      <c r="A2" s="63" t="s">
        <v>214</v>
      </c>
      <c r="B2" s="63" t="s">
        <v>0</v>
      </c>
      <c r="C2" s="102" t="s">
        <v>690</v>
      </c>
      <c r="D2" s="18" t="s">
        <v>90</v>
      </c>
      <c r="E2" s="102" t="s">
        <v>91</v>
      </c>
      <c r="F2" s="102" t="s">
        <v>92</v>
      </c>
      <c r="G2" s="102" t="s">
        <v>93</v>
      </c>
      <c r="H2" s="103" t="s">
        <v>94</v>
      </c>
      <c r="I2" s="103" t="s">
        <v>95</v>
      </c>
    </row>
    <row r="3" spans="1:9" ht="76.5" x14ac:dyDescent="0.2">
      <c r="A3" s="340" t="s">
        <v>1269</v>
      </c>
      <c r="B3" s="6" t="s">
        <v>1270</v>
      </c>
      <c r="C3" s="372">
        <v>7200000</v>
      </c>
      <c r="D3" s="372">
        <v>2119000</v>
      </c>
      <c r="E3" s="229" t="s">
        <v>388</v>
      </c>
      <c r="F3" s="514">
        <v>0</v>
      </c>
      <c r="G3" s="372">
        <v>2119000</v>
      </c>
      <c r="H3" s="229" t="s">
        <v>693</v>
      </c>
      <c r="I3" s="375">
        <v>46342</v>
      </c>
    </row>
    <row r="4" spans="1:9" ht="51" x14ac:dyDescent="0.2">
      <c r="A4" s="340" t="s">
        <v>1271</v>
      </c>
      <c r="B4" s="6" t="s">
        <v>1272</v>
      </c>
      <c r="C4" s="372">
        <v>941253</v>
      </c>
      <c r="D4" s="372">
        <v>568000</v>
      </c>
      <c r="E4" s="229" t="s">
        <v>388</v>
      </c>
      <c r="F4" s="514">
        <v>0</v>
      </c>
      <c r="G4" s="372">
        <v>0</v>
      </c>
      <c r="H4" s="229" t="s">
        <v>572</v>
      </c>
      <c r="I4" s="369" t="s">
        <v>13</v>
      </c>
    </row>
    <row r="5" spans="1:9" ht="15.75" x14ac:dyDescent="0.2">
      <c r="A5" s="584" t="s">
        <v>1074</v>
      </c>
      <c r="B5" s="584"/>
      <c r="C5" s="584"/>
      <c r="D5" s="584"/>
      <c r="E5" s="584"/>
      <c r="F5" s="584"/>
      <c r="G5" s="584"/>
      <c r="H5" s="584"/>
      <c r="I5" s="584"/>
    </row>
    <row r="6" spans="1:9" ht="60" x14ac:dyDescent="0.2">
      <c r="A6" s="63" t="s">
        <v>214</v>
      </c>
      <c r="B6" s="63" t="s">
        <v>0</v>
      </c>
      <c r="C6" s="102" t="s">
        <v>690</v>
      </c>
      <c r="D6" s="18" t="s">
        <v>90</v>
      </c>
      <c r="E6" s="102" t="s">
        <v>91</v>
      </c>
      <c r="F6" s="102" t="s">
        <v>92</v>
      </c>
      <c r="G6" s="102" t="s">
        <v>93</v>
      </c>
      <c r="H6" s="103" t="s">
        <v>94</v>
      </c>
      <c r="I6" s="103" t="s">
        <v>95</v>
      </c>
    </row>
    <row r="7" spans="1:9" ht="25.5" x14ac:dyDescent="0.2">
      <c r="A7" s="340" t="s">
        <v>1075</v>
      </c>
      <c r="B7" s="6" t="s">
        <v>1076</v>
      </c>
      <c r="C7" s="372">
        <v>14070389</v>
      </c>
      <c r="D7" s="372">
        <v>2612000</v>
      </c>
      <c r="E7" s="229" t="s">
        <v>388</v>
      </c>
      <c r="F7" s="514">
        <v>2612000</v>
      </c>
      <c r="G7" s="372">
        <v>0</v>
      </c>
      <c r="H7" s="229" t="s">
        <v>693</v>
      </c>
      <c r="I7" s="375">
        <v>46045</v>
      </c>
    </row>
    <row r="8" spans="1:9" ht="51" x14ac:dyDescent="0.2">
      <c r="A8" s="340" t="s">
        <v>1077</v>
      </c>
      <c r="B8" s="6" t="s">
        <v>1078</v>
      </c>
      <c r="C8" s="372">
        <v>981000</v>
      </c>
      <c r="D8" s="372">
        <v>784800</v>
      </c>
      <c r="E8" s="229" t="s">
        <v>388</v>
      </c>
      <c r="F8" s="514">
        <v>0</v>
      </c>
      <c r="G8" s="372">
        <v>784800</v>
      </c>
      <c r="H8" s="229" t="s">
        <v>693</v>
      </c>
      <c r="I8" s="375">
        <v>45521</v>
      </c>
    </row>
    <row r="9" spans="1:9" ht="38.25" x14ac:dyDescent="0.2">
      <c r="A9" s="340" t="s">
        <v>1079</v>
      </c>
      <c r="B9" s="6" t="s">
        <v>1080</v>
      </c>
      <c r="C9" s="372">
        <v>1349144</v>
      </c>
      <c r="D9" s="372">
        <v>1079315</v>
      </c>
      <c r="E9" s="229" t="s">
        <v>388</v>
      </c>
      <c r="F9" s="514">
        <v>747950</v>
      </c>
      <c r="G9" s="372">
        <v>331365</v>
      </c>
      <c r="H9" s="229" t="s">
        <v>693</v>
      </c>
      <c r="I9" s="375">
        <v>46097</v>
      </c>
    </row>
    <row r="10" spans="1:9" ht="38.25" x14ac:dyDescent="0.2">
      <c r="A10" s="336" t="s">
        <v>1081</v>
      </c>
      <c r="B10" s="6" t="s">
        <v>1082</v>
      </c>
      <c r="C10" s="372">
        <v>2697556</v>
      </c>
      <c r="D10" s="372">
        <v>1650000</v>
      </c>
      <c r="E10" s="229" t="s">
        <v>388</v>
      </c>
      <c r="F10" s="514">
        <v>1003082</v>
      </c>
      <c r="G10" s="372">
        <v>646918</v>
      </c>
      <c r="H10" s="229" t="s">
        <v>693</v>
      </c>
      <c r="I10" s="375">
        <v>46026</v>
      </c>
    </row>
    <row r="11" spans="1:9" ht="38.25" x14ac:dyDescent="0.2">
      <c r="A11" s="336" t="s">
        <v>1083</v>
      </c>
      <c r="B11" s="6" t="s">
        <v>1084</v>
      </c>
      <c r="C11" s="372">
        <v>125000</v>
      </c>
      <c r="D11" s="372">
        <v>100000</v>
      </c>
      <c r="E11" s="229" t="s">
        <v>388</v>
      </c>
      <c r="F11" s="514">
        <v>0</v>
      </c>
      <c r="G11" s="372">
        <v>100000</v>
      </c>
      <c r="H11" s="229" t="s">
        <v>693</v>
      </c>
      <c r="I11" s="375">
        <v>45477</v>
      </c>
    </row>
    <row r="12" spans="1:9" ht="38.25" x14ac:dyDescent="0.2">
      <c r="A12" s="336" t="s">
        <v>1085</v>
      </c>
      <c r="B12" s="1" t="s">
        <v>1086</v>
      </c>
      <c r="C12" s="372">
        <v>103050</v>
      </c>
      <c r="D12" s="372">
        <v>82440</v>
      </c>
      <c r="E12" s="229" t="s">
        <v>388</v>
      </c>
      <c r="F12" s="514">
        <v>0</v>
      </c>
      <c r="G12" s="372">
        <v>82440</v>
      </c>
      <c r="H12" s="229" t="s">
        <v>693</v>
      </c>
      <c r="I12" s="375">
        <v>45551</v>
      </c>
    </row>
    <row r="13" spans="1:9" ht="63.75" x14ac:dyDescent="0.2">
      <c r="A13" s="336" t="s">
        <v>1087</v>
      </c>
      <c r="B13" s="6" t="s">
        <v>1088</v>
      </c>
      <c r="C13" s="372">
        <v>200000</v>
      </c>
      <c r="D13" s="372">
        <v>100000</v>
      </c>
      <c r="E13" s="229" t="s">
        <v>388</v>
      </c>
      <c r="F13" s="514">
        <v>0</v>
      </c>
      <c r="G13" s="372">
        <v>100000</v>
      </c>
      <c r="H13" s="229" t="s">
        <v>693</v>
      </c>
      <c r="I13" s="375">
        <v>45645</v>
      </c>
    </row>
    <row r="14" spans="1:9" ht="15.75" x14ac:dyDescent="0.2">
      <c r="A14" s="584" t="s">
        <v>1089</v>
      </c>
      <c r="B14" s="584"/>
      <c r="C14" s="584"/>
      <c r="D14" s="584"/>
      <c r="E14" s="584"/>
      <c r="F14" s="584"/>
      <c r="G14" s="584"/>
      <c r="H14" s="584"/>
      <c r="I14" s="584"/>
    </row>
    <row r="15" spans="1:9" ht="60" x14ac:dyDescent="0.2">
      <c r="A15" s="63" t="s">
        <v>214</v>
      </c>
      <c r="B15" s="63" t="s">
        <v>0</v>
      </c>
      <c r="C15" s="102" t="s">
        <v>690</v>
      </c>
      <c r="D15" s="18" t="s">
        <v>90</v>
      </c>
      <c r="E15" s="102" t="s">
        <v>91</v>
      </c>
      <c r="F15" s="102" t="s">
        <v>92</v>
      </c>
      <c r="G15" s="102" t="s">
        <v>93</v>
      </c>
      <c r="H15" s="103" t="s">
        <v>94</v>
      </c>
      <c r="I15" s="103" t="s">
        <v>95</v>
      </c>
    </row>
    <row r="16" spans="1:9" ht="94.5" customHeight="1" x14ac:dyDescent="0.2">
      <c r="A16" s="229" t="s">
        <v>1015</v>
      </c>
      <c r="B16" s="6" t="s">
        <v>1016</v>
      </c>
      <c r="C16" s="372">
        <v>94500</v>
      </c>
      <c r="D16" s="372">
        <v>75600</v>
      </c>
      <c r="E16" s="229" t="s">
        <v>388</v>
      </c>
      <c r="F16" s="514">
        <v>54988</v>
      </c>
      <c r="G16" s="372">
        <f>D16-F16</f>
        <v>20612</v>
      </c>
      <c r="H16" s="229" t="s">
        <v>693</v>
      </c>
      <c r="I16" s="375">
        <v>45511</v>
      </c>
    </row>
    <row r="17" spans="1:9" ht="63.75" x14ac:dyDescent="0.2">
      <c r="A17" s="229" t="s">
        <v>1017</v>
      </c>
      <c r="B17" s="6" t="s">
        <v>1018</v>
      </c>
      <c r="C17" s="372">
        <v>734816</v>
      </c>
      <c r="D17" s="372">
        <v>391416</v>
      </c>
      <c r="E17" s="229" t="s">
        <v>388</v>
      </c>
      <c r="F17" s="514">
        <v>323958</v>
      </c>
      <c r="G17" s="372">
        <f>D17-F17</f>
        <v>67458</v>
      </c>
      <c r="H17" s="229" t="s">
        <v>693</v>
      </c>
      <c r="I17" s="375">
        <v>45636</v>
      </c>
    </row>
    <row r="18" spans="1:9" ht="51" x14ac:dyDescent="0.2">
      <c r="A18" s="229" t="s">
        <v>1019</v>
      </c>
      <c r="B18" s="6" t="s">
        <v>1020</v>
      </c>
      <c r="C18" s="372">
        <v>6915822</v>
      </c>
      <c r="D18" s="372">
        <v>1500000</v>
      </c>
      <c r="E18" s="229" t="s">
        <v>388</v>
      </c>
      <c r="F18" s="514">
        <v>0</v>
      </c>
      <c r="G18" s="372">
        <v>1500000</v>
      </c>
      <c r="H18" s="229" t="s">
        <v>693</v>
      </c>
      <c r="I18" s="375">
        <v>45874</v>
      </c>
    </row>
    <row r="19" spans="1:9" ht="63.75" x14ac:dyDescent="0.2">
      <c r="A19" s="229" t="s">
        <v>1021</v>
      </c>
      <c r="B19" s="6" t="s">
        <v>1022</v>
      </c>
      <c r="C19" s="372">
        <v>5276000</v>
      </c>
      <c r="D19" s="372">
        <v>1140000</v>
      </c>
      <c r="E19" s="229" t="s">
        <v>388</v>
      </c>
      <c r="F19" s="514">
        <v>0</v>
      </c>
      <c r="G19" s="372">
        <v>1140000</v>
      </c>
      <c r="H19" s="229" t="s">
        <v>693</v>
      </c>
      <c r="I19" s="375">
        <v>45782</v>
      </c>
    </row>
    <row r="20" spans="1:9" ht="153" x14ac:dyDescent="0.2">
      <c r="A20" s="229" t="s">
        <v>1023</v>
      </c>
      <c r="B20" s="1" t="s">
        <v>1024</v>
      </c>
      <c r="C20" s="372">
        <v>1375866</v>
      </c>
      <c r="D20" s="372">
        <v>687933</v>
      </c>
      <c r="E20" s="229" t="s">
        <v>388</v>
      </c>
      <c r="F20" s="514">
        <v>583731</v>
      </c>
      <c r="G20" s="372">
        <f>D20-F20</f>
        <v>104202</v>
      </c>
      <c r="H20" s="229" t="s">
        <v>693</v>
      </c>
      <c r="I20" s="375">
        <v>45787</v>
      </c>
    </row>
    <row r="21" spans="1:9" ht="63.75" x14ac:dyDescent="0.2">
      <c r="A21" s="229" t="s">
        <v>1090</v>
      </c>
      <c r="B21" s="6" t="s">
        <v>1025</v>
      </c>
      <c r="C21" s="372">
        <v>3140000</v>
      </c>
      <c r="D21" s="372">
        <v>380000</v>
      </c>
      <c r="E21" s="229" t="s">
        <v>388</v>
      </c>
      <c r="F21" s="514">
        <v>380000</v>
      </c>
      <c r="G21" s="372">
        <f>D21-F21</f>
        <v>0</v>
      </c>
      <c r="H21" s="229" t="s">
        <v>1277</v>
      </c>
      <c r="I21" s="229">
        <v>2023</v>
      </c>
    </row>
    <row r="22" spans="1:9" ht="89.25" x14ac:dyDescent="0.2">
      <c r="A22" s="229" t="s">
        <v>1026</v>
      </c>
      <c r="B22" s="6" t="s">
        <v>1027</v>
      </c>
      <c r="C22" s="372">
        <v>13719632</v>
      </c>
      <c r="D22" s="372">
        <v>550000</v>
      </c>
      <c r="E22" s="229" t="s">
        <v>388</v>
      </c>
      <c r="F22" s="514">
        <v>0</v>
      </c>
      <c r="G22" s="372">
        <v>0</v>
      </c>
      <c r="H22" s="229" t="s">
        <v>958</v>
      </c>
      <c r="I22" s="369" t="s">
        <v>13</v>
      </c>
    </row>
    <row r="23" spans="1:9" ht="15.75" x14ac:dyDescent="0.2">
      <c r="A23" s="584" t="s">
        <v>973</v>
      </c>
      <c r="B23" s="584"/>
      <c r="C23" s="584"/>
      <c r="D23" s="584"/>
      <c r="E23" s="584"/>
      <c r="F23" s="584"/>
      <c r="G23" s="584"/>
      <c r="H23" s="584"/>
      <c r="I23" s="584"/>
    </row>
    <row r="24" spans="1:9" ht="60" x14ac:dyDescent="0.2">
      <c r="A24" s="63" t="s">
        <v>214</v>
      </c>
      <c r="B24" s="63" t="s">
        <v>0</v>
      </c>
      <c r="C24" s="102" t="s">
        <v>690</v>
      </c>
      <c r="D24" s="18" t="s">
        <v>90</v>
      </c>
      <c r="E24" s="102" t="s">
        <v>91</v>
      </c>
      <c r="F24" s="102" t="s">
        <v>92</v>
      </c>
      <c r="G24" s="102" t="s">
        <v>93</v>
      </c>
      <c r="H24" s="103" t="s">
        <v>94</v>
      </c>
      <c r="I24" s="103" t="s">
        <v>95</v>
      </c>
    </row>
    <row r="25" spans="1:9" ht="51" x14ac:dyDescent="0.2">
      <c r="A25" s="6" t="s">
        <v>974</v>
      </c>
      <c r="B25" s="6" t="s">
        <v>975</v>
      </c>
      <c r="C25" s="515">
        <v>5400000</v>
      </c>
      <c r="D25" s="515">
        <v>2700000</v>
      </c>
      <c r="E25" s="229" t="s">
        <v>388</v>
      </c>
      <c r="F25" s="363">
        <v>0</v>
      </c>
      <c r="G25" s="515">
        <v>0</v>
      </c>
      <c r="H25" s="229" t="s">
        <v>572</v>
      </c>
      <c r="I25" s="364" t="s">
        <v>287</v>
      </c>
    </row>
    <row r="26" spans="1:9" ht="51" x14ac:dyDescent="0.2">
      <c r="A26" s="6" t="s">
        <v>976</v>
      </c>
      <c r="B26" s="336" t="s">
        <v>977</v>
      </c>
      <c r="C26" s="515">
        <v>285259</v>
      </c>
      <c r="D26" s="515">
        <v>228207</v>
      </c>
      <c r="E26" s="229" t="s">
        <v>388</v>
      </c>
      <c r="F26" s="363">
        <v>221965.87</v>
      </c>
      <c r="G26" s="515">
        <v>0</v>
      </c>
      <c r="H26" s="6" t="s">
        <v>235</v>
      </c>
      <c r="I26" s="365" t="s">
        <v>1091</v>
      </c>
    </row>
    <row r="27" spans="1:9" ht="89.25" x14ac:dyDescent="0.2">
      <c r="A27" s="6" t="s">
        <v>978</v>
      </c>
      <c r="B27" s="6" t="s">
        <v>979</v>
      </c>
      <c r="C27" s="515">
        <v>1300000</v>
      </c>
      <c r="D27" s="515">
        <v>487500</v>
      </c>
      <c r="E27" s="6" t="s">
        <v>388</v>
      </c>
      <c r="F27" s="366">
        <v>487500</v>
      </c>
      <c r="G27" s="515">
        <v>0</v>
      </c>
      <c r="H27" s="6" t="s">
        <v>235</v>
      </c>
      <c r="I27" s="365" t="s">
        <v>1028</v>
      </c>
    </row>
    <row r="28" spans="1:9" ht="114.75" x14ac:dyDescent="0.2">
      <c r="A28" s="6" t="s">
        <v>980</v>
      </c>
      <c r="B28" s="367" t="s">
        <v>981</v>
      </c>
      <c r="C28" s="515">
        <v>125000</v>
      </c>
      <c r="D28" s="515">
        <v>100000</v>
      </c>
      <c r="E28" s="6" t="s">
        <v>388</v>
      </c>
      <c r="F28" s="363">
        <v>0</v>
      </c>
      <c r="G28" s="515">
        <v>0</v>
      </c>
      <c r="H28" s="610" t="s">
        <v>1029</v>
      </c>
      <c r="I28" s="365" t="s">
        <v>13</v>
      </c>
    </row>
    <row r="29" spans="1:9" ht="63.75" customHeight="1" x14ac:dyDescent="0.2">
      <c r="A29" s="6" t="s">
        <v>982</v>
      </c>
      <c r="B29" s="6" t="s">
        <v>983</v>
      </c>
      <c r="C29" s="515">
        <v>100000</v>
      </c>
      <c r="D29" s="515">
        <v>80000</v>
      </c>
      <c r="E29" s="6" t="s">
        <v>388</v>
      </c>
      <c r="F29" s="363">
        <v>0</v>
      </c>
      <c r="G29" s="515">
        <v>0</v>
      </c>
      <c r="H29" s="6" t="s">
        <v>572</v>
      </c>
      <c r="I29" s="365" t="s">
        <v>1273</v>
      </c>
    </row>
    <row r="30" spans="1:9" ht="63.75" customHeight="1" x14ac:dyDescent="0.2">
      <c r="A30" s="6" t="s">
        <v>984</v>
      </c>
      <c r="B30" s="547" t="s">
        <v>985</v>
      </c>
      <c r="C30" s="515">
        <v>4677405</v>
      </c>
      <c r="D30" s="515">
        <v>500000</v>
      </c>
      <c r="E30" s="6" t="s">
        <v>388</v>
      </c>
      <c r="F30" s="363">
        <v>500000</v>
      </c>
      <c r="G30" s="515">
        <v>0</v>
      </c>
      <c r="H30" s="6" t="s">
        <v>1274</v>
      </c>
      <c r="I30" s="365" t="s">
        <v>1275</v>
      </c>
    </row>
    <row r="31" spans="1:9" ht="12" customHeight="1" x14ac:dyDescent="0.2">
      <c r="A31" s="222"/>
      <c r="B31" s="222"/>
      <c r="C31" s="368"/>
      <c r="D31" s="368"/>
      <c r="E31" s="222"/>
      <c r="F31" s="611">
        <f>SUM(F25:F30)</f>
        <v>1209465.8700000001</v>
      </c>
      <c r="G31" s="517">
        <f>SUM(G25:G30)</f>
        <v>0</v>
      </c>
      <c r="H31" s="222"/>
      <c r="I31" s="222"/>
    </row>
    <row r="32" spans="1:9" ht="15.75" x14ac:dyDescent="0.2">
      <c r="A32" s="584" t="s">
        <v>899</v>
      </c>
      <c r="B32" s="584"/>
      <c r="C32" s="584"/>
      <c r="D32" s="584"/>
      <c r="E32" s="584"/>
      <c r="F32" s="584"/>
      <c r="G32" s="584"/>
      <c r="H32" s="584"/>
      <c r="I32" s="584"/>
    </row>
    <row r="33" spans="1:9" ht="60" x14ac:dyDescent="0.2">
      <c r="A33" s="63" t="s">
        <v>214</v>
      </c>
      <c r="B33" s="230" t="s">
        <v>0</v>
      </c>
      <c r="C33" s="102" t="s">
        <v>690</v>
      </c>
      <c r="D33" s="18" t="s">
        <v>90</v>
      </c>
      <c r="E33" s="102" t="s">
        <v>91</v>
      </c>
      <c r="F33" s="102" t="s">
        <v>92</v>
      </c>
      <c r="G33" s="102" t="s">
        <v>93</v>
      </c>
      <c r="H33" s="103" t="s">
        <v>94</v>
      </c>
      <c r="I33" s="103" t="s">
        <v>95</v>
      </c>
    </row>
    <row r="34" spans="1:9" ht="54" x14ac:dyDescent="0.25">
      <c r="A34" s="229" t="s">
        <v>900</v>
      </c>
      <c r="B34" s="548" t="s">
        <v>901</v>
      </c>
      <c r="C34" s="518">
        <v>60000000</v>
      </c>
      <c r="D34" s="518">
        <v>2130973</v>
      </c>
      <c r="E34" s="58" t="s">
        <v>388</v>
      </c>
      <c r="F34" s="366">
        <v>2130973</v>
      </c>
      <c r="G34" s="612">
        <f>D34-F34</f>
        <v>0</v>
      </c>
      <c r="H34" s="58" t="s">
        <v>235</v>
      </c>
      <c r="I34" s="364">
        <v>44729</v>
      </c>
    </row>
    <row r="35" spans="1:9" ht="63.75" x14ac:dyDescent="0.2">
      <c r="A35" s="229" t="s">
        <v>902</v>
      </c>
      <c r="B35" s="228" t="s">
        <v>903</v>
      </c>
      <c r="C35" s="518">
        <v>100000</v>
      </c>
      <c r="D35" s="518">
        <v>80000</v>
      </c>
      <c r="E35" s="229" t="s">
        <v>904</v>
      </c>
      <c r="F35" s="516">
        <v>58371.44</v>
      </c>
      <c r="G35" s="612">
        <v>0</v>
      </c>
      <c r="H35" s="229" t="s">
        <v>235</v>
      </c>
      <c r="I35" s="364">
        <v>44409</v>
      </c>
    </row>
    <row r="36" spans="1:9" ht="63.75" customHeight="1" x14ac:dyDescent="0.2">
      <c r="A36" s="231" t="s">
        <v>905</v>
      </c>
      <c r="B36" s="228" t="s">
        <v>906</v>
      </c>
      <c r="C36" s="518">
        <v>40000</v>
      </c>
      <c r="D36" s="518">
        <v>32000</v>
      </c>
      <c r="E36" s="229" t="s">
        <v>904</v>
      </c>
      <c r="F36" s="519">
        <v>32000</v>
      </c>
      <c r="G36" s="518">
        <v>0</v>
      </c>
      <c r="H36" s="229" t="s">
        <v>235</v>
      </c>
      <c r="I36" s="364">
        <v>44409</v>
      </c>
    </row>
    <row r="37" spans="1:9" ht="63.75" customHeight="1" x14ac:dyDescent="0.2">
      <c r="A37" s="231" t="s">
        <v>907</v>
      </c>
      <c r="B37" s="228" t="s">
        <v>908</v>
      </c>
      <c r="C37" s="518">
        <v>2070284</v>
      </c>
      <c r="D37" s="518">
        <v>1657027</v>
      </c>
      <c r="E37" s="58" t="s">
        <v>388</v>
      </c>
      <c r="F37" s="519" t="s">
        <v>157</v>
      </c>
      <c r="G37" s="612">
        <v>0</v>
      </c>
      <c r="H37" s="229" t="s">
        <v>572</v>
      </c>
      <c r="I37" s="369" t="s">
        <v>287</v>
      </c>
    </row>
    <row r="38" spans="1:9" ht="16.5" customHeight="1" x14ac:dyDescent="0.2">
      <c r="A38" s="222"/>
      <c r="B38" s="222"/>
      <c r="C38" s="517">
        <f>SUM(C34:C37)</f>
        <v>62210284</v>
      </c>
      <c r="D38" s="517">
        <f>SUM(D34:D37)</f>
        <v>3900000</v>
      </c>
      <c r="E38" s="222"/>
      <c r="F38" s="368">
        <f>SUM(F34:F37)</f>
        <v>2221344.44</v>
      </c>
      <c r="G38" s="368">
        <f>SUM(G34:G37)</f>
        <v>0</v>
      </c>
      <c r="H38" s="222"/>
      <c r="I38" s="222"/>
    </row>
    <row r="39" spans="1:9" ht="15.75" x14ac:dyDescent="0.2">
      <c r="A39" s="584" t="s">
        <v>813</v>
      </c>
      <c r="B39" s="584"/>
      <c r="C39" s="584"/>
      <c r="D39" s="584"/>
      <c r="E39" s="584"/>
      <c r="F39" s="584"/>
      <c r="G39" s="584"/>
      <c r="H39" s="584"/>
      <c r="I39" s="584"/>
    </row>
    <row r="40" spans="1:9" ht="54.75" customHeight="1" x14ac:dyDescent="0.2">
      <c r="A40" s="63" t="s">
        <v>214</v>
      </c>
      <c r="B40" s="63" t="s">
        <v>0</v>
      </c>
      <c r="C40" s="102" t="s">
        <v>690</v>
      </c>
      <c r="D40" s="18" t="s">
        <v>90</v>
      </c>
      <c r="E40" s="102" t="s">
        <v>91</v>
      </c>
      <c r="F40" s="102" t="s">
        <v>92</v>
      </c>
      <c r="G40" s="102" t="s">
        <v>93</v>
      </c>
      <c r="H40" s="103" t="s">
        <v>94</v>
      </c>
      <c r="I40" s="103" t="s">
        <v>95</v>
      </c>
    </row>
    <row r="41" spans="1:9" ht="63.75" x14ac:dyDescent="0.2">
      <c r="A41" s="58" t="s">
        <v>814</v>
      </c>
      <c r="B41" s="6" t="s">
        <v>815</v>
      </c>
      <c r="C41" s="549">
        <v>638070</v>
      </c>
      <c r="D41" s="549">
        <v>510456</v>
      </c>
      <c r="E41" s="58" t="s">
        <v>388</v>
      </c>
      <c r="F41" s="519" t="s">
        <v>157</v>
      </c>
      <c r="G41" s="518">
        <v>0</v>
      </c>
      <c r="H41" s="229" t="s">
        <v>163</v>
      </c>
      <c r="I41" s="369" t="s">
        <v>287</v>
      </c>
    </row>
    <row r="42" spans="1:9" s="183" customFormat="1" ht="63.75" x14ac:dyDescent="0.2">
      <c r="A42" s="58" t="s">
        <v>532</v>
      </c>
      <c r="B42" s="228" t="s">
        <v>816</v>
      </c>
      <c r="C42" s="549">
        <v>2456000</v>
      </c>
      <c r="D42" s="549">
        <v>1028000</v>
      </c>
      <c r="E42" s="58" t="s">
        <v>817</v>
      </c>
      <c r="F42" s="519">
        <v>1028000</v>
      </c>
      <c r="G42" s="518">
        <v>0</v>
      </c>
      <c r="H42" s="229" t="s">
        <v>235</v>
      </c>
      <c r="I42" s="371">
        <v>44342</v>
      </c>
    </row>
    <row r="43" spans="1:9" ht="51" x14ac:dyDescent="0.2">
      <c r="A43" s="58" t="s">
        <v>781</v>
      </c>
      <c r="B43" s="228" t="s">
        <v>818</v>
      </c>
      <c r="C43" s="549">
        <v>5868666.8799999999</v>
      </c>
      <c r="D43" s="549">
        <v>835732</v>
      </c>
      <c r="E43" s="58" t="s">
        <v>388</v>
      </c>
      <c r="F43" s="366">
        <v>835732</v>
      </c>
      <c r="G43" s="550">
        <f>D43-F43</f>
        <v>0</v>
      </c>
      <c r="H43" s="229" t="s">
        <v>235</v>
      </c>
      <c r="I43" s="364">
        <v>44881</v>
      </c>
    </row>
    <row r="44" spans="1:9" ht="42.75" customHeight="1" x14ac:dyDescent="0.2">
      <c r="A44" s="58" t="s">
        <v>819</v>
      </c>
      <c r="B44" s="228" t="s">
        <v>820</v>
      </c>
      <c r="C44" s="549">
        <v>881000</v>
      </c>
      <c r="D44" s="549">
        <v>660750</v>
      </c>
      <c r="E44" s="58" t="s">
        <v>388</v>
      </c>
      <c r="F44" s="519" t="s">
        <v>157</v>
      </c>
      <c r="G44" s="518">
        <v>0</v>
      </c>
      <c r="H44" s="58" t="s">
        <v>572</v>
      </c>
      <c r="I44" s="370" t="s">
        <v>287</v>
      </c>
    </row>
    <row r="45" spans="1:9" ht="38.25" x14ac:dyDescent="0.2">
      <c r="A45" s="229" t="s">
        <v>821</v>
      </c>
      <c r="B45" s="228" t="s">
        <v>822</v>
      </c>
      <c r="C45" s="549">
        <v>189905.62</v>
      </c>
      <c r="D45" s="549">
        <v>151925</v>
      </c>
      <c r="E45" s="58" t="s">
        <v>388</v>
      </c>
      <c r="F45" s="519" t="s">
        <v>157</v>
      </c>
      <c r="G45" s="518">
        <v>0</v>
      </c>
      <c r="H45" s="6" t="s">
        <v>713</v>
      </c>
      <c r="I45" s="364" t="s">
        <v>287</v>
      </c>
    </row>
    <row r="46" spans="1:9" ht="15.75" customHeight="1" x14ac:dyDescent="0.2">
      <c r="A46" s="222"/>
      <c r="B46" s="222"/>
      <c r="C46" s="520">
        <f>SUM(C41:C45)</f>
        <v>10033642.499999998</v>
      </c>
      <c r="D46" s="520">
        <f>SUM(D41:D45)</f>
        <v>3186863</v>
      </c>
      <c r="E46" s="222"/>
      <c r="F46" s="368">
        <f>SUM(F41:F45)</f>
        <v>1863732</v>
      </c>
      <c r="G46" s="368">
        <f>SUM(G41:G45)</f>
        <v>0</v>
      </c>
      <c r="H46" s="222"/>
      <c r="I46" s="222"/>
    </row>
    <row r="47" spans="1:9" ht="15.75" x14ac:dyDescent="0.2">
      <c r="A47" s="584" t="s">
        <v>776</v>
      </c>
      <c r="B47" s="584"/>
      <c r="C47" s="584"/>
      <c r="D47" s="584"/>
      <c r="E47" s="584"/>
      <c r="F47" s="584"/>
      <c r="G47" s="584"/>
      <c r="H47" s="584"/>
      <c r="I47" s="584"/>
    </row>
    <row r="48" spans="1:9" s="183" customFormat="1" ht="60" x14ac:dyDescent="0.2">
      <c r="A48" s="63" t="s">
        <v>214</v>
      </c>
      <c r="B48" s="63" t="s">
        <v>0</v>
      </c>
      <c r="C48" s="102" t="s">
        <v>690</v>
      </c>
      <c r="D48" s="18" t="s">
        <v>90</v>
      </c>
      <c r="E48" s="102" t="s">
        <v>91</v>
      </c>
      <c r="F48" s="232" t="s">
        <v>92</v>
      </c>
      <c r="G48" s="232" t="s">
        <v>93</v>
      </c>
      <c r="H48" s="233" t="s">
        <v>94</v>
      </c>
      <c r="I48" s="233" t="s">
        <v>95</v>
      </c>
    </row>
    <row r="49" spans="1:10" ht="38.25" x14ac:dyDescent="0.2">
      <c r="A49" s="58" t="s">
        <v>165</v>
      </c>
      <c r="B49" s="6" t="s">
        <v>777</v>
      </c>
      <c r="C49" s="549">
        <v>5169660</v>
      </c>
      <c r="D49" s="549">
        <v>1008000</v>
      </c>
      <c r="E49" s="58" t="s">
        <v>388</v>
      </c>
      <c r="F49" s="551">
        <v>1008000</v>
      </c>
      <c r="G49" s="549">
        <v>0</v>
      </c>
      <c r="H49" s="229" t="s">
        <v>235</v>
      </c>
      <c r="I49" s="364">
        <v>44139</v>
      </c>
    </row>
    <row r="50" spans="1:10" ht="76.5" x14ac:dyDescent="0.2">
      <c r="A50" s="58" t="s">
        <v>699</v>
      </c>
      <c r="B50" s="6" t="s">
        <v>779</v>
      </c>
      <c r="C50" s="549">
        <v>1384000</v>
      </c>
      <c r="D50" s="549">
        <v>655000</v>
      </c>
      <c r="E50" s="58" t="s">
        <v>388</v>
      </c>
      <c r="F50" s="552" t="s">
        <v>778</v>
      </c>
      <c r="G50" s="549">
        <v>0</v>
      </c>
      <c r="H50" s="58" t="s">
        <v>572</v>
      </c>
      <c r="I50" s="369" t="s">
        <v>242</v>
      </c>
    </row>
    <row r="51" spans="1:10" ht="38.25" x14ac:dyDescent="0.2">
      <c r="A51" s="229" t="s">
        <v>909</v>
      </c>
      <c r="B51" s="6" t="s">
        <v>780</v>
      </c>
      <c r="C51" s="549">
        <v>5334455.18</v>
      </c>
      <c r="D51" s="549">
        <v>952482</v>
      </c>
      <c r="E51" s="58" t="s">
        <v>388</v>
      </c>
      <c r="F51" s="366">
        <v>952482</v>
      </c>
      <c r="G51" s="549">
        <v>0</v>
      </c>
      <c r="H51" s="229" t="s">
        <v>235</v>
      </c>
      <c r="I51" s="371">
        <v>43571</v>
      </c>
    </row>
    <row r="52" spans="1:10" ht="15.75" customHeight="1" x14ac:dyDescent="0.2">
      <c r="A52" s="222"/>
      <c r="B52" s="222"/>
      <c r="C52" s="520">
        <f>SUM(C49:C51)</f>
        <v>11888115.18</v>
      </c>
      <c r="D52" s="521">
        <f>SUM(D49:D51)</f>
        <v>2615482</v>
      </c>
      <c r="E52" s="222"/>
      <c r="F52" s="368">
        <f>SUM(F49:F51)</f>
        <v>1960482</v>
      </c>
      <c r="G52" s="368">
        <f>SUM(G49:G51)</f>
        <v>0</v>
      </c>
      <c r="H52" s="222"/>
      <c r="I52" s="222"/>
    </row>
    <row r="53" spans="1:10" ht="15.75" x14ac:dyDescent="0.2">
      <c r="A53" s="584" t="s">
        <v>689</v>
      </c>
      <c r="B53" s="584"/>
      <c r="C53" s="584"/>
      <c r="D53" s="584"/>
      <c r="E53" s="584"/>
      <c r="F53" s="584"/>
      <c r="G53" s="584"/>
      <c r="H53" s="584"/>
      <c r="I53" s="584"/>
    </row>
    <row r="54" spans="1:10" ht="60" x14ac:dyDescent="0.2">
      <c r="A54" s="63" t="s">
        <v>214</v>
      </c>
      <c r="B54" s="63" t="s">
        <v>0</v>
      </c>
      <c r="C54" s="102" t="s">
        <v>690</v>
      </c>
      <c r="D54" s="18" t="s">
        <v>90</v>
      </c>
      <c r="E54" s="102" t="s">
        <v>91</v>
      </c>
      <c r="F54" s="102" t="s">
        <v>92</v>
      </c>
      <c r="G54" s="102" t="s">
        <v>93</v>
      </c>
      <c r="H54" s="103" t="s">
        <v>94</v>
      </c>
      <c r="I54" s="103" t="s">
        <v>95</v>
      </c>
    </row>
    <row r="55" spans="1:10" ht="25.5" x14ac:dyDescent="0.2">
      <c r="A55" s="6" t="s">
        <v>691</v>
      </c>
      <c r="B55" s="6" t="s">
        <v>692</v>
      </c>
      <c r="C55" s="362">
        <v>10282248</v>
      </c>
      <c r="D55" s="362">
        <v>926000</v>
      </c>
      <c r="E55" s="229" t="s">
        <v>388</v>
      </c>
      <c r="F55" s="363">
        <v>926000</v>
      </c>
      <c r="G55" s="362">
        <v>0</v>
      </c>
      <c r="H55" s="6" t="s">
        <v>235</v>
      </c>
      <c r="I55" s="364">
        <v>43168</v>
      </c>
    </row>
    <row r="56" spans="1:10" ht="51" x14ac:dyDescent="0.2">
      <c r="A56" s="100" t="s">
        <v>694</v>
      </c>
      <c r="B56" s="336" t="s">
        <v>695</v>
      </c>
      <c r="C56" s="362">
        <v>3268280</v>
      </c>
      <c r="D56" s="362">
        <v>108000</v>
      </c>
      <c r="E56" s="229" t="s">
        <v>388</v>
      </c>
      <c r="F56" s="363">
        <v>108000</v>
      </c>
      <c r="G56" s="362">
        <v>0</v>
      </c>
      <c r="H56" s="6" t="s">
        <v>910</v>
      </c>
      <c r="I56" s="365" t="s">
        <v>823</v>
      </c>
    </row>
    <row r="57" spans="1:10" ht="51" x14ac:dyDescent="0.2">
      <c r="A57" s="6" t="s">
        <v>781</v>
      </c>
      <c r="B57" s="6" t="s">
        <v>696</v>
      </c>
      <c r="C57" s="362">
        <v>5427934</v>
      </c>
      <c r="D57" s="362">
        <v>1100000</v>
      </c>
      <c r="E57" s="6" t="s">
        <v>388</v>
      </c>
      <c r="F57" s="363">
        <v>1100000</v>
      </c>
      <c r="G57" s="362">
        <v>0</v>
      </c>
      <c r="H57" s="6" t="s">
        <v>910</v>
      </c>
      <c r="I57" s="365" t="s">
        <v>911</v>
      </c>
    </row>
    <row r="58" spans="1:10" ht="38.25" x14ac:dyDescent="0.2">
      <c r="A58" s="6" t="s">
        <v>697</v>
      </c>
      <c r="B58" s="6" t="s">
        <v>698</v>
      </c>
      <c r="C58" s="362">
        <v>1100000</v>
      </c>
      <c r="D58" s="362">
        <v>24000</v>
      </c>
      <c r="E58" s="6" t="s">
        <v>388</v>
      </c>
      <c r="F58" s="363">
        <v>0</v>
      </c>
      <c r="G58" s="362">
        <v>0</v>
      </c>
      <c r="H58" s="6" t="s">
        <v>572</v>
      </c>
      <c r="I58" s="365" t="s">
        <v>287</v>
      </c>
    </row>
    <row r="59" spans="1:10" ht="38.25" x14ac:dyDescent="0.2">
      <c r="A59" s="6" t="s">
        <v>699</v>
      </c>
      <c r="B59" s="6" t="s">
        <v>700</v>
      </c>
      <c r="C59" s="362">
        <v>951866</v>
      </c>
      <c r="D59" s="362">
        <v>696436</v>
      </c>
      <c r="E59" s="6" t="s">
        <v>388</v>
      </c>
      <c r="F59" s="363">
        <v>522570.46</v>
      </c>
      <c r="G59" s="362">
        <v>0</v>
      </c>
      <c r="H59" s="6" t="s">
        <v>235</v>
      </c>
      <c r="I59" s="365" t="s">
        <v>1030</v>
      </c>
    </row>
    <row r="60" spans="1:10" ht="38.25" x14ac:dyDescent="0.2">
      <c r="A60" s="6" t="s">
        <v>701</v>
      </c>
      <c r="B60" s="6" t="s">
        <v>702</v>
      </c>
      <c r="C60" s="362">
        <v>196171</v>
      </c>
      <c r="D60" s="362">
        <v>156936</v>
      </c>
      <c r="E60" s="6" t="s">
        <v>388</v>
      </c>
      <c r="F60" s="363">
        <v>156936</v>
      </c>
      <c r="G60" s="362">
        <v>0</v>
      </c>
      <c r="H60" s="6" t="s">
        <v>235</v>
      </c>
      <c r="I60" s="365" t="s">
        <v>1031</v>
      </c>
    </row>
    <row r="61" spans="1:10" ht="38.25" x14ac:dyDescent="0.2">
      <c r="A61" s="6" t="s">
        <v>703</v>
      </c>
      <c r="B61" s="6" t="s">
        <v>704</v>
      </c>
      <c r="C61" s="362">
        <v>602312</v>
      </c>
      <c r="D61" s="362">
        <v>385000</v>
      </c>
      <c r="E61" s="6" t="s">
        <v>388</v>
      </c>
      <c r="F61" s="363">
        <v>321611.17</v>
      </c>
      <c r="G61" s="362">
        <v>0</v>
      </c>
      <c r="H61" s="6" t="s">
        <v>136</v>
      </c>
      <c r="I61" s="365" t="s">
        <v>824</v>
      </c>
    </row>
    <row r="62" spans="1:10" ht="38.25" x14ac:dyDescent="0.2">
      <c r="A62" s="6" t="s">
        <v>705</v>
      </c>
      <c r="B62" s="6" t="s">
        <v>706</v>
      </c>
      <c r="C62" s="362">
        <v>987551</v>
      </c>
      <c r="D62" s="362">
        <v>493775</v>
      </c>
      <c r="E62" s="6" t="s">
        <v>388</v>
      </c>
      <c r="F62" s="363">
        <v>493775</v>
      </c>
      <c r="G62" s="362">
        <v>0</v>
      </c>
      <c r="H62" s="6" t="s">
        <v>136</v>
      </c>
      <c r="I62" s="365" t="s">
        <v>986</v>
      </c>
    </row>
    <row r="63" spans="1:10" ht="38.25" x14ac:dyDescent="0.2">
      <c r="A63" s="6" t="s">
        <v>707</v>
      </c>
      <c r="B63" s="6" t="s">
        <v>708</v>
      </c>
      <c r="C63" s="362">
        <v>2500000</v>
      </c>
      <c r="D63" s="362">
        <v>500000</v>
      </c>
      <c r="E63" s="6" t="s">
        <v>388</v>
      </c>
      <c r="F63" s="363">
        <v>0</v>
      </c>
      <c r="G63" s="362">
        <v>0</v>
      </c>
      <c r="H63" s="6" t="s">
        <v>572</v>
      </c>
      <c r="I63" s="365" t="s">
        <v>287</v>
      </c>
      <c r="J63" s="62"/>
    </row>
    <row r="64" spans="1:10" ht="51" x14ac:dyDescent="0.2">
      <c r="A64" s="6" t="s">
        <v>709</v>
      </c>
      <c r="B64" s="6" t="s">
        <v>710</v>
      </c>
      <c r="C64" s="362">
        <v>250196</v>
      </c>
      <c r="D64" s="362">
        <v>200157</v>
      </c>
      <c r="E64" s="6" t="s">
        <v>388</v>
      </c>
      <c r="F64" s="363">
        <v>174795.97</v>
      </c>
      <c r="G64" s="362">
        <v>0</v>
      </c>
      <c r="H64" s="6" t="s">
        <v>235</v>
      </c>
      <c r="I64" s="365" t="s">
        <v>1032</v>
      </c>
    </row>
    <row r="65" spans="1:10" ht="25.5" x14ac:dyDescent="0.2">
      <c r="A65" s="6" t="s">
        <v>711</v>
      </c>
      <c r="B65" s="6" t="s">
        <v>712</v>
      </c>
      <c r="C65" s="362">
        <v>70400</v>
      </c>
      <c r="D65" s="362">
        <v>56320</v>
      </c>
      <c r="E65" s="6" t="s">
        <v>388</v>
      </c>
      <c r="F65" s="363">
        <v>56320</v>
      </c>
      <c r="G65" s="362">
        <v>0</v>
      </c>
      <c r="H65" s="6" t="s">
        <v>912</v>
      </c>
      <c r="I65" s="365" t="s">
        <v>782</v>
      </c>
    </row>
    <row r="66" spans="1:10" ht="15.75" customHeight="1" x14ac:dyDescent="0.2">
      <c r="A66" s="64"/>
      <c r="B66" s="64"/>
      <c r="C66" s="70">
        <f>SUM(C55:C65)</f>
        <v>25636958</v>
      </c>
      <c r="D66" s="70">
        <f>SUM(D55:D65)</f>
        <v>4646624</v>
      </c>
      <c r="E66" s="70"/>
      <c r="F66" s="70">
        <f>SUM(F55:F65)</f>
        <v>3860008.6</v>
      </c>
      <c r="G66" s="70">
        <f>SUM(G55:G65)</f>
        <v>0</v>
      </c>
      <c r="H66" s="65"/>
      <c r="I66" s="65"/>
    </row>
    <row r="67" spans="1:10" ht="15.75" x14ac:dyDescent="0.2">
      <c r="A67" s="584" t="s">
        <v>560</v>
      </c>
      <c r="B67" s="584"/>
      <c r="C67" s="584"/>
      <c r="D67" s="584"/>
      <c r="E67" s="584"/>
      <c r="F67" s="584"/>
      <c r="G67" s="584"/>
      <c r="H67" s="584"/>
      <c r="I67" s="584"/>
      <c r="J67" s="61"/>
    </row>
    <row r="68" spans="1:10" ht="45" x14ac:dyDescent="0.2">
      <c r="A68" s="63" t="s">
        <v>214</v>
      </c>
      <c r="B68" s="63" t="s">
        <v>0</v>
      </c>
      <c r="C68" s="102" t="s">
        <v>1</v>
      </c>
      <c r="D68" s="18" t="s">
        <v>90</v>
      </c>
      <c r="E68" s="102" t="s">
        <v>91</v>
      </c>
      <c r="F68" s="102" t="s">
        <v>92</v>
      </c>
      <c r="G68" s="102" t="s">
        <v>93</v>
      </c>
      <c r="H68" s="103" t="s">
        <v>94</v>
      </c>
      <c r="I68" s="103" t="s">
        <v>95</v>
      </c>
      <c r="J68" s="61"/>
    </row>
    <row r="69" spans="1:10" ht="38.25" x14ac:dyDescent="0.2">
      <c r="A69" s="6" t="s">
        <v>561</v>
      </c>
      <c r="B69" s="6" t="s">
        <v>562</v>
      </c>
      <c r="C69" s="362">
        <v>450000</v>
      </c>
      <c r="D69" s="66">
        <v>165600</v>
      </c>
      <c r="E69" s="229" t="s">
        <v>388</v>
      </c>
      <c r="F69" s="372">
        <v>0</v>
      </c>
      <c r="G69" s="66">
        <v>0</v>
      </c>
      <c r="H69" s="6" t="s">
        <v>713</v>
      </c>
      <c r="I69" s="364" t="s">
        <v>287</v>
      </c>
    </row>
    <row r="70" spans="1:10" ht="38.25" x14ac:dyDescent="0.2">
      <c r="A70" s="100" t="s">
        <v>563</v>
      </c>
      <c r="B70" s="336" t="s">
        <v>564</v>
      </c>
      <c r="C70" s="362">
        <v>419375</v>
      </c>
      <c r="D70" s="66">
        <v>200000</v>
      </c>
      <c r="E70" s="229" t="s">
        <v>388</v>
      </c>
      <c r="F70" s="372">
        <v>0</v>
      </c>
      <c r="G70" s="362">
        <v>0</v>
      </c>
      <c r="H70" s="6" t="s">
        <v>572</v>
      </c>
      <c r="I70" s="364" t="s">
        <v>287</v>
      </c>
    </row>
    <row r="71" spans="1:10" ht="76.5" x14ac:dyDescent="0.2">
      <c r="A71" s="6" t="s">
        <v>565</v>
      </c>
      <c r="B71" s="6" t="s">
        <v>566</v>
      </c>
      <c r="C71" s="362">
        <v>706050</v>
      </c>
      <c r="D71" s="66">
        <v>556050</v>
      </c>
      <c r="E71" s="6" t="s">
        <v>567</v>
      </c>
      <c r="F71" s="372">
        <v>556050</v>
      </c>
      <c r="G71" s="66">
        <v>0</v>
      </c>
      <c r="H71" s="6" t="s">
        <v>235</v>
      </c>
      <c r="I71" s="371" t="s">
        <v>783</v>
      </c>
      <c r="J71" s="62"/>
    </row>
    <row r="72" spans="1:10" ht="51" x14ac:dyDescent="0.2">
      <c r="A72" s="6" t="s">
        <v>568</v>
      </c>
      <c r="B72" s="6" t="s">
        <v>569</v>
      </c>
      <c r="C72" s="362">
        <v>119306</v>
      </c>
      <c r="D72" s="66">
        <v>95445</v>
      </c>
      <c r="E72" s="6" t="s">
        <v>388</v>
      </c>
      <c r="F72" s="372">
        <v>95445</v>
      </c>
      <c r="G72" s="362">
        <v>0</v>
      </c>
      <c r="H72" s="6" t="s">
        <v>235</v>
      </c>
      <c r="I72" s="365" t="s">
        <v>825</v>
      </c>
    </row>
    <row r="73" spans="1:10" ht="25.5" x14ac:dyDescent="0.2">
      <c r="A73" s="6" t="s">
        <v>570</v>
      </c>
      <c r="B73" s="6" t="s">
        <v>571</v>
      </c>
      <c r="C73" s="362">
        <v>350356</v>
      </c>
      <c r="D73" s="66">
        <v>280285</v>
      </c>
      <c r="E73" s="6" t="s">
        <v>388</v>
      </c>
      <c r="F73" s="372">
        <v>228800</v>
      </c>
      <c r="G73" s="362">
        <v>0</v>
      </c>
      <c r="H73" s="6" t="s">
        <v>235</v>
      </c>
      <c r="I73" s="365" t="s">
        <v>1032</v>
      </c>
    </row>
    <row r="74" spans="1:10" ht="15.75" customHeight="1" x14ac:dyDescent="0.2">
      <c r="A74" s="64"/>
      <c r="B74" s="64"/>
      <c r="C74" s="70">
        <f>SUM(C69:C73)</f>
        <v>2045087</v>
      </c>
      <c r="D74" s="70">
        <f>SUM(D69:D73)</f>
        <v>1297380</v>
      </c>
      <c r="E74" s="70"/>
      <c r="F74" s="70">
        <f>SUM(F69:F73)</f>
        <v>880295</v>
      </c>
      <c r="G74" s="70">
        <f>SUM(G69:G73)</f>
        <v>0</v>
      </c>
      <c r="H74" s="65"/>
      <c r="I74" s="65"/>
    </row>
    <row r="75" spans="1:10" ht="15.75" x14ac:dyDescent="0.2">
      <c r="A75" s="584" t="s">
        <v>454</v>
      </c>
      <c r="B75" s="584"/>
      <c r="C75" s="584"/>
      <c r="D75" s="584"/>
      <c r="E75" s="584"/>
      <c r="F75" s="584"/>
      <c r="G75" s="584"/>
      <c r="H75" s="584"/>
      <c r="I75" s="584"/>
      <c r="J75" s="61"/>
    </row>
    <row r="76" spans="1:10" ht="45" x14ac:dyDescent="0.2">
      <c r="A76" s="63" t="s">
        <v>214</v>
      </c>
      <c r="B76" s="63" t="s">
        <v>0</v>
      </c>
      <c r="C76" s="102" t="s">
        <v>1</v>
      </c>
      <c r="D76" s="18" t="s">
        <v>90</v>
      </c>
      <c r="E76" s="102" t="s">
        <v>91</v>
      </c>
      <c r="F76" s="102" t="s">
        <v>92</v>
      </c>
      <c r="G76" s="102" t="s">
        <v>93</v>
      </c>
      <c r="H76" s="103" t="s">
        <v>94</v>
      </c>
      <c r="I76" s="103" t="s">
        <v>95</v>
      </c>
      <c r="J76" s="61"/>
    </row>
    <row r="77" spans="1:10" s="61" customFormat="1" ht="25.5" x14ac:dyDescent="0.2">
      <c r="A77" s="6" t="s">
        <v>455</v>
      </c>
      <c r="B77" s="1" t="s">
        <v>456</v>
      </c>
      <c r="C77" s="362">
        <v>654315</v>
      </c>
      <c r="D77" s="66">
        <v>523452</v>
      </c>
      <c r="E77" s="58" t="s">
        <v>457</v>
      </c>
      <c r="F77" s="66">
        <v>523452</v>
      </c>
      <c r="G77" s="66">
        <v>0</v>
      </c>
      <c r="H77" s="6" t="s">
        <v>235</v>
      </c>
      <c r="I77" s="364">
        <v>43174</v>
      </c>
    </row>
    <row r="78" spans="1:10" ht="25.5" x14ac:dyDescent="0.2">
      <c r="A78" s="100" t="s">
        <v>458</v>
      </c>
      <c r="B78" s="336" t="s">
        <v>459</v>
      </c>
      <c r="C78" s="362">
        <v>9614000</v>
      </c>
      <c r="D78" s="66">
        <v>500000</v>
      </c>
      <c r="E78" s="229" t="s">
        <v>388</v>
      </c>
      <c r="F78" s="372">
        <v>0</v>
      </c>
      <c r="G78" s="362">
        <v>0</v>
      </c>
      <c r="H78" s="6" t="s">
        <v>572</v>
      </c>
      <c r="I78" s="364" t="s">
        <v>287</v>
      </c>
    </row>
    <row r="79" spans="1:10" ht="25.5" x14ac:dyDescent="0.2">
      <c r="A79" s="6" t="s">
        <v>460</v>
      </c>
      <c r="B79" s="6" t="s">
        <v>461</v>
      </c>
      <c r="C79" s="362">
        <v>10000000</v>
      </c>
      <c r="D79" s="66">
        <v>1700000</v>
      </c>
      <c r="E79" s="6" t="s">
        <v>388</v>
      </c>
      <c r="F79" s="373">
        <v>1700000</v>
      </c>
      <c r="G79" s="553">
        <v>0</v>
      </c>
      <c r="H79" s="6" t="s">
        <v>1276</v>
      </c>
      <c r="I79" s="522" t="s">
        <v>1033</v>
      </c>
      <c r="J79" s="62"/>
    </row>
    <row r="80" spans="1:10" ht="25.5" x14ac:dyDescent="0.2">
      <c r="A80" s="6" t="s">
        <v>462</v>
      </c>
      <c r="B80" s="6" t="s">
        <v>463</v>
      </c>
      <c r="C80" s="362">
        <v>2100000</v>
      </c>
      <c r="D80" s="66">
        <v>1600000</v>
      </c>
      <c r="E80" s="1" t="s">
        <v>457</v>
      </c>
      <c r="F80" s="372">
        <v>0</v>
      </c>
      <c r="G80" s="362">
        <v>0</v>
      </c>
      <c r="H80" s="6" t="s">
        <v>572</v>
      </c>
      <c r="I80" s="364" t="s">
        <v>287</v>
      </c>
    </row>
    <row r="81" spans="1:10" ht="25.5" x14ac:dyDescent="0.2">
      <c r="A81" s="6" t="s">
        <v>1034</v>
      </c>
      <c r="B81" s="6" t="s">
        <v>464</v>
      </c>
      <c r="C81" s="362">
        <v>286000</v>
      </c>
      <c r="D81" s="66">
        <v>228800</v>
      </c>
      <c r="E81" s="1" t="s">
        <v>457</v>
      </c>
      <c r="F81" s="372">
        <v>228800</v>
      </c>
      <c r="G81" s="362">
        <v>0</v>
      </c>
      <c r="H81" s="6" t="s">
        <v>235</v>
      </c>
      <c r="I81" s="364">
        <v>44320</v>
      </c>
    </row>
    <row r="82" spans="1:10" ht="38.25" x14ac:dyDescent="0.2">
      <c r="A82" s="6" t="s">
        <v>465</v>
      </c>
      <c r="B82" s="6" t="s">
        <v>466</v>
      </c>
      <c r="C82" s="362">
        <v>130000</v>
      </c>
      <c r="D82" s="362">
        <v>100000</v>
      </c>
      <c r="E82" s="6" t="s">
        <v>467</v>
      </c>
      <c r="F82" s="363">
        <v>95796.41</v>
      </c>
      <c r="G82" s="362">
        <v>0</v>
      </c>
      <c r="H82" s="6" t="s">
        <v>913</v>
      </c>
      <c r="I82" s="364">
        <v>42467</v>
      </c>
    </row>
    <row r="83" spans="1:10" s="61" customFormat="1" ht="15.75" customHeight="1" x14ac:dyDescent="0.2">
      <c r="A83" s="64"/>
      <c r="B83" s="64"/>
      <c r="C83" s="70">
        <f>SUM(C77:C82)</f>
        <v>22784315</v>
      </c>
      <c r="D83" s="70">
        <f>SUM(D77:D82)</f>
        <v>4652252</v>
      </c>
      <c r="E83" s="70"/>
      <c r="F83" s="70">
        <f>SUM(F77:F82)</f>
        <v>2548048.41</v>
      </c>
      <c r="G83" s="70">
        <f>SUM(G77:G82)</f>
        <v>0</v>
      </c>
      <c r="H83" s="65"/>
      <c r="I83" s="65"/>
    </row>
    <row r="84" spans="1:10" ht="15.75" x14ac:dyDescent="0.2">
      <c r="A84" s="585" t="s">
        <v>383</v>
      </c>
      <c r="B84" s="585"/>
      <c r="C84" s="585"/>
      <c r="D84" s="585"/>
      <c r="E84" s="585"/>
      <c r="F84" s="585"/>
      <c r="G84" s="585"/>
      <c r="H84" s="585"/>
      <c r="I84" s="585"/>
      <c r="J84" s="61"/>
    </row>
    <row r="85" spans="1:10" ht="45" x14ac:dyDescent="0.2">
      <c r="A85" s="63" t="s">
        <v>214</v>
      </c>
      <c r="B85" s="63" t="s">
        <v>0</v>
      </c>
      <c r="C85" s="102" t="s">
        <v>1</v>
      </c>
      <c r="D85" s="18" t="s">
        <v>90</v>
      </c>
      <c r="E85" s="102" t="s">
        <v>91</v>
      </c>
      <c r="F85" s="102" t="s">
        <v>92</v>
      </c>
      <c r="G85" s="102" t="s">
        <v>93</v>
      </c>
      <c r="H85" s="103" t="s">
        <v>94</v>
      </c>
      <c r="I85" s="103" t="s">
        <v>95</v>
      </c>
      <c r="J85" s="61"/>
    </row>
    <row r="86" spans="1:10" ht="25.5" x14ac:dyDescent="0.2">
      <c r="A86" s="6" t="s">
        <v>384</v>
      </c>
      <c r="B86" s="1" t="s">
        <v>385</v>
      </c>
      <c r="C86" s="362">
        <v>150000000</v>
      </c>
      <c r="D86" s="66">
        <v>324000</v>
      </c>
      <c r="E86" s="58" t="s">
        <v>219</v>
      </c>
      <c r="F86" s="372">
        <v>324000</v>
      </c>
      <c r="G86" s="523">
        <v>0</v>
      </c>
      <c r="H86" s="6" t="s">
        <v>106</v>
      </c>
      <c r="I86" s="374">
        <v>42109</v>
      </c>
    </row>
    <row r="87" spans="1:10" ht="25.5" x14ac:dyDescent="0.2">
      <c r="A87" s="100" t="s">
        <v>386</v>
      </c>
      <c r="B87" s="336" t="s">
        <v>387</v>
      </c>
      <c r="C87" s="362">
        <v>14832000</v>
      </c>
      <c r="D87" s="66">
        <v>419000</v>
      </c>
      <c r="E87" s="229" t="s">
        <v>388</v>
      </c>
      <c r="F87" s="372">
        <v>419000</v>
      </c>
      <c r="G87" s="524">
        <v>0</v>
      </c>
      <c r="H87" s="6" t="s">
        <v>106</v>
      </c>
      <c r="I87" s="374">
        <v>41801</v>
      </c>
    </row>
    <row r="88" spans="1:10" ht="25.5" x14ac:dyDescent="0.2">
      <c r="A88" s="6" t="s">
        <v>389</v>
      </c>
      <c r="B88" s="6" t="s">
        <v>390</v>
      </c>
      <c r="C88" s="362">
        <v>30000000</v>
      </c>
      <c r="D88" s="362">
        <v>108000</v>
      </c>
      <c r="E88" s="6" t="s">
        <v>388</v>
      </c>
      <c r="F88" s="363">
        <v>0</v>
      </c>
      <c r="G88" s="524">
        <v>0</v>
      </c>
      <c r="H88" s="6" t="s">
        <v>572</v>
      </c>
      <c r="I88" s="364" t="s">
        <v>287</v>
      </c>
    </row>
    <row r="89" spans="1:10" s="62" customFormat="1" x14ac:dyDescent="0.2">
      <c r="A89" s="6" t="s">
        <v>391</v>
      </c>
      <c r="B89" s="6" t="s">
        <v>392</v>
      </c>
      <c r="C89" s="362">
        <v>24000000</v>
      </c>
      <c r="D89" s="66">
        <v>1450000</v>
      </c>
      <c r="E89" s="1" t="s">
        <v>388</v>
      </c>
      <c r="F89" s="372">
        <v>1450000</v>
      </c>
      <c r="G89" s="524">
        <v>0</v>
      </c>
      <c r="H89" s="6" t="s">
        <v>106</v>
      </c>
      <c r="I89" s="375">
        <v>42325</v>
      </c>
    </row>
    <row r="90" spans="1:10" x14ac:dyDescent="0.2">
      <c r="A90" s="6" t="s">
        <v>393</v>
      </c>
      <c r="B90" s="6" t="s">
        <v>394</v>
      </c>
      <c r="C90" s="362">
        <v>2840000</v>
      </c>
      <c r="D90" s="66">
        <v>725000</v>
      </c>
      <c r="E90" s="1" t="s">
        <v>388</v>
      </c>
      <c r="F90" s="372">
        <v>725000</v>
      </c>
      <c r="G90" s="524">
        <v>0</v>
      </c>
      <c r="H90" s="6" t="s">
        <v>106</v>
      </c>
      <c r="I90" s="375">
        <v>42143</v>
      </c>
    </row>
    <row r="91" spans="1:10" x14ac:dyDescent="0.2">
      <c r="A91" s="6" t="s">
        <v>395</v>
      </c>
      <c r="B91" s="6" t="s">
        <v>225</v>
      </c>
      <c r="C91" s="362">
        <v>118000</v>
      </c>
      <c r="D91" s="66">
        <v>94400</v>
      </c>
      <c r="E91" s="1" t="s">
        <v>215</v>
      </c>
      <c r="F91" s="372">
        <v>92568</v>
      </c>
      <c r="G91" s="524">
        <v>0</v>
      </c>
      <c r="H91" s="6" t="s">
        <v>913</v>
      </c>
      <c r="I91" s="375">
        <v>42370</v>
      </c>
    </row>
    <row r="92" spans="1:10" x14ac:dyDescent="0.2">
      <c r="A92" s="64"/>
      <c r="B92" s="64"/>
      <c r="C92" s="70">
        <f>SUM(C86:C91)</f>
        <v>221790000</v>
      </c>
      <c r="D92" s="70">
        <f>SUM(D86:D91)</f>
        <v>3120400</v>
      </c>
      <c r="E92" s="70"/>
      <c r="F92" s="70">
        <f>SUM(F86:F91)</f>
        <v>3010568</v>
      </c>
      <c r="G92" s="525">
        <f>SUM(G86:G91)</f>
        <v>0</v>
      </c>
      <c r="H92" s="65"/>
      <c r="I92" s="65"/>
    </row>
    <row r="93" spans="1:10" x14ac:dyDescent="0.2">
      <c r="F93"/>
      <c r="G93"/>
      <c r="H93"/>
      <c r="I93"/>
    </row>
    <row r="94" spans="1:10" s="61" customFormat="1" ht="15.75" x14ac:dyDescent="0.2">
      <c r="A94" s="584" t="s">
        <v>216</v>
      </c>
      <c r="B94" s="584"/>
      <c r="C94" s="584"/>
      <c r="D94" s="584"/>
      <c r="E94" s="584"/>
      <c r="F94" s="584"/>
      <c r="G94" s="584"/>
      <c r="H94" s="584"/>
      <c r="I94" s="584"/>
    </row>
    <row r="95" spans="1:10" ht="45" x14ac:dyDescent="0.2">
      <c r="A95" s="63" t="s">
        <v>214</v>
      </c>
      <c r="B95" s="63" t="s">
        <v>0</v>
      </c>
      <c r="C95" s="18" t="s">
        <v>1</v>
      </c>
      <c r="D95" s="18" t="s">
        <v>90</v>
      </c>
      <c r="E95" s="18" t="s">
        <v>91</v>
      </c>
      <c r="F95" s="102" t="s">
        <v>92</v>
      </c>
      <c r="G95" s="102" t="s">
        <v>93</v>
      </c>
      <c r="H95" s="103" t="s">
        <v>94</v>
      </c>
      <c r="I95" s="103" t="s">
        <v>95</v>
      </c>
    </row>
    <row r="96" spans="1:10" x14ac:dyDescent="0.2">
      <c r="A96" s="6" t="s">
        <v>217</v>
      </c>
      <c r="B96" s="1" t="s">
        <v>218</v>
      </c>
      <c r="C96" s="66">
        <v>2840400</v>
      </c>
      <c r="D96" s="66">
        <v>1500000</v>
      </c>
      <c r="E96" s="58" t="s">
        <v>219</v>
      </c>
      <c r="F96" s="372">
        <v>1500000</v>
      </c>
      <c r="G96" s="362">
        <v>0</v>
      </c>
      <c r="H96" s="6" t="s">
        <v>106</v>
      </c>
      <c r="I96" s="374">
        <v>41744</v>
      </c>
    </row>
    <row r="97" spans="1:9" x14ac:dyDescent="0.2">
      <c r="A97" s="6" t="s">
        <v>220</v>
      </c>
      <c r="B97" s="336" t="s">
        <v>221</v>
      </c>
      <c r="C97" s="66">
        <v>5711369</v>
      </c>
      <c r="D97" s="66">
        <v>900000</v>
      </c>
      <c r="E97" s="229" t="s">
        <v>215</v>
      </c>
      <c r="F97" s="372">
        <v>0</v>
      </c>
      <c r="G97" s="362">
        <v>0</v>
      </c>
      <c r="H97" s="6" t="s">
        <v>572</v>
      </c>
      <c r="I97" s="364" t="s">
        <v>287</v>
      </c>
    </row>
    <row r="98" spans="1:9" x14ac:dyDescent="0.2">
      <c r="A98" s="6" t="s">
        <v>222</v>
      </c>
      <c r="B98" s="6" t="s">
        <v>223</v>
      </c>
      <c r="C98" s="362">
        <v>4397880</v>
      </c>
      <c r="D98" s="66">
        <v>1116000</v>
      </c>
      <c r="E98" s="6" t="s">
        <v>219</v>
      </c>
      <c r="F98" s="372">
        <v>1116000</v>
      </c>
      <c r="G98" s="66">
        <v>0</v>
      </c>
      <c r="H98" s="6" t="s">
        <v>106</v>
      </c>
      <c r="I98" s="374">
        <v>42399</v>
      </c>
    </row>
    <row r="99" spans="1:9" ht="25.5" x14ac:dyDescent="0.2">
      <c r="A99" s="6" t="s">
        <v>224</v>
      </c>
      <c r="B99" s="6" t="s">
        <v>225</v>
      </c>
      <c r="C99" s="362">
        <v>50000</v>
      </c>
      <c r="D99" s="362">
        <v>40000</v>
      </c>
      <c r="E99" s="6" t="s">
        <v>215</v>
      </c>
      <c r="F99" s="363">
        <v>17542.78</v>
      </c>
      <c r="G99" s="362">
        <v>0</v>
      </c>
      <c r="H99" s="6" t="s">
        <v>826</v>
      </c>
      <c r="I99" s="364">
        <v>43196</v>
      </c>
    </row>
    <row r="100" spans="1:9" ht="25.5" x14ac:dyDescent="0.2">
      <c r="A100" s="6" t="s">
        <v>226</v>
      </c>
      <c r="B100" s="6" t="s">
        <v>225</v>
      </c>
      <c r="C100" s="66">
        <v>125000</v>
      </c>
      <c r="D100" s="66">
        <v>100000</v>
      </c>
      <c r="E100" s="1" t="s">
        <v>215</v>
      </c>
      <c r="F100" s="372">
        <v>98824.2</v>
      </c>
      <c r="G100" s="362">
        <v>0</v>
      </c>
      <c r="H100" s="6" t="s">
        <v>714</v>
      </c>
      <c r="I100" s="375">
        <v>41914</v>
      </c>
    </row>
    <row r="101" spans="1:9" x14ac:dyDescent="0.2">
      <c r="A101" s="6" t="s">
        <v>227</v>
      </c>
      <c r="B101" s="6" t="s">
        <v>225</v>
      </c>
      <c r="C101" s="66">
        <v>125000</v>
      </c>
      <c r="D101" s="66">
        <v>100000</v>
      </c>
      <c r="E101" s="1" t="s">
        <v>215</v>
      </c>
      <c r="F101" s="372">
        <v>100000</v>
      </c>
      <c r="G101" s="362">
        <v>0</v>
      </c>
      <c r="H101" s="6" t="s">
        <v>715</v>
      </c>
      <c r="I101" s="375">
        <v>41913</v>
      </c>
    </row>
    <row r="102" spans="1:9" x14ac:dyDescent="0.2">
      <c r="A102" s="6" t="s">
        <v>228</v>
      </c>
      <c r="B102" s="6" t="s">
        <v>225</v>
      </c>
      <c r="C102" s="66">
        <v>98000</v>
      </c>
      <c r="D102" s="66">
        <v>78400</v>
      </c>
      <c r="E102" s="1" t="s">
        <v>215</v>
      </c>
      <c r="F102" s="372">
        <v>78400</v>
      </c>
      <c r="G102" s="362">
        <v>0</v>
      </c>
      <c r="H102" s="6" t="s">
        <v>715</v>
      </c>
      <c r="I102" s="375">
        <v>41919</v>
      </c>
    </row>
    <row r="103" spans="1:9" x14ac:dyDescent="0.2">
      <c r="A103" s="6" t="s">
        <v>229</v>
      </c>
      <c r="B103" s="6" t="s">
        <v>225</v>
      </c>
      <c r="C103" s="66">
        <v>100000</v>
      </c>
      <c r="D103" s="66">
        <v>80000</v>
      </c>
      <c r="E103" s="6" t="s">
        <v>215</v>
      </c>
      <c r="F103" s="372">
        <v>0</v>
      </c>
      <c r="G103" s="362">
        <v>0</v>
      </c>
      <c r="H103" s="6" t="s">
        <v>572</v>
      </c>
      <c r="I103" s="364" t="s">
        <v>287</v>
      </c>
    </row>
    <row r="104" spans="1:9" s="61" customFormat="1" ht="25.5" x14ac:dyDescent="0.2">
      <c r="A104" s="6" t="s">
        <v>230</v>
      </c>
      <c r="B104" s="6" t="s">
        <v>225</v>
      </c>
      <c r="C104" s="66">
        <v>350000</v>
      </c>
      <c r="D104" s="66">
        <v>100000</v>
      </c>
      <c r="E104" s="1" t="s">
        <v>215</v>
      </c>
      <c r="F104" s="372">
        <v>99914.99</v>
      </c>
      <c r="G104" s="362">
        <v>0</v>
      </c>
      <c r="H104" s="6" t="s">
        <v>914</v>
      </c>
      <c r="I104" s="375">
        <v>43614</v>
      </c>
    </row>
    <row r="105" spans="1:9" s="61" customFormat="1" x14ac:dyDescent="0.2">
      <c r="A105" s="64"/>
      <c r="B105" s="64"/>
      <c r="C105" s="70">
        <f>SUM(C96:C104)</f>
        <v>13797649</v>
      </c>
      <c r="D105" s="70">
        <f>SUM(D96:D104)</f>
        <v>4014400</v>
      </c>
      <c r="E105" s="70"/>
      <c r="F105" s="70">
        <f>SUM(F96:F104)</f>
        <v>3010681.97</v>
      </c>
      <c r="G105" s="70">
        <f>SUM(G96:G104)</f>
        <v>0</v>
      </c>
      <c r="H105" s="64"/>
      <c r="I105" s="59"/>
    </row>
    <row r="106" spans="1:9" x14ac:dyDescent="0.2">
      <c r="F106"/>
      <c r="G106"/>
      <c r="H106"/>
      <c r="I106"/>
    </row>
    <row r="107" spans="1:9" ht="15.75" x14ac:dyDescent="0.2">
      <c r="A107" s="584" t="s">
        <v>231</v>
      </c>
      <c r="B107" s="584"/>
      <c r="C107" s="584"/>
      <c r="D107" s="584"/>
      <c r="E107" s="584"/>
      <c r="F107" s="584"/>
      <c r="G107" s="584"/>
      <c r="H107" s="584"/>
      <c r="I107" s="584"/>
    </row>
    <row r="108" spans="1:9" ht="45" x14ac:dyDescent="0.2">
      <c r="A108" s="63" t="s">
        <v>214</v>
      </c>
      <c r="B108" s="63" t="s">
        <v>0</v>
      </c>
      <c r="C108" s="18" t="s">
        <v>1</v>
      </c>
      <c r="D108" s="18" t="s">
        <v>90</v>
      </c>
      <c r="E108" s="18" t="s">
        <v>91</v>
      </c>
      <c r="F108" s="102" t="s">
        <v>92</v>
      </c>
      <c r="G108" s="102" t="s">
        <v>93</v>
      </c>
      <c r="H108" s="103" t="s">
        <v>94</v>
      </c>
      <c r="I108" s="103" t="s">
        <v>95</v>
      </c>
    </row>
    <row r="109" spans="1:9" ht="25.5" x14ac:dyDescent="0.2">
      <c r="A109" s="6" t="s">
        <v>232</v>
      </c>
      <c r="B109" s="6" t="s">
        <v>223</v>
      </c>
      <c r="C109" s="362">
        <v>197435</v>
      </c>
      <c r="D109" s="376">
        <v>157948</v>
      </c>
      <c r="E109" s="229" t="s">
        <v>219</v>
      </c>
      <c r="F109" s="363">
        <v>87025.34</v>
      </c>
      <c r="G109" s="362">
        <v>0</v>
      </c>
      <c r="H109" s="6" t="s">
        <v>784</v>
      </c>
      <c r="I109" s="377">
        <v>42452</v>
      </c>
    </row>
    <row r="110" spans="1:9" x14ac:dyDescent="0.2">
      <c r="A110" s="6" t="s">
        <v>233</v>
      </c>
      <c r="B110" s="6" t="s">
        <v>223</v>
      </c>
      <c r="C110" s="362">
        <v>1758922</v>
      </c>
      <c r="D110" s="378">
        <v>705621</v>
      </c>
      <c r="E110" s="229" t="s">
        <v>215</v>
      </c>
      <c r="F110" s="363">
        <v>477295</v>
      </c>
      <c r="G110" s="362">
        <v>0</v>
      </c>
      <c r="H110" s="6" t="s">
        <v>716</v>
      </c>
      <c r="I110" s="377">
        <v>42809</v>
      </c>
    </row>
    <row r="111" spans="1:9" x14ac:dyDescent="0.2">
      <c r="A111" s="1" t="s">
        <v>234</v>
      </c>
      <c r="B111" s="1" t="s">
        <v>223</v>
      </c>
      <c r="C111" s="66">
        <v>771818</v>
      </c>
      <c r="D111" s="68">
        <v>617454</v>
      </c>
      <c r="E111" s="1" t="s">
        <v>215</v>
      </c>
      <c r="F111" s="221">
        <v>617454</v>
      </c>
      <c r="G111" s="69">
        <v>0</v>
      </c>
      <c r="H111" s="6" t="s">
        <v>106</v>
      </c>
      <c r="I111" s="379">
        <v>41016</v>
      </c>
    </row>
    <row r="112" spans="1:9" x14ac:dyDescent="0.2">
      <c r="A112" s="1" t="s">
        <v>236</v>
      </c>
      <c r="B112" s="1" t="s">
        <v>218</v>
      </c>
      <c r="C112" s="66">
        <v>3200000</v>
      </c>
      <c r="D112" s="68">
        <v>1613596</v>
      </c>
      <c r="E112" s="1" t="s">
        <v>219</v>
      </c>
      <c r="F112" s="372">
        <v>0</v>
      </c>
      <c r="G112" s="66">
        <v>0</v>
      </c>
      <c r="H112" s="6" t="s">
        <v>106</v>
      </c>
      <c r="I112" s="379">
        <v>41744</v>
      </c>
    </row>
    <row r="113" spans="1:9" x14ac:dyDescent="0.2">
      <c r="A113" s="1" t="s">
        <v>237</v>
      </c>
      <c r="B113" s="1" t="s">
        <v>238</v>
      </c>
      <c r="C113" s="66">
        <v>358525</v>
      </c>
      <c r="D113" s="68">
        <v>72000</v>
      </c>
      <c r="E113" s="1" t="s">
        <v>215</v>
      </c>
      <c r="F113" s="372">
        <v>0</v>
      </c>
      <c r="G113" s="66">
        <v>0</v>
      </c>
      <c r="H113" s="6" t="s">
        <v>241</v>
      </c>
      <c r="I113" s="379" t="s">
        <v>242</v>
      </c>
    </row>
    <row r="114" spans="1:9" x14ac:dyDescent="0.2">
      <c r="A114" s="1" t="s">
        <v>239</v>
      </c>
      <c r="B114" s="1" t="s">
        <v>240</v>
      </c>
      <c r="C114" s="66">
        <v>2500000</v>
      </c>
      <c r="D114" s="68">
        <v>1000000</v>
      </c>
      <c r="E114" s="1" t="s">
        <v>219</v>
      </c>
      <c r="F114" s="372">
        <v>0</v>
      </c>
      <c r="G114" s="362">
        <v>0</v>
      </c>
      <c r="H114" s="6" t="s">
        <v>241</v>
      </c>
      <c r="I114" s="377" t="s">
        <v>242</v>
      </c>
    </row>
    <row r="115" spans="1:9" x14ac:dyDescent="0.2">
      <c r="A115" s="6" t="s">
        <v>243</v>
      </c>
      <c r="B115" s="6" t="s">
        <v>240</v>
      </c>
      <c r="C115" s="66">
        <v>1900000</v>
      </c>
      <c r="D115" s="68">
        <v>400000</v>
      </c>
      <c r="E115" s="6" t="s">
        <v>215</v>
      </c>
      <c r="F115" s="372">
        <v>400000</v>
      </c>
      <c r="G115" s="66">
        <v>0</v>
      </c>
      <c r="H115" s="6" t="s">
        <v>106</v>
      </c>
      <c r="I115" s="377">
        <v>41025</v>
      </c>
    </row>
    <row r="116" spans="1:9" x14ac:dyDescent="0.2">
      <c r="A116" s="6" t="s">
        <v>244</v>
      </c>
      <c r="B116" s="6" t="s">
        <v>223</v>
      </c>
      <c r="C116" s="362" t="s">
        <v>245</v>
      </c>
      <c r="D116" s="68">
        <v>218652</v>
      </c>
      <c r="E116" s="6" t="s">
        <v>219</v>
      </c>
      <c r="F116" s="372">
        <v>218652</v>
      </c>
      <c r="G116" s="66">
        <v>0</v>
      </c>
      <c r="H116" s="6" t="s">
        <v>106</v>
      </c>
      <c r="I116" s="379">
        <v>41017</v>
      </c>
    </row>
    <row r="117" spans="1:9" x14ac:dyDescent="0.2">
      <c r="A117" s="6" t="s">
        <v>246</v>
      </c>
      <c r="B117" s="6" t="s">
        <v>223</v>
      </c>
      <c r="C117" s="66">
        <v>538100</v>
      </c>
      <c r="D117" s="378">
        <v>204000</v>
      </c>
      <c r="E117" s="6" t="s">
        <v>219</v>
      </c>
      <c r="F117" s="372">
        <v>204000</v>
      </c>
      <c r="G117" s="362">
        <v>0</v>
      </c>
      <c r="H117" s="6" t="s">
        <v>106</v>
      </c>
      <c r="I117" s="379">
        <v>41953</v>
      </c>
    </row>
    <row r="118" spans="1:9" x14ac:dyDescent="0.2">
      <c r="A118" s="64"/>
      <c r="B118" s="64"/>
      <c r="C118" s="70">
        <f>SUM(C109:C117)</f>
        <v>11224800</v>
      </c>
      <c r="D118" s="60">
        <f>SUM(D109:D117)</f>
        <v>4989271</v>
      </c>
      <c r="E118" s="59"/>
      <c r="F118" s="70">
        <f>SUM(F109:F117)</f>
        <v>2004426.3399999999</v>
      </c>
      <c r="G118" s="70">
        <f>SUM(G109:G117)</f>
        <v>0</v>
      </c>
      <c r="H118" s="64"/>
      <c r="I118" s="59"/>
    </row>
    <row r="119" spans="1:9" x14ac:dyDescent="0.2">
      <c r="B119" s="61" t="s">
        <v>412</v>
      </c>
      <c r="F119"/>
      <c r="G119"/>
      <c r="H119" s="333"/>
      <c r="I119"/>
    </row>
    <row r="120" spans="1:9" x14ac:dyDescent="0.2">
      <c r="B120" s="61"/>
      <c r="F120"/>
      <c r="G120"/>
      <c r="H120" s="333"/>
      <c r="I120"/>
    </row>
    <row r="121" spans="1:9" ht="18" x14ac:dyDescent="0.25">
      <c r="A121" s="586" t="s">
        <v>247</v>
      </c>
      <c r="B121" s="586"/>
      <c r="C121" s="586"/>
      <c r="D121" s="586"/>
      <c r="E121" s="586"/>
      <c r="F121" s="586"/>
      <c r="G121" s="586"/>
      <c r="H121" s="586"/>
      <c r="I121" s="586"/>
    </row>
    <row r="122" spans="1:9" ht="45" x14ac:dyDescent="0.2">
      <c r="A122" s="55" t="s">
        <v>214</v>
      </c>
      <c r="B122" s="56" t="s">
        <v>0</v>
      </c>
      <c r="C122" s="57" t="s">
        <v>1</v>
      </c>
      <c r="D122" s="57" t="s">
        <v>90</v>
      </c>
      <c r="E122" s="57" t="s">
        <v>91</v>
      </c>
      <c r="F122" s="234" t="s">
        <v>92</v>
      </c>
      <c r="G122" s="234" t="s">
        <v>93</v>
      </c>
      <c r="H122" s="235" t="s">
        <v>94</v>
      </c>
      <c r="I122" s="235" t="s">
        <v>95</v>
      </c>
    </row>
    <row r="123" spans="1:9" x14ac:dyDescent="0.2">
      <c r="A123" s="1" t="s">
        <v>248</v>
      </c>
      <c r="B123" s="1" t="s">
        <v>249</v>
      </c>
      <c r="C123" s="105">
        <v>1758922</v>
      </c>
      <c r="D123" s="68">
        <v>879461</v>
      </c>
      <c r="E123" s="58" t="s">
        <v>215</v>
      </c>
      <c r="F123" s="372">
        <v>0</v>
      </c>
      <c r="G123" s="380">
        <v>0</v>
      </c>
      <c r="H123" s="58" t="s">
        <v>250</v>
      </c>
      <c r="I123" s="304" t="s">
        <v>242</v>
      </c>
    </row>
    <row r="124" spans="1:9" ht="20.25" customHeight="1" x14ac:dyDescent="0.2">
      <c r="A124" s="1" t="s">
        <v>251</v>
      </c>
      <c r="B124" s="6" t="s">
        <v>252</v>
      </c>
      <c r="C124" s="67">
        <v>8474244</v>
      </c>
      <c r="D124" s="68">
        <v>2000000</v>
      </c>
      <c r="E124" s="1" t="s">
        <v>253</v>
      </c>
      <c r="F124" s="372">
        <v>2000000</v>
      </c>
      <c r="G124" s="67">
        <v>0</v>
      </c>
      <c r="H124" s="6" t="s">
        <v>106</v>
      </c>
      <c r="I124" s="355">
        <v>42486</v>
      </c>
    </row>
    <row r="125" spans="1:9" x14ac:dyDescent="0.2">
      <c r="A125" s="1" t="s">
        <v>254</v>
      </c>
      <c r="B125" s="1" t="s">
        <v>238</v>
      </c>
      <c r="C125" s="67">
        <v>138560</v>
      </c>
      <c r="D125" s="68">
        <v>110848</v>
      </c>
      <c r="E125" s="1" t="s">
        <v>219</v>
      </c>
      <c r="F125" s="372">
        <v>0</v>
      </c>
      <c r="G125" s="380">
        <v>0</v>
      </c>
      <c r="H125" s="58" t="s">
        <v>250</v>
      </c>
      <c r="I125" s="304" t="s">
        <v>242</v>
      </c>
    </row>
    <row r="126" spans="1:9" s="61" customFormat="1" x14ac:dyDescent="0.2">
      <c r="A126" s="1" t="s">
        <v>255</v>
      </c>
      <c r="B126" s="1" t="s">
        <v>238</v>
      </c>
      <c r="C126" s="67">
        <v>255951</v>
      </c>
      <c r="D126" s="68">
        <v>174022</v>
      </c>
      <c r="E126" s="1" t="s">
        <v>219</v>
      </c>
      <c r="F126" s="363">
        <v>174022</v>
      </c>
      <c r="G126" s="380">
        <v>0</v>
      </c>
      <c r="H126" s="6" t="s">
        <v>106</v>
      </c>
      <c r="I126" s="381">
        <v>41227</v>
      </c>
    </row>
    <row r="127" spans="1:9" s="61" customFormat="1" x14ac:dyDescent="0.2">
      <c r="A127" s="59"/>
      <c r="B127" s="59"/>
      <c r="C127" s="60">
        <f>SUM(C123:C126)</f>
        <v>10627677</v>
      </c>
      <c r="D127" s="382">
        <f>SUM(D123:D126)</f>
        <v>3164331</v>
      </c>
      <c r="E127" s="59"/>
      <c r="F127" s="382">
        <f>SUM(F123:F126)</f>
        <v>2174022</v>
      </c>
      <c r="G127" s="382">
        <f>SUM(G123:G126)</f>
        <v>0</v>
      </c>
      <c r="H127" s="59"/>
      <c r="I127" s="59"/>
    </row>
    <row r="128" spans="1:9" s="61" customFormat="1" x14ac:dyDescent="0.2">
      <c r="A128"/>
      <c r="B128"/>
      <c r="C128"/>
      <c r="D128"/>
      <c r="E128"/>
      <c r="F128"/>
      <c r="G128"/>
      <c r="H128"/>
      <c r="I128"/>
    </row>
    <row r="129" spans="1:9" s="61" customFormat="1" x14ac:dyDescent="0.2">
      <c r="A129" s="587" t="s">
        <v>256</v>
      </c>
      <c r="B129" s="588"/>
      <c r="C129" s="588"/>
      <c r="D129" s="588"/>
      <c r="E129" s="588"/>
      <c r="F129" s="588"/>
      <c r="G129" s="588"/>
      <c r="H129" s="588"/>
      <c r="I129" s="588"/>
    </row>
    <row r="130" spans="1:9" s="61" customFormat="1" ht="45" x14ac:dyDescent="0.2">
      <c r="A130" s="71" t="s">
        <v>214</v>
      </c>
      <c r="B130" s="63" t="s">
        <v>0</v>
      </c>
      <c r="C130" s="18" t="s">
        <v>1</v>
      </c>
      <c r="D130" s="18" t="s">
        <v>90</v>
      </c>
      <c r="E130" s="18" t="s">
        <v>91</v>
      </c>
      <c r="F130" s="102" t="s">
        <v>92</v>
      </c>
      <c r="G130" s="102" t="s">
        <v>93</v>
      </c>
      <c r="H130" s="103" t="s">
        <v>94</v>
      </c>
      <c r="I130" s="103" t="s">
        <v>95</v>
      </c>
    </row>
    <row r="131" spans="1:9" s="61" customFormat="1" x14ac:dyDescent="0.2">
      <c r="A131" s="383" t="s">
        <v>257</v>
      </c>
      <c r="B131" s="336" t="s">
        <v>258</v>
      </c>
      <c r="C131" s="384">
        <v>88000</v>
      </c>
      <c r="D131" s="80">
        <v>55400</v>
      </c>
      <c r="E131" s="17" t="s">
        <v>259</v>
      </c>
      <c r="F131" s="385">
        <v>55400</v>
      </c>
      <c r="G131" s="386">
        <v>0</v>
      </c>
      <c r="H131" s="387" t="s">
        <v>106</v>
      </c>
      <c r="I131" s="381">
        <v>40553</v>
      </c>
    </row>
    <row r="132" spans="1:9" s="61" customFormat="1" x14ac:dyDescent="0.2">
      <c r="A132" s="383" t="s">
        <v>260</v>
      </c>
      <c r="B132" s="336" t="s">
        <v>261</v>
      </c>
      <c r="C132" s="384">
        <v>886500</v>
      </c>
      <c r="D132" s="80">
        <v>700000</v>
      </c>
      <c r="E132" s="284" t="s">
        <v>259</v>
      </c>
      <c r="F132" s="385">
        <v>700000</v>
      </c>
      <c r="G132" s="386">
        <v>0</v>
      </c>
      <c r="H132" s="383" t="s">
        <v>106</v>
      </c>
      <c r="I132" s="381">
        <v>40647</v>
      </c>
    </row>
    <row r="133" spans="1:9" s="61" customFormat="1" x14ac:dyDescent="0.2">
      <c r="A133" s="383" t="s">
        <v>262</v>
      </c>
      <c r="B133" s="336" t="s">
        <v>263</v>
      </c>
      <c r="C133" s="384">
        <v>450000</v>
      </c>
      <c r="D133" s="80">
        <v>225000</v>
      </c>
      <c r="E133" s="199" t="s">
        <v>219</v>
      </c>
      <c r="F133" s="386">
        <v>145187</v>
      </c>
      <c r="G133" s="388">
        <v>0</v>
      </c>
      <c r="H133" s="389" t="s">
        <v>106</v>
      </c>
      <c r="I133" s="381">
        <v>41333</v>
      </c>
    </row>
    <row r="134" spans="1:9" x14ac:dyDescent="0.2">
      <c r="A134" s="383" t="s">
        <v>264</v>
      </c>
      <c r="B134" s="336" t="s">
        <v>221</v>
      </c>
      <c r="C134" s="384">
        <v>467589</v>
      </c>
      <c r="D134" s="80">
        <v>311071</v>
      </c>
      <c r="E134" s="17" t="s">
        <v>219</v>
      </c>
      <c r="F134" s="385">
        <v>311071</v>
      </c>
      <c r="G134" s="388">
        <v>0</v>
      </c>
      <c r="H134" s="387" t="s">
        <v>106</v>
      </c>
      <c r="I134" s="381">
        <v>40831</v>
      </c>
    </row>
    <row r="135" spans="1:9" x14ac:dyDescent="0.2">
      <c r="A135" s="383" t="s">
        <v>265</v>
      </c>
      <c r="B135" s="336" t="s">
        <v>263</v>
      </c>
      <c r="C135" s="384">
        <v>252005</v>
      </c>
      <c r="D135" s="80">
        <v>126000</v>
      </c>
      <c r="E135" s="17" t="s">
        <v>266</v>
      </c>
      <c r="F135" s="386">
        <v>118691</v>
      </c>
      <c r="G135" s="388">
        <v>0</v>
      </c>
      <c r="H135" s="387" t="s">
        <v>106</v>
      </c>
      <c r="I135" s="381">
        <v>41639</v>
      </c>
    </row>
    <row r="136" spans="1:9" ht="38.25" x14ac:dyDescent="0.2">
      <c r="A136" s="383" t="s">
        <v>267</v>
      </c>
      <c r="B136" s="336" t="s">
        <v>268</v>
      </c>
      <c r="C136" s="384">
        <v>10900000</v>
      </c>
      <c r="D136" s="80">
        <v>900000</v>
      </c>
      <c r="E136" s="17" t="s">
        <v>269</v>
      </c>
      <c r="F136" s="386">
        <v>0</v>
      </c>
      <c r="G136" s="388" t="s">
        <v>469</v>
      </c>
      <c r="H136" s="387" t="s">
        <v>270</v>
      </c>
      <c r="I136" s="381" t="s">
        <v>242</v>
      </c>
    </row>
    <row r="137" spans="1:9" s="61" customFormat="1" ht="25.5" x14ac:dyDescent="0.2">
      <c r="A137" s="383" t="s">
        <v>271</v>
      </c>
      <c r="B137" s="336" t="s">
        <v>272</v>
      </c>
      <c r="C137" s="384">
        <v>5437200</v>
      </c>
      <c r="D137" s="80">
        <v>1000000</v>
      </c>
      <c r="E137" s="17" t="s">
        <v>273</v>
      </c>
      <c r="F137" s="386">
        <v>1000000</v>
      </c>
      <c r="G137" s="388">
        <f>D137-F137</f>
        <v>0</v>
      </c>
      <c r="H137" s="387" t="s">
        <v>106</v>
      </c>
      <c r="I137" s="381">
        <v>40178</v>
      </c>
    </row>
    <row r="138" spans="1:9" s="61" customFormat="1" x14ac:dyDescent="0.2">
      <c r="A138" s="390"/>
      <c r="B138" s="391" t="s">
        <v>130</v>
      </c>
      <c r="C138" s="392">
        <f>SUM(C131:C137)</f>
        <v>18481294</v>
      </c>
      <c r="D138" s="392">
        <f>SUM(D131:D137)</f>
        <v>3317471</v>
      </c>
      <c r="E138" s="269"/>
      <c r="F138" s="393">
        <f>SUM(F131:F137)</f>
        <v>2330349</v>
      </c>
      <c r="G138" s="393">
        <f>SUM(G131:G137)</f>
        <v>0</v>
      </c>
      <c r="H138" s="394"/>
      <c r="I138" s="395"/>
    </row>
    <row r="139" spans="1:9" s="61" customFormat="1" x14ac:dyDescent="0.2">
      <c r="A139"/>
      <c r="B139"/>
      <c r="C139"/>
      <c r="D139"/>
      <c r="E139"/>
      <c r="F139"/>
      <c r="G139"/>
      <c r="H139"/>
      <c r="I139"/>
    </row>
    <row r="140" spans="1:9" s="61" customFormat="1" x14ac:dyDescent="0.2">
      <c r="A140" s="587" t="s">
        <v>274</v>
      </c>
      <c r="B140" s="588"/>
      <c r="C140" s="588"/>
      <c r="D140" s="588"/>
      <c r="E140" s="588"/>
      <c r="F140" s="588"/>
      <c r="G140" s="588"/>
      <c r="H140" s="588"/>
      <c r="I140" s="588"/>
    </row>
    <row r="141" spans="1:9" s="61" customFormat="1" ht="45" x14ac:dyDescent="0.2">
      <c r="A141" s="71" t="s">
        <v>214</v>
      </c>
      <c r="B141" s="63" t="s">
        <v>0</v>
      </c>
      <c r="C141" s="74" t="s">
        <v>1</v>
      </c>
      <c r="D141" s="74" t="s">
        <v>90</v>
      </c>
      <c r="E141" s="18" t="s">
        <v>91</v>
      </c>
      <c r="F141" s="102" t="s">
        <v>92</v>
      </c>
      <c r="G141" s="102" t="s">
        <v>93</v>
      </c>
      <c r="H141" s="103" t="s">
        <v>94</v>
      </c>
      <c r="I141" s="103" t="s">
        <v>95</v>
      </c>
    </row>
    <row r="142" spans="1:9" s="61" customFormat="1" x14ac:dyDescent="0.2">
      <c r="A142" s="383" t="s">
        <v>257</v>
      </c>
      <c r="B142" s="336" t="s">
        <v>275</v>
      </c>
      <c r="C142" s="384">
        <v>89333</v>
      </c>
      <c r="D142" s="80">
        <v>71000</v>
      </c>
      <c r="E142" s="17" t="s">
        <v>259</v>
      </c>
      <c r="F142" s="385">
        <v>61164</v>
      </c>
      <c r="G142" s="386">
        <v>0</v>
      </c>
      <c r="H142" s="387" t="s">
        <v>106</v>
      </c>
      <c r="I142" s="381">
        <v>39814</v>
      </c>
    </row>
    <row r="143" spans="1:9" s="61" customFormat="1" x14ac:dyDescent="0.2">
      <c r="A143" s="383" t="s">
        <v>260</v>
      </c>
      <c r="B143" s="336" t="s">
        <v>275</v>
      </c>
      <c r="C143" s="384">
        <v>400000</v>
      </c>
      <c r="D143" s="80">
        <v>320000</v>
      </c>
      <c r="E143" s="284" t="s">
        <v>259</v>
      </c>
      <c r="F143" s="385">
        <v>320000</v>
      </c>
      <c r="G143" s="386">
        <v>0</v>
      </c>
      <c r="H143" s="383" t="s">
        <v>106</v>
      </c>
      <c r="I143" s="381">
        <v>39753</v>
      </c>
    </row>
    <row r="144" spans="1:9" x14ac:dyDescent="0.2">
      <c r="A144" s="383" t="s">
        <v>276</v>
      </c>
      <c r="B144" s="336" t="s">
        <v>275</v>
      </c>
      <c r="C144" s="384">
        <v>693120</v>
      </c>
      <c r="D144" s="80">
        <v>554000</v>
      </c>
      <c r="E144" s="199" t="s">
        <v>259</v>
      </c>
      <c r="F144" s="386">
        <v>405346</v>
      </c>
      <c r="G144" s="388">
        <v>0</v>
      </c>
      <c r="H144" s="389" t="s">
        <v>106</v>
      </c>
      <c r="I144" s="381">
        <v>39873</v>
      </c>
    </row>
    <row r="145" spans="1:9" x14ac:dyDescent="0.2">
      <c r="A145" s="383" t="s">
        <v>277</v>
      </c>
      <c r="B145" s="336" t="s">
        <v>275</v>
      </c>
      <c r="C145" s="384">
        <v>1771463</v>
      </c>
      <c r="D145" s="80">
        <v>1417000</v>
      </c>
      <c r="E145" s="17" t="s">
        <v>259</v>
      </c>
      <c r="F145" s="385">
        <v>1406627</v>
      </c>
      <c r="G145" s="388">
        <v>0</v>
      </c>
      <c r="H145" s="387" t="s">
        <v>106</v>
      </c>
      <c r="I145" s="381">
        <v>40087</v>
      </c>
    </row>
    <row r="146" spans="1:9" x14ac:dyDescent="0.2">
      <c r="A146" s="383" t="s">
        <v>278</v>
      </c>
      <c r="B146" s="336" t="s">
        <v>275</v>
      </c>
      <c r="C146" s="384">
        <v>964707</v>
      </c>
      <c r="D146" s="80">
        <v>772000</v>
      </c>
      <c r="E146" s="17" t="s">
        <v>259</v>
      </c>
      <c r="F146" s="386">
        <v>650000</v>
      </c>
      <c r="G146" s="388">
        <v>0</v>
      </c>
      <c r="H146" s="387" t="s">
        <v>106</v>
      </c>
      <c r="I146" s="381">
        <v>39873</v>
      </c>
    </row>
    <row r="147" spans="1:9" x14ac:dyDescent="0.2">
      <c r="A147" s="383" t="s">
        <v>279</v>
      </c>
      <c r="B147" s="336" t="s">
        <v>275</v>
      </c>
      <c r="C147" s="384">
        <v>851704</v>
      </c>
      <c r="D147" s="80">
        <v>681000</v>
      </c>
      <c r="E147" s="17" t="s">
        <v>259</v>
      </c>
      <c r="F147" s="386">
        <v>616420</v>
      </c>
      <c r="G147" s="388">
        <v>0</v>
      </c>
      <c r="H147" s="387" t="s">
        <v>106</v>
      </c>
      <c r="I147" s="381">
        <v>39753</v>
      </c>
    </row>
    <row r="148" spans="1:9" x14ac:dyDescent="0.2">
      <c r="A148" s="383" t="s">
        <v>239</v>
      </c>
      <c r="B148" s="336" t="s">
        <v>275</v>
      </c>
      <c r="C148" s="384">
        <v>230000</v>
      </c>
      <c r="D148" s="80">
        <v>184000</v>
      </c>
      <c r="E148" s="17" t="s">
        <v>259</v>
      </c>
      <c r="F148" s="386">
        <v>184000</v>
      </c>
      <c r="G148" s="388">
        <f>D148-F148</f>
        <v>0</v>
      </c>
      <c r="H148" s="387" t="s">
        <v>106</v>
      </c>
      <c r="I148" s="381">
        <v>40178</v>
      </c>
    </row>
    <row r="149" spans="1:9" ht="15" x14ac:dyDescent="0.2">
      <c r="A149" s="72"/>
      <c r="B149" s="71" t="s">
        <v>130</v>
      </c>
      <c r="C149" s="73">
        <f>SUM(C142:C148)</f>
        <v>5000327</v>
      </c>
      <c r="D149" s="73">
        <f>SUM(D142:D148)</f>
        <v>3999000</v>
      </c>
      <c r="E149" s="18"/>
      <c r="F149" s="236">
        <f>SUM(F142:F148)</f>
        <v>3643557</v>
      </c>
      <c r="G149" s="236">
        <f>SUM(G142:G148)</f>
        <v>0</v>
      </c>
      <c r="H149" s="237"/>
      <c r="I149" s="103"/>
    </row>
    <row r="150" spans="1:9" x14ac:dyDescent="0.2">
      <c r="A150" s="266"/>
      <c r="B150" s="266"/>
      <c r="C150" s="396"/>
      <c r="D150" s="396"/>
      <c r="E150" s="284"/>
      <c r="F150" s="397"/>
      <c r="G150" s="397"/>
      <c r="H150" s="398"/>
      <c r="I150" s="285"/>
    </row>
    <row r="151" spans="1:9" ht="20.25" x14ac:dyDescent="0.3">
      <c r="A151" s="583" t="s">
        <v>280</v>
      </c>
      <c r="B151" s="589"/>
      <c r="C151" s="589"/>
      <c r="D151" s="589"/>
      <c r="E151" s="589"/>
      <c r="F151" s="589"/>
      <c r="G151" s="589"/>
      <c r="H151" s="589"/>
      <c r="I151"/>
    </row>
    <row r="152" spans="1:9" ht="38.25" x14ac:dyDescent="0.2">
      <c r="A152" s="75" t="s">
        <v>0</v>
      </c>
      <c r="B152" s="269" t="s">
        <v>1</v>
      </c>
      <c r="C152" s="269" t="s">
        <v>90</v>
      </c>
      <c r="D152" s="76" t="s">
        <v>281</v>
      </c>
      <c r="E152" s="76" t="s">
        <v>282</v>
      </c>
      <c r="F152" s="238" t="s">
        <v>283</v>
      </c>
      <c r="G152" s="238" t="s">
        <v>284</v>
      </c>
      <c r="H152" s="239" t="s">
        <v>95</v>
      </c>
      <c r="I152"/>
    </row>
    <row r="153" spans="1:9" ht="51" x14ac:dyDescent="0.2">
      <c r="A153" s="77" t="s">
        <v>285</v>
      </c>
      <c r="B153" s="78">
        <v>884000</v>
      </c>
      <c r="C153" s="78">
        <v>242000</v>
      </c>
      <c r="D153" s="79" t="s">
        <v>286</v>
      </c>
      <c r="E153" s="78">
        <v>0</v>
      </c>
      <c r="F153" s="80">
        <v>0</v>
      </c>
      <c r="G153" s="387" t="s">
        <v>270</v>
      </c>
      <c r="H153" s="304" t="s">
        <v>287</v>
      </c>
      <c r="I153"/>
    </row>
    <row r="154" spans="1:9" ht="38.25" x14ac:dyDescent="0.2">
      <c r="A154" s="77" t="s">
        <v>288</v>
      </c>
      <c r="B154" s="78">
        <v>8500000</v>
      </c>
      <c r="C154" s="78">
        <v>75000</v>
      </c>
      <c r="D154" s="79" t="s">
        <v>289</v>
      </c>
      <c r="E154" s="78">
        <v>0</v>
      </c>
      <c r="F154" s="80">
        <v>0</v>
      </c>
      <c r="G154" s="387" t="s">
        <v>270</v>
      </c>
      <c r="H154" s="304" t="s">
        <v>287</v>
      </c>
      <c r="I154"/>
    </row>
    <row r="155" spans="1:9" ht="89.25" x14ac:dyDescent="0.2">
      <c r="A155" s="77" t="s">
        <v>290</v>
      </c>
      <c r="B155" s="78">
        <v>1072933</v>
      </c>
      <c r="C155" s="78">
        <v>840000</v>
      </c>
      <c r="D155" s="79" t="s">
        <v>286</v>
      </c>
      <c r="E155" s="78">
        <v>0</v>
      </c>
      <c r="F155" s="78">
        <v>0</v>
      </c>
      <c r="G155" s="79" t="s">
        <v>291</v>
      </c>
      <c r="H155" s="355" t="s">
        <v>287</v>
      </c>
      <c r="I155"/>
    </row>
    <row r="156" spans="1:9" ht="38.25" x14ac:dyDescent="0.2">
      <c r="A156" s="77" t="s">
        <v>292</v>
      </c>
      <c r="B156" s="78">
        <v>1398000</v>
      </c>
      <c r="C156" s="78">
        <v>810000</v>
      </c>
      <c r="D156" s="79" t="s">
        <v>289</v>
      </c>
      <c r="E156" s="78">
        <v>810000</v>
      </c>
      <c r="F156" s="78">
        <v>0</v>
      </c>
      <c r="G156" s="79" t="s">
        <v>106</v>
      </c>
      <c r="H156" s="355">
        <v>40086</v>
      </c>
      <c r="I156"/>
    </row>
    <row r="157" spans="1:9" ht="63.75" x14ac:dyDescent="0.2">
      <c r="A157" s="399" t="s">
        <v>293</v>
      </c>
      <c r="B157" s="386">
        <v>7146000</v>
      </c>
      <c r="C157" s="386">
        <v>75000</v>
      </c>
      <c r="D157" s="79" t="s">
        <v>289</v>
      </c>
      <c r="E157" s="78">
        <v>0</v>
      </c>
      <c r="F157" s="78">
        <v>0</v>
      </c>
      <c r="G157" s="79" t="s">
        <v>294</v>
      </c>
      <c r="H157" s="355" t="s">
        <v>242</v>
      </c>
      <c r="I157"/>
    </row>
    <row r="158" spans="1:9" ht="76.5" x14ac:dyDescent="0.2">
      <c r="A158" s="399" t="s">
        <v>295</v>
      </c>
      <c r="B158" s="386">
        <v>6055075</v>
      </c>
      <c r="C158" s="386">
        <v>75000</v>
      </c>
      <c r="D158" s="79" t="s">
        <v>296</v>
      </c>
      <c r="E158" s="78">
        <v>0</v>
      </c>
      <c r="F158" s="78">
        <v>0</v>
      </c>
      <c r="G158" s="79" t="s">
        <v>297</v>
      </c>
      <c r="H158" s="304" t="s">
        <v>287</v>
      </c>
      <c r="I158"/>
    </row>
    <row r="159" spans="1:9" ht="38.25" x14ac:dyDescent="0.2">
      <c r="A159" s="399" t="s">
        <v>298</v>
      </c>
      <c r="B159" s="386">
        <v>2250000</v>
      </c>
      <c r="C159" s="386">
        <v>50000</v>
      </c>
      <c r="D159" s="79" t="s">
        <v>289</v>
      </c>
      <c r="E159" s="78">
        <v>0</v>
      </c>
      <c r="F159" s="80">
        <v>0</v>
      </c>
      <c r="G159" s="17" t="s">
        <v>270</v>
      </c>
      <c r="H159" s="304" t="s">
        <v>287</v>
      </c>
      <c r="I159"/>
    </row>
    <row r="160" spans="1:9" ht="38.25" x14ac:dyDescent="0.2">
      <c r="A160" s="399" t="s">
        <v>299</v>
      </c>
      <c r="B160" s="386">
        <v>414489</v>
      </c>
      <c r="C160" s="386">
        <v>165795</v>
      </c>
      <c r="D160" s="79" t="s">
        <v>289</v>
      </c>
      <c r="E160" s="78">
        <v>0</v>
      </c>
      <c r="F160" s="80">
        <v>0</v>
      </c>
      <c r="G160" s="17" t="s">
        <v>270</v>
      </c>
      <c r="H160" s="304" t="s">
        <v>287</v>
      </c>
      <c r="I160"/>
    </row>
    <row r="161" spans="1:9" ht="63.75" x14ac:dyDescent="0.2">
      <c r="A161" s="399" t="s">
        <v>300</v>
      </c>
      <c r="B161" s="386">
        <v>9500000</v>
      </c>
      <c r="C161" s="386">
        <v>270000</v>
      </c>
      <c r="D161" s="79" t="s">
        <v>301</v>
      </c>
      <c r="E161" s="78">
        <v>0</v>
      </c>
      <c r="F161" s="78">
        <v>0</v>
      </c>
      <c r="G161" s="79" t="s">
        <v>302</v>
      </c>
      <c r="H161" s="355" t="s">
        <v>287</v>
      </c>
      <c r="I161"/>
    </row>
    <row r="162" spans="1:9" ht="63.75" x14ac:dyDescent="0.2">
      <c r="A162" s="399" t="s">
        <v>303</v>
      </c>
      <c r="B162" s="386">
        <v>9500000</v>
      </c>
      <c r="C162" s="386">
        <v>270000</v>
      </c>
      <c r="D162" s="79" t="s">
        <v>304</v>
      </c>
      <c r="E162" s="78">
        <v>0</v>
      </c>
      <c r="F162" s="78">
        <v>0</v>
      </c>
      <c r="G162" s="79" t="s">
        <v>302</v>
      </c>
      <c r="H162" s="355" t="s">
        <v>287</v>
      </c>
      <c r="I162"/>
    </row>
    <row r="163" spans="1:9" x14ac:dyDescent="0.2">
      <c r="A163" s="391"/>
      <c r="B163" s="400">
        <f>SUM(B153:B162)</f>
        <v>46720497</v>
      </c>
      <c r="C163" s="392">
        <f>SUM(C153:C162)</f>
        <v>2872795</v>
      </c>
      <c r="D163" s="392"/>
      <c r="E163" s="269">
        <f>SUM(E153:E162)</f>
        <v>810000</v>
      </c>
      <c r="F163" s="393">
        <f>SUM(F153:F162)</f>
        <v>0</v>
      </c>
      <c r="G163" s="393"/>
      <c r="H163" s="394"/>
      <c r="I163"/>
    </row>
    <row r="164" spans="1:9" x14ac:dyDescent="0.2">
      <c r="A164" s="69"/>
      <c r="B164" s="69"/>
      <c r="C164" s="81"/>
      <c r="D164" s="69"/>
      <c r="E164" s="69"/>
      <c r="F164" s="81"/>
      <c r="G164" s="401"/>
      <c r="H164"/>
      <c r="I164"/>
    </row>
    <row r="165" spans="1:9" ht="20.25" x14ac:dyDescent="0.3">
      <c r="A165" s="583" t="s">
        <v>305</v>
      </c>
      <c r="B165" s="589"/>
      <c r="C165" s="589"/>
      <c r="D165" s="589"/>
      <c r="E165" s="589"/>
      <c r="F165" s="589"/>
      <c r="G165" s="589"/>
      <c r="H165" s="589"/>
      <c r="I165"/>
    </row>
    <row r="166" spans="1:9" ht="38.25" x14ac:dyDescent="0.2">
      <c r="A166" s="75" t="s">
        <v>0</v>
      </c>
      <c r="B166" s="269" t="s">
        <v>1</v>
      </c>
      <c r="C166" s="269" t="s">
        <v>90</v>
      </c>
      <c r="D166" s="76" t="s">
        <v>281</v>
      </c>
      <c r="E166" s="76" t="s">
        <v>306</v>
      </c>
      <c r="F166" s="238" t="s">
        <v>307</v>
      </c>
      <c r="G166" s="238" t="s">
        <v>284</v>
      </c>
      <c r="H166" s="239" t="s">
        <v>95</v>
      </c>
      <c r="I166"/>
    </row>
    <row r="167" spans="1:9" ht="51" x14ac:dyDescent="0.2">
      <c r="A167" s="77" t="s">
        <v>308</v>
      </c>
      <c r="B167" s="78">
        <v>24240300</v>
      </c>
      <c r="C167" s="78">
        <v>239000</v>
      </c>
      <c r="D167" s="79" t="s">
        <v>286</v>
      </c>
      <c r="E167" s="78">
        <v>0</v>
      </c>
      <c r="F167" s="78">
        <v>0</v>
      </c>
      <c r="G167" s="17" t="s">
        <v>270</v>
      </c>
      <c r="H167" s="304" t="s">
        <v>287</v>
      </c>
      <c r="I167"/>
    </row>
    <row r="168" spans="1:9" ht="51" x14ac:dyDescent="0.2">
      <c r="A168" s="77" t="s">
        <v>290</v>
      </c>
      <c r="B168" s="78">
        <v>11852896</v>
      </c>
      <c r="C168" s="78">
        <v>489000</v>
      </c>
      <c r="D168" s="79" t="s">
        <v>286</v>
      </c>
      <c r="E168" s="78">
        <v>0</v>
      </c>
      <c r="F168" s="78">
        <v>0</v>
      </c>
      <c r="G168" s="17" t="s">
        <v>270</v>
      </c>
      <c r="H168" s="355" t="s">
        <v>287</v>
      </c>
      <c r="I168"/>
    </row>
    <row r="169" spans="1:9" ht="38.25" x14ac:dyDescent="0.2">
      <c r="A169" s="77" t="s">
        <v>309</v>
      </c>
      <c r="B169" s="78">
        <v>457513</v>
      </c>
      <c r="C169" s="78">
        <v>326000</v>
      </c>
      <c r="D169" s="79" t="s">
        <v>289</v>
      </c>
      <c r="E169" s="78">
        <v>326000</v>
      </c>
      <c r="F169" s="78">
        <f>C169-E169</f>
        <v>0</v>
      </c>
      <c r="G169" s="17" t="s">
        <v>235</v>
      </c>
      <c r="H169" s="355">
        <v>40324</v>
      </c>
      <c r="I169"/>
    </row>
    <row r="170" spans="1:9" ht="51" x14ac:dyDescent="0.2">
      <c r="A170" s="77" t="s">
        <v>310</v>
      </c>
      <c r="B170" s="78">
        <v>1300000</v>
      </c>
      <c r="C170" s="78">
        <v>250000</v>
      </c>
      <c r="D170" s="79" t="s">
        <v>286</v>
      </c>
      <c r="E170" s="78">
        <v>0</v>
      </c>
      <c r="F170" s="78">
        <v>0</v>
      </c>
      <c r="G170" s="17" t="s">
        <v>270</v>
      </c>
      <c r="H170" s="402" t="s">
        <v>287</v>
      </c>
      <c r="I170"/>
    </row>
    <row r="171" spans="1:9" x14ac:dyDescent="0.2">
      <c r="A171" s="82"/>
      <c r="B171" s="83">
        <f>SUM(B167:B170)</f>
        <v>37850709</v>
      </c>
      <c r="C171" s="83">
        <f>SUM(C167:C170)</f>
        <v>1304000</v>
      </c>
      <c r="D171" s="84"/>
      <c r="E171" s="83">
        <f>SUM(E167:E170)</f>
        <v>326000</v>
      </c>
      <c r="F171" s="240">
        <f>SUM(F167:F170)</f>
        <v>0</v>
      </c>
      <c r="G171" s="241"/>
      <c r="H171" s="242"/>
      <c r="I171"/>
    </row>
    <row r="172" spans="1:9" ht="20.25" x14ac:dyDescent="0.3">
      <c r="A172" s="403"/>
      <c r="B172" s="403"/>
      <c r="C172" s="403"/>
      <c r="D172" s="403"/>
      <c r="E172" s="403"/>
      <c r="F172" s="403"/>
      <c r="G172" s="403"/>
      <c r="H172"/>
      <c r="I172"/>
    </row>
    <row r="173" spans="1:9" ht="20.25" x14ac:dyDescent="0.3">
      <c r="A173" s="583" t="s">
        <v>311</v>
      </c>
      <c r="B173" s="583"/>
      <c r="C173" s="583"/>
      <c r="D173" s="583"/>
      <c r="E173" s="583"/>
      <c r="F173" s="583"/>
      <c r="G173" s="583"/>
      <c r="H173" s="583"/>
      <c r="I173"/>
    </row>
    <row r="174" spans="1:9" x14ac:dyDescent="0.2">
      <c r="F174"/>
      <c r="G174"/>
      <c r="H174"/>
      <c r="I174"/>
    </row>
    <row r="175" spans="1:9" ht="38.25" x14ac:dyDescent="0.2">
      <c r="A175" s="75" t="s">
        <v>0</v>
      </c>
      <c r="B175" s="269" t="s">
        <v>1</v>
      </c>
      <c r="C175" s="269" t="s">
        <v>90</v>
      </c>
      <c r="D175" s="76" t="s">
        <v>281</v>
      </c>
      <c r="E175" s="76" t="s">
        <v>312</v>
      </c>
      <c r="F175" s="238" t="s">
        <v>313</v>
      </c>
      <c r="G175" s="238" t="s">
        <v>284</v>
      </c>
      <c r="H175" s="239" t="s">
        <v>95</v>
      </c>
      <c r="I175"/>
    </row>
    <row r="176" spans="1:9" ht="51" x14ac:dyDescent="0.2">
      <c r="A176" s="77" t="s">
        <v>314</v>
      </c>
      <c r="B176" s="78">
        <v>3712220</v>
      </c>
      <c r="C176" s="78">
        <v>500000</v>
      </c>
      <c r="D176" s="79" t="s">
        <v>286</v>
      </c>
      <c r="E176" s="78">
        <v>500000</v>
      </c>
      <c r="F176" s="78">
        <f t="shared" ref="F176:F181" si="0">C176-E176</f>
        <v>0</v>
      </c>
      <c r="G176" s="17" t="s">
        <v>235</v>
      </c>
      <c r="H176" s="304">
        <v>39483</v>
      </c>
      <c r="I176"/>
    </row>
    <row r="177" spans="1:9" ht="51" x14ac:dyDescent="0.2">
      <c r="A177" s="77" t="s">
        <v>315</v>
      </c>
      <c r="B177" s="78">
        <v>694000</v>
      </c>
      <c r="C177" s="78">
        <v>534000</v>
      </c>
      <c r="D177" s="79" t="s">
        <v>286</v>
      </c>
      <c r="E177" s="78">
        <v>534000</v>
      </c>
      <c r="F177" s="78">
        <f t="shared" si="0"/>
        <v>0</v>
      </c>
      <c r="G177" s="17" t="s">
        <v>235</v>
      </c>
      <c r="H177" s="304">
        <v>39344</v>
      </c>
      <c r="I177"/>
    </row>
    <row r="178" spans="1:9" ht="51" x14ac:dyDescent="0.2">
      <c r="A178" s="77" t="s">
        <v>316</v>
      </c>
      <c r="B178" s="78">
        <v>4660791</v>
      </c>
      <c r="C178" s="78">
        <v>760791</v>
      </c>
      <c r="D178" s="79" t="s">
        <v>317</v>
      </c>
      <c r="E178" s="80">
        <v>729711</v>
      </c>
      <c r="F178" s="80">
        <v>31079</v>
      </c>
      <c r="G178" s="79" t="s">
        <v>235</v>
      </c>
      <c r="H178" s="304">
        <v>42185</v>
      </c>
      <c r="I178"/>
    </row>
    <row r="179" spans="1:9" ht="51" x14ac:dyDescent="0.2">
      <c r="A179" s="77" t="s">
        <v>318</v>
      </c>
      <c r="B179" s="78">
        <v>5700000</v>
      </c>
      <c r="C179" s="78">
        <v>280000</v>
      </c>
      <c r="D179" s="79" t="s">
        <v>286</v>
      </c>
      <c r="E179" s="78">
        <v>126000</v>
      </c>
      <c r="F179" s="78">
        <v>0</v>
      </c>
      <c r="G179" s="79" t="s">
        <v>396</v>
      </c>
      <c r="H179" s="355">
        <v>41333</v>
      </c>
      <c r="I179"/>
    </row>
    <row r="180" spans="1:9" ht="51" x14ac:dyDescent="0.2">
      <c r="A180" s="77" t="s">
        <v>319</v>
      </c>
      <c r="B180" s="78">
        <v>2800000</v>
      </c>
      <c r="C180" s="78">
        <v>280000</v>
      </c>
      <c r="D180" s="79" t="s">
        <v>286</v>
      </c>
      <c r="E180" s="78">
        <v>280000</v>
      </c>
      <c r="F180" s="78">
        <f t="shared" si="0"/>
        <v>0</v>
      </c>
      <c r="G180" s="17" t="s">
        <v>235</v>
      </c>
      <c r="H180" s="355">
        <v>39721</v>
      </c>
      <c r="I180"/>
    </row>
    <row r="181" spans="1:9" ht="51" x14ac:dyDescent="0.2">
      <c r="A181" s="77" t="s">
        <v>320</v>
      </c>
      <c r="B181" s="78">
        <v>1258532</v>
      </c>
      <c r="C181" s="78">
        <v>300000</v>
      </c>
      <c r="D181" s="79" t="s">
        <v>286</v>
      </c>
      <c r="E181" s="78">
        <v>300000</v>
      </c>
      <c r="F181" s="78">
        <f t="shared" si="0"/>
        <v>0</v>
      </c>
      <c r="G181" s="17" t="s">
        <v>235</v>
      </c>
      <c r="H181" s="355">
        <v>39387</v>
      </c>
      <c r="I181"/>
    </row>
    <row r="182" spans="1:9" ht="102" x14ac:dyDescent="0.2">
      <c r="A182" s="77" t="s">
        <v>321</v>
      </c>
      <c r="B182" s="78">
        <v>2154086</v>
      </c>
      <c r="C182" s="78">
        <v>319209</v>
      </c>
      <c r="D182" s="79" t="s">
        <v>286</v>
      </c>
      <c r="E182" s="78">
        <v>0</v>
      </c>
      <c r="F182" s="78">
        <v>0</v>
      </c>
      <c r="G182" s="79" t="s">
        <v>322</v>
      </c>
      <c r="H182" s="355" t="s">
        <v>242</v>
      </c>
      <c r="I182"/>
    </row>
    <row r="183" spans="1:9" ht="38.25" x14ac:dyDescent="0.2">
      <c r="A183" s="77" t="s">
        <v>323</v>
      </c>
      <c r="B183" s="78">
        <v>30000</v>
      </c>
      <c r="C183" s="78">
        <v>22500</v>
      </c>
      <c r="D183" s="79" t="s">
        <v>289</v>
      </c>
      <c r="E183" s="78">
        <v>0</v>
      </c>
      <c r="F183" s="78">
        <v>0</v>
      </c>
      <c r="G183" s="17" t="s">
        <v>270</v>
      </c>
      <c r="H183" s="304" t="s">
        <v>242</v>
      </c>
      <c r="I183"/>
    </row>
    <row r="184" spans="1:9" x14ac:dyDescent="0.2">
      <c r="A184" s="77" t="s">
        <v>324</v>
      </c>
      <c r="B184" s="78">
        <v>406711</v>
      </c>
      <c r="C184" s="78">
        <v>60000</v>
      </c>
      <c r="D184" s="79" t="s">
        <v>325</v>
      </c>
      <c r="E184" s="78">
        <v>42691</v>
      </c>
      <c r="F184" s="78">
        <v>0</v>
      </c>
      <c r="G184" s="17" t="s">
        <v>235</v>
      </c>
      <c r="H184" s="355">
        <v>39387</v>
      </c>
      <c r="I184"/>
    </row>
    <row r="185" spans="1:9" x14ac:dyDescent="0.2">
      <c r="A185" s="82"/>
      <c r="B185" s="83">
        <f>SUM(B176:B184)</f>
        <v>21416340</v>
      </c>
      <c r="C185" s="83">
        <f>SUM(C176:C184)</f>
        <v>3056500</v>
      </c>
      <c r="D185" s="84"/>
      <c r="E185" s="83">
        <f>SUM(E176:E184)</f>
        <v>2512402</v>
      </c>
      <c r="F185" s="240">
        <f>SUM(F176:F184)</f>
        <v>31079</v>
      </c>
      <c r="G185" s="241"/>
      <c r="H185" s="242"/>
      <c r="I185"/>
    </row>
    <row r="186" spans="1:9" x14ac:dyDescent="0.2">
      <c r="F186"/>
      <c r="G186"/>
      <c r="H186"/>
      <c r="I186"/>
    </row>
    <row r="187" spans="1:9" x14ac:dyDescent="0.2">
      <c r="F187"/>
      <c r="G187"/>
      <c r="H187"/>
      <c r="I187"/>
    </row>
    <row r="188" spans="1:9" x14ac:dyDescent="0.2">
      <c r="F188"/>
      <c r="G188"/>
      <c r="H188"/>
      <c r="I188"/>
    </row>
    <row r="189" spans="1:9" x14ac:dyDescent="0.2">
      <c r="F189"/>
      <c r="G189"/>
      <c r="H189"/>
      <c r="I189"/>
    </row>
    <row r="190" spans="1:9" x14ac:dyDescent="0.2">
      <c r="F190"/>
      <c r="G190"/>
      <c r="H190"/>
      <c r="I190"/>
    </row>
    <row r="191" spans="1:9" x14ac:dyDescent="0.2">
      <c r="F191"/>
      <c r="G191"/>
      <c r="H191"/>
      <c r="I191"/>
    </row>
    <row r="192" spans="1:9" x14ac:dyDescent="0.2">
      <c r="F192"/>
      <c r="G192"/>
      <c r="H192"/>
      <c r="I192"/>
    </row>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row r="704" customFormat="1" x14ac:dyDescent="0.2"/>
    <row r="705" customFormat="1" x14ac:dyDescent="0.2"/>
    <row r="706" customFormat="1" x14ac:dyDescent="0.2"/>
    <row r="707" customFormat="1" x14ac:dyDescent="0.2"/>
    <row r="708" customFormat="1" x14ac:dyDescent="0.2"/>
    <row r="709" customFormat="1" x14ac:dyDescent="0.2"/>
    <row r="710" customFormat="1" x14ac:dyDescent="0.2"/>
    <row r="711" customFormat="1" x14ac:dyDescent="0.2"/>
    <row r="712" customFormat="1" x14ac:dyDescent="0.2"/>
    <row r="713" customFormat="1" x14ac:dyDescent="0.2"/>
    <row r="714" customFormat="1" x14ac:dyDescent="0.2"/>
    <row r="715" customFormat="1" x14ac:dyDescent="0.2"/>
    <row r="716" customFormat="1" x14ac:dyDescent="0.2"/>
    <row r="717" customFormat="1" x14ac:dyDescent="0.2"/>
    <row r="718" customFormat="1" x14ac:dyDescent="0.2"/>
    <row r="719" customFormat="1" x14ac:dyDescent="0.2"/>
    <row r="720" customFormat="1" x14ac:dyDescent="0.2"/>
    <row r="721" customFormat="1" x14ac:dyDescent="0.2"/>
    <row r="722" customFormat="1" x14ac:dyDescent="0.2"/>
    <row r="723" customFormat="1" x14ac:dyDescent="0.2"/>
    <row r="724" customFormat="1" x14ac:dyDescent="0.2"/>
    <row r="725" customFormat="1" x14ac:dyDescent="0.2"/>
    <row r="726" customFormat="1" x14ac:dyDescent="0.2"/>
    <row r="727" customFormat="1" x14ac:dyDescent="0.2"/>
    <row r="728" customFormat="1" x14ac:dyDescent="0.2"/>
    <row r="729" customFormat="1" x14ac:dyDescent="0.2"/>
    <row r="730" customFormat="1" x14ac:dyDescent="0.2"/>
    <row r="731" customFormat="1" x14ac:dyDescent="0.2"/>
    <row r="732" customFormat="1" x14ac:dyDescent="0.2"/>
    <row r="733" customFormat="1" x14ac:dyDescent="0.2"/>
    <row r="734" customFormat="1" x14ac:dyDescent="0.2"/>
    <row r="735" customFormat="1" x14ac:dyDescent="0.2"/>
    <row r="736" customFormat="1" x14ac:dyDescent="0.2"/>
    <row r="737" customFormat="1" x14ac:dyDescent="0.2"/>
    <row r="738" customFormat="1" x14ac:dyDescent="0.2"/>
    <row r="739" customFormat="1" x14ac:dyDescent="0.2"/>
    <row r="740" customFormat="1" x14ac:dyDescent="0.2"/>
    <row r="741" customFormat="1" x14ac:dyDescent="0.2"/>
    <row r="742" customFormat="1" x14ac:dyDescent="0.2"/>
    <row r="743" customFormat="1" x14ac:dyDescent="0.2"/>
    <row r="744" customFormat="1" x14ac:dyDescent="0.2"/>
    <row r="745" customFormat="1" x14ac:dyDescent="0.2"/>
    <row r="746" customFormat="1" x14ac:dyDescent="0.2"/>
    <row r="747" customFormat="1" x14ac:dyDescent="0.2"/>
    <row r="748" customFormat="1" x14ac:dyDescent="0.2"/>
    <row r="749" customFormat="1" x14ac:dyDescent="0.2"/>
    <row r="750" customFormat="1" x14ac:dyDescent="0.2"/>
    <row r="751" customFormat="1" x14ac:dyDescent="0.2"/>
    <row r="752" customFormat="1" x14ac:dyDescent="0.2"/>
    <row r="753" customFormat="1" x14ac:dyDescent="0.2"/>
    <row r="754" customFormat="1" x14ac:dyDescent="0.2"/>
    <row r="755" customFormat="1" x14ac:dyDescent="0.2"/>
    <row r="756" customFormat="1" x14ac:dyDescent="0.2"/>
    <row r="757" customFormat="1" x14ac:dyDescent="0.2"/>
    <row r="758" customFormat="1" x14ac:dyDescent="0.2"/>
    <row r="759" customFormat="1" x14ac:dyDescent="0.2"/>
    <row r="760" customFormat="1" x14ac:dyDescent="0.2"/>
    <row r="761" customFormat="1" x14ac:dyDescent="0.2"/>
    <row r="762" customFormat="1" x14ac:dyDescent="0.2"/>
    <row r="763" customFormat="1" x14ac:dyDescent="0.2"/>
    <row r="764" customFormat="1" x14ac:dyDescent="0.2"/>
    <row r="765" customFormat="1" x14ac:dyDescent="0.2"/>
    <row r="766" customFormat="1" x14ac:dyDescent="0.2"/>
    <row r="767" customFormat="1" x14ac:dyDescent="0.2"/>
    <row r="768" customFormat="1" x14ac:dyDescent="0.2"/>
    <row r="769" customFormat="1" x14ac:dyDescent="0.2"/>
    <row r="770" customFormat="1" x14ac:dyDescent="0.2"/>
    <row r="771" customFormat="1" x14ac:dyDescent="0.2"/>
    <row r="772" customFormat="1" x14ac:dyDescent="0.2"/>
    <row r="773" customFormat="1" x14ac:dyDescent="0.2"/>
    <row r="774" customFormat="1" x14ac:dyDescent="0.2"/>
    <row r="775" customFormat="1" x14ac:dyDescent="0.2"/>
    <row r="776" customFormat="1" x14ac:dyDescent="0.2"/>
    <row r="777" customFormat="1" x14ac:dyDescent="0.2"/>
    <row r="778" customFormat="1" x14ac:dyDescent="0.2"/>
    <row r="779" customFormat="1" x14ac:dyDescent="0.2"/>
    <row r="780" customFormat="1" x14ac:dyDescent="0.2"/>
    <row r="781" customFormat="1" x14ac:dyDescent="0.2"/>
    <row r="782" customFormat="1" x14ac:dyDescent="0.2"/>
    <row r="783" customFormat="1" x14ac:dyDescent="0.2"/>
    <row r="784" customFormat="1" x14ac:dyDescent="0.2"/>
    <row r="785" customFormat="1" x14ac:dyDescent="0.2"/>
    <row r="786" customFormat="1" x14ac:dyDescent="0.2"/>
    <row r="787" customFormat="1" x14ac:dyDescent="0.2"/>
    <row r="788" customFormat="1" x14ac:dyDescent="0.2"/>
    <row r="789" customFormat="1" x14ac:dyDescent="0.2"/>
    <row r="790" customFormat="1" x14ac:dyDescent="0.2"/>
    <row r="791" customFormat="1" x14ac:dyDescent="0.2"/>
    <row r="792" customFormat="1" x14ac:dyDescent="0.2"/>
    <row r="793" customFormat="1" x14ac:dyDescent="0.2"/>
    <row r="794" customFormat="1" x14ac:dyDescent="0.2"/>
    <row r="795" customFormat="1" x14ac:dyDescent="0.2"/>
    <row r="796" customFormat="1" x14ac:dyDescent="0.2"/>
    <row r="797" customFormat="1" x14ac:dyDescent="0.2"/>
    <row r="798" customFormat="1" x14ac:dyDescent="0.2"/>
    <row r="799" customFormat="1" x14ac:dyDescent="0.2"/>
    <row r="800" customFormat="1" x14ac:dyDescent="0.2"/>
    <row r="801" customFormat="1" x14ac:dyDescent="0.2"/>
    <row r="802" customFormat="1" x14ac:dyDescent="0.2"/>
    <row r="803" customFormat="1" x14ac:dyDescent="0.2"/>
    <row r="804" customFormat="1" x14ac:dyDescent="0.2"/>
    <row r="805" customFormat="1" x14ac:dyDescent="0.2"/>
    <row r="806" customFormat="1" x14ac:dyDescent="0.2"/>
    <row r="807" customFormat="1" x14ac:dyDescent="0.2"/>
    <row r="808" customFormat="1" x14ac:dyDescent="0.2"/>
    <row r="809" customFormat="1" x14ac:dyDescent="0.2"/>
    <row r="810" customFormat="1" x14ac:dyDescent="0.2"/>
    <row r="811" customFormat="1" x14ac:dyDescent="0.2"/>
    <row r="812" customFormat="1" x14ac:dyDescent="0.2"/>
    <row r="813" customFormat="1" x14ac:dyDescent="0.2"/>
    <row r="814" customFormat="1" x14ac:dyDescent="0.2"/>
    <row r="815" customFormat="1" x14ac:dyDescent="0.2"/>
    <row r="816" customFormat="1" x14ac:dyDescent="0.2"/>
    <row r="817" customFormat="1" x14ac:dyDescent="0.2"/>
    <row r="818" customFormat="1" x14ac:dyDescent="0.2"/>
    <row r="819" customFormat="1" x14ac:dyDescent="0.2"/>
    <row r="820" customFormat="1" x14ac:dyDescent="0.2"/>
    <row r="821" customFormat="1" x14ac:dyDescent="0.2"/>
    <row r="822" customFormat="1" x14ac:dyDescent="0.2"/>
    <row r="823" customFormat="1" x14ac:dyDescent="0.2"/>
    <row r="824" customFormat="1" x14ac:dyDescent="0.2"/>
    <row r="825" customFormat="1" x14ac:dyDescent="0.2"/>
    <row r="826" customFormat="1" x14ac:dyDescent="0.2"/>
    <row r="827" customFormat="1" x14ac:dyDescent="0.2"/>
    <row r="828" customFormat="1" x14ac:dyDescent="0.2"/>
    <row r="829" customFormat="1" x14ac:dyDescent="0.2"/>
    <row r="830" customFormat="1" x14ac:dyDescent="0.2"/>
    <row r="831" customFormat="1" x14ac:dyDescent="0.2"/>
    <row r="832" customFormat="1" x14ac:dyDescent="0.2"/>
    <row r="833" customFormat="1" x14ac:dyDescent="0.2"/>
    <row r="834" customFormat="1" x14ac:dyDescent="0.2"/>
    <row r="835" customFormat="1" x14ac:dyDescent="0.2"/>
    <row r="836" customFormat="1" x14ac:dyDescent="0.2"/>
    <row r="837" customFormat="1" x14ac:dyDescent="0.2"/>
    <row r="838" customFormat="1" x14ac:dyDescent="0.2"/>
    <row r="839" customFormat="1" x14ac:dyDescent="0.2"/>
    <row r="840" customFormat="1" x14ac:dyDescent="0.2"/>
    <row r="841" customFormat="1" x14ac:dyDescent="0.2"/>
    <row r="842" customFormat="1" x14ac:dyDescent="0.2"/>
    <row r="843" customFormat="1" x14ac:dyDescent="0.2"/>
    <row r="844" customFormat="1" x14ac:dyDescent="0.2"/>
    <row r="845" customFormat="1" x14ac:dyDescent="0.2"/>
    <row r="846" customFormat="1" x14ac:dyDescent="0.2"/>
    <row r="847" customFormat="1" x14ac:dyDescent="0.2"/>
    <row r="848" customFormat="1" x14ac:dyDescent="0.2"/>
    <row r="849" customFormat="1" x14ac:dyDescent="0.2"/>
    <row r="850" customFormat="1" x14ac:dyDescent="0.2"/>
    <row r="851" customFormat="1" x14ac:dyDescent="0.2"/>
    <row r="852" customFormat="1" x14ac:dyDescent="0.2"/>
    <row r="853" customFormat="1" x14ac:dyDescent="0.2"/>
    <row r="854" customFormat="1" x14ac:dyDescent="0.2"/>
    <row r="855" customFormat="1" x14ac:dyDescent="0.2"/>
    <row r="856" customFormat="1" x14ac:dyDescent="0.2"/>
    <row r="857" customFormat="1" x14ac:dyDescent="0.2"/>
    <row r="858" customFormat="1" x14ac:dyDescent="0.2"/>
    <row r="859" customFormat="1" x14ac:dyDescent="0.2"/>
    <row r="860" customFormat="1" x14ac:dyDescent="0.2"/>
    <row r="861" customFormat="1" x14ac:dyDescent="0.2"/>
    <row r="862" customFormat="1" x14ac:dyDescent="0.2"/>
    <row r="863" customFormat="1" x14ac:dyDescent="0.2"/>
    <row r="864" customFormat="1" x14ac:dyDescent="0.2"/>
    <row r="865" customFormat="1" x14ac:dyDescent="0.2"/>
    <row r="866" customFormat="1" x14ac:dyDescent="0.2"/>
    <row r="867" customFormat="1" x14ac:dyDescent="0.2"/>
    <row r="868" customFormat="1" x14ac:dyDescent="0.2"/>
    <row r="869" customFormat="1" x14ac:dyDescent="0.2"/>
    <row r="870" customFormat="1" x14ac:dyDescent="0.2"/>
    <row r="871" customFormat="1" x14ac:dyDescent="0.2"/>
    <row r="872" customFormat="1" x14ac:dyDescent="0.2"/>
    <row r="873" customFormat="1" x14ac:dyDescent="0.2"/>
    <row r="874" customFormat="1" x14ac:dyDescent="0.2"/>
    <row r="875" customFormat="1" x14ac:dyDescent="0.2"/>
    <row r="876" customFormat="1" x14ac:dyDescent="0.2"/>
    <row r="877" customFormat="1" x14ac:dyDescent="0.2"/>
    <row r="878" customFormat="1" x14ac:dyDescent="0.2"/>
    <row r="879" customFormat="1" x14ac:dyDescent="0.2"/>
    <row r="880" customFormat="1" x14ac:dyDescent="0.2"/>
    <row r="881" customFormat="1" x14ac:dyDescent="0.2"/>
    <row r="882" customFormat="1" x14ac:dyDescent="0.2"/>
    <row r="883" customFormat="1" x14ac:dyDescent="0.2"/>
    <row r="884" customFormat="1" x14ac:dyDescent="0.2"/>
    <row r="885" customFormat="1" x14ac:dyDescent="0.2"/>
    <row r="886" customFormat="1" x14ac:dyDescent="0.2"/>
    <row r="887" customFormat="1" x14ac:dyDescent="0.2"/>
    <row r="888" customFormat="1" x14ac:dyDescent="0.2"/>
    <row r="889" customFormat="1" x14ac:dyDescent="0.2"/>
    <row r="890" customFormat="1" x14ac:dyDescent="0.2"/>
    <row r="891" customFormat="1" x14ac:dyDescent="0.2"/>
    <row r="892" customFormat="1" x14ac:dyDescent="0.2"/>
    <row r="893" customFormat="1" x14ac:dyDescent="0.2"/>
    <row r="894" customFormat="1" x14ac:dyDescent="0.2"/>
    <row r="895" customFormat="1" x14ac:dyDescent="0.2"/>
    <row r="896" customFormat="1" x14ac:dyDescent="0.2"/>
    <row r="897" customFormat="1" x14ac:dyDescent="0.2"/>
    <row r="898" customFormat="1" x14ac:dyDescent="0.2"/>
    <row r="899" customFormat="1" x14ac:dyDescent="0.2"/>
    <row r="900" customFormat="1" x14ac:dyDescent="0.2"/>
    <row r="901" customFormat="1" x14ac:dyDescent="0.2"/>
    <row r="902" customFormat="1" x14ac:dyDescent="0.2"/>
    <row r="903" customFormat="1" x14ac:dyDescent="0.2"/>
    <row r="904" customFormat="1" x14ac:dyDescent="0.2"/>
    <row r="905" customFormat="1" x14ac:dyDescent="0.2"/>
    <row r="906" customFormat="1" x14ac:dyDescent="0.2"/>
    <row r="907" customFormat="1" x14ac:dyDescent="0.2"/>
    <row r="908" customFormat="1" x14ac:dyDescent="0.2"/>
    <row r="909" customFormat="1" x14ac:dyDescent="0.2"/>
    <row r="910" customFormat="1" x14ac:dyDescent="0.2"/>
    <row r="911" customFormat="1" x14ac:dyDescent="0.2"/>
    <row r="912" customFormat="1" x14ac:dyDescent="0.2"/>
    <row r="913" customFormat="1" x14ac:dyDescent="0.2"/>
    <row r="914" customFormat="1" x14ac:dyDescent="0.2"/>
    <row r="915" customFormat="1" x14ac:dyDescent="0.2"/>
    <row r="916" customFormat="1" x14ac:dyDescent="0.2"/>
    <row r="917" customFormat="1" x14ac:dyDescent="0.2"/>
    <row r="918" customFormat="1" x14ac:dyDescent="0.2"/>
    <row r="919" customFormat="1" x14ac:dyDescent="0.2"/>
    <row r="920" customFormat="1" x14ac:dyDescent="0.2"/>
    <row r="921" customFormat="1" x14ac:dyDescent="0.2"/>
    <row r="922" customFormat="1" x14ac:dyDescent="0.2"/>
    <row r="923" customFormat="1" x14ac:dyDescent="0.2"/>
    <row r="924" customFormat="1" x14ac:dyDescent="0.2"/>
    <row r="925" customFormat="1" x14ac:dyDescent="0.2"/>
    <row r="926" customFormat="1" x14ac:dyDescent="0.2"/>
    <row r="927" customFormat="1" x14ac:dyDescent="0.2"/>
    <row r="928" customFormat="1" x14ac:dyDescent="0.2"/>
    <row r="929" customFormat="1" x14ac:dyDescent="0.2"/>
    <row r="930" customFormat="1" x14ac:dyDescent="0.2"/>
    <row r="931" customFormat="1" x14ac:dyDescent="0.2"/>
    <row r="932" customFormat="1" x14ac:dyDescent="0.2"/>
    <row r="933" customFormat="1" x14ac:dyDescent="0.2"/>
    <row r="934" customFormat="1" x14ac:dyDescent="0.2"/>
    <row r="935" customFormat="1" x14ac:dyDescent="0.2"/>
    <row r="936" customFormat="1" x14ac:dyDescent="0.2"/>
    <row r="937" customFormat="1" x14ac:dyDescent="0.2"/>
    <row r="938" customFormat="1" x14ac:dyDescent="0.2"/>
    <row r="939" customFormat="1" x14ac:dyDescent="0.2"/>
    <row r="940" customFormat="1" x14ac:dyDescent="0.2"/>
    <row r="941" customFormat="1" x14ac:dyDescent="0.2"/>
    <row r="942" customFormat="1" x14ac:dyDescent="0.2"/>
    <row r="943" customFormat="1" x14ac:dyDescent="0.2"/>
    <row r="944" customFormat="1" x14ac:dyDescent="0.2"/>
    <row r="945" customFormat="1" x14ac:dyDescent="0.2"/>
    <row r="946" customFormat="1" x14ac:dyDescent="0.2"/>
    <row r="947" customFormat="1" x14ac:dyDescent="0.2"/>
    <row r="948" customFormat="1" x14ac:dyDescent="0.2"/>
    <row r="949" customFormat="1" x14ac:dyDescent="0.2"/>
    <row r="950" customFormat="1" x14ac:dyDescent="0.2"/>
    <row r="951" customFormat="1" x14ac:dyDescent="0.2"/>
    <row r="952" customFormat="1" x14ac:dyDescent="0.2"/>
    <row r="953" customFormat="1" x14ac:dyDescent="0.2"/>
    <row r="954" customFormat="1" x14ac:dyDescent="0.2"/>
    <row r="955" customFormat="1" x14ac:dyDescent="0.2"/>
    <row r="956" customFormat="1" x14ac:dyDescent="0.2"/>
    <row r="957" customFormat="1" x14ac:dyDescent="0.2"/>
    <row r="958" customFormat="1" x14ac:dyDescent="0.2"/>
    <row r="959" customFormat="1" x14ac:dyDescent="0.2"/>
    <row r="960" customFormat="1" x14ac:dyDescent="0.2"/>
    <row r="961" customFormat="1" x14ac:dyDescent="0.2"/>
    <row r="962" customFormat="1" x14ac:dyDescent="0.2"/>
    <row r="963" customFormat="1" x14ac:dyDescent="0.2"/>
    <row r="964" customFormat="1" x14ac:dyDescent="0.2"/>
    <row r="965" customFormat="1" x14ac:dyDescent="0.2"/>
    <row r="966" customFormat="1" x14ac:dyDescent="0.2"/>
    <row r="967" customFormat="1" x14ac:dyDescent="0.2"/>
    <row r="968" customFormat="1" x14ac:dyDescent="0.2"/>
    <row r="969" customFormat="1" x14ac:dyDescent="0.2"/>
    <row r="970" customFormat="1" x14ac:dyDescent="0.2"/>
    <row r="971" customFormat="1" x14ac:dyDescent="0.2"/>
    <row r="972" customFormat="1" x14ac:dyDescent="0.2"/>
    <row r="973" customFormat="1" x14ac:dyDescent="0.2"/>
    <row r="974" customFormat="1" x14ac:dyDescent="0.2"/>
    <row r="975" customFormat="1" x14ac:dyDescent="0.2"/>
    <row r="976" customFormat="1" x14ac:dyDescent="0.2"/>
    <row r="977" customFormat="1" x14ac:dyDescent="0.2"/>
    <row r="978" customFormat="1" x14ac:dyDescent="0.2"/>
    <row r="979" customFormat="1" x14ac:dyDescent="0.2"/>
    <row r="980" customFormat="1" x14ac:dyDescent="0.2"/>
    <row r="981" customFormat="1" x14ac:dyDescent="0.2"/>
    <row r="982" customFormat="1" x14ac:dyDescent="0.2"/>
    <row r="983" customFormat="1" x14ac:dyDescent="0.2"/>
    <row r="984" customFormat="1" x14ac:dyDescent="0.2"/>
    <row r="985" customFormat="1" x14ac:dyDescent="0.2"/>
    <row r="986" customFormat="1" x14ac:dyDescent="0.2"/>
    <row r="987" customFormat="1" x14ac:dyDescent="0.2"/>
    <row r="988" customFormat="1" x14ac:dyDescent="0.2"/>
    <row r="989" customFormat="1" x14ac:dyDescent="0.2"/>
    <row r="990" customFormat="1" x14ac:dyDescent="0.2"/>
    <row r="991" customFormat="1" x14ac:dyDescent="0.2"/>
    <row r="992" customFormat="1" x14ac:dyDescent="0.2"/>
    <row r="993" customFormat="1" x14ac:dyDescent="0.2"/>
    <row r="994" customFormat="1" x14ac:dyDescent="0.2"/>
    <row r="995" customFormat="1" x14ac:dyDescent="0.2"/>
    <row r="996" customFormat="1" x14ac:dyDescent="0.2"/>
    <row r="997" customFormat="1" x14ac:dyDescent="0.2"/>
    <row r="998" customFormat="1" x14ac:dyDescent="0.2"/>
    <row r="999" customFormat="1" x14ac:dyDescent="0.2"/>
    <row r="1000" customFormat="1" x14ac:dyDescent="0.2"/>
    <row r="1001" customFormat="1" x14ac:dyDescent="0.2"/>
    <row r="1002" customFormat="1" x14ac:dyDescent="0.2"/>
    <row r="1003" customFormat="1" x14ac:dyDescent="0.2"/>
    <row r="1004" customFormat="1" x14ac:dyDescent="0.2"/>
    <row r="1005" customFormat="1" x14ac:dyDescent="0.2"/>
    <row r="1006" customFormat="1" x14ac:dyDescent="0.2"/>
    <row r="1007" customFormat="1" x14ac:dyDescent="0.2"/>
    <row r="1008" customFormat="1" x14ac:dyDescent="0.2"/>
    <row r="1009" customFormat="1" x14ac:dyDescent="0.2"/>
    <row r="1010" customFormat="1" x14ac:dyDescent="0.2"/>
    <row r="1011" customFormat="1" x14ac:dyDescent="0.2"/>
    <row r="1012" customFormat="1" x14ac:dyDescent="0.2"/>
    <row r="1013" customFormat="1" x14ac:dyDescent="0.2"/>
    <row r="1014" customFormat="1" x14ac:dyDescent="0.2"/>
    <row r="1015" customFormat="1" x14ac:dyDescent="0.2"/>
    <row r="1016" customFormat="1" x14ac:dyDescent="0.2"/>
    <row r="1017" customFormat="1" x14ac:dyDescent="0.2"/>
    <row r="1018" customFormat="1" x14ac:dyDescent="0.2"/>
    <row r="1019" customFormat="1" x14ac:dyDescent="0.2"/>
    <row r="1020" customFormat="1" x14ac:dyDescent="0.2"/>
    <row r="1021" customFormat="1" x14ac:dyDescent="0.2"/>
    <row r="1022" customFormat="1" x14ac:dyDescent="0.2"/>
    <row r="1023" customFormat="1" x14ac:dyDescent="0.2"/>
    <row r="1024" customFormat="1" x14ac:dyDescent="0.2"/>
    <row r="1025" customFormat="1" x14ac:dyDescent="0.2"/>
    <row r="1026" customFormat="1" x14ac:dyDescent="0.2"/>
    <row r="1027" customFormat="1" x14ac:dyDescent="0.2"/>
    <row r="1028" customFormat="1" x14ac:dyDescent="0.2"/>
    <row r="1029" customFormat="1" x14ac:dyDescent="0.2"/>
    <row r="1030" customFormat="1" x14ac:dyDescent="0.2"/>
    <row r="1031" customFormat="1" x14ac:dyDescent="0.2"/>
    <row r="1032" customFormat="1" x14ac:dyDescent="0.2"/>
    <row r="1033" customFormat="1" x14ac:dyDescent="0.2"/>
    <row r="1034" customFormat="1" x14ac:dyDescent="0.2"/>
    <row r="1035" customFormat="1" x14ac:dyDescent="0.2"/>
    <row r="1036" customFormat="1" x14ac:dyDescent="0.2"/>
    <row r="1037" customFormat="1" x14ac:dyDescent="0.2"/>
    <row r="1038" customFormat="1" x14ac:dyDescent="0.2"/>
    <row r="1039" customFormat="1" x14ac:dyDescent="0.2"/>
    <row r="1040" customFormat="1" x14ac:dyDescent="0.2"/>
    <row r="1041" customFormat="1" x14ac:dyDescent="0.2"/>
    <row r="1042" customFormat="1" x14ac:dyDescent="0.2"/>
    <row r="1043" customFormat="1" x14ac:dyDescent="0.2"/>
    <row r="1044" customFormat="1" x14ac:dyDescent="0.2"/>
    <row r="1045" customFormat="1" x14ac:dyDescent="0.2"/>
    <row r="1046" customFormat="1" x14ac:dyDescent="0.2"/>
    <row r="1047" customFormat="1" x14ac:dyDescent="0.2"/>
    <row r="1048" customFormat="1" x14ac:dyDescent="0.2"/>
    <row r="1049" customFormat="1" x14ac:dyDescent="0.2"/>
    <row r="1050" customFormat="1" x14ac:dyDescent="0.2"/>
    <row r="1051" customFormat="1" x14ac:dyDescent="0.2"/>
    <row r="1052" customFormat="1" x14ac:dyDescent="0.2"/>
    <row r="1053" customFormat="1" x14ac:dyDescent="0.2"/>
    <row r="1054" customFormat="1" x14ac:dyDescent="0.2"/>
    <row r="1055" customFormat="1" x14ac:dyDescent="0.2"/>
    <row r="1056" customFormat="1" x14ac:dyDescent="0.2"/>
    <row r="1057" customFormat="1" x14ac:dyDescent="0.2"/>
    <row r="1058" customFormat="1" x14ac:dyDescent="0.2"/>
    <row r="1059" customFormat="1" x14ac:dyDescent="0.2"/>
    <row r="1060" customFormat="1" x14ac:dyDescent="0.2"/>
    <row r="1061" customFormat="1" x14ac:dyDescent="0.2"/>
    <row r="1062" customFormat="1" x14ac:dyDescent="0.2"/>
    <row r="1063" customFormat="1" x14ac:dyDescent="0.2"/>
    <row r="1064" customFormat="1" x14ac:dyDescent="0.2"/>
    <row r="1065" customFormat="1" x14ac:dyDescent="0.2"/>
    <row r="1066" customFormat="1" x14ac:dyDescent="0.2"/>
    <row r="1067" customFormat="1" x14ac:dyDescent="0.2"/>
    <row r="1068" customFormat="1" x14ac:dyDescent="0.2"/>
    <row r="1069" customFormat="1" x14ac:dyDescent="0.2"/>
    <row r="1070" customFormat="1" x14ac:dyDescent="0.2"/>
    <row r="1071" customFormat="1" x14ac:dyDescent="0.2"/>
    <row r="1072" customFormat="1" x14ac:dyDescent="0.2"/>
    <row r="1073" customFormat="1" x14ac:dyDescent="0.2"/>
    <row r="1074" customFormat="1" x14ac:dyDescent="0.2"/>
    <row r="1075" customFormat="1" x14ac:dyDescent="0.2"/>
    <row r="1076" customFormat="1" x14ac:dyDescent="0.2"/>
    <row r="1077" customFormat="1" x14ac:dyDescent="0.2"/>
    <row r="1078" customFormat="1" x14ac:dyDescent="0.2"/>
    <row r="1079" customFormat="1" x14ac:dyDescent="0.2"/>
    <row r="1080" customFormat="1" x14ac:dyDescent="0.2"/>
    <row r="1081" customFormat="1" x14ac:dyDescent="0.2"/>
    <row r="1082" customFormat="1" x14ac:dyDescent="0.2"/>
    <row r="1083" customFormat="1" x14ac:dyDescent="0.2"/>
    <row r="1084" customFormat="1" x14ac:dyDescent="0.2"/>
    <row r="1085" customFormat="1" x14ac:dyDescent="0.2"/>
    <row r="1086" customFormat="1" x14ac:dyDescent="0.2"/>
    <row r="1087" customFormat="1" x14ac:dyDescent="0.2"/>
    <row r="1088" customFormat="1" x14ac:dyDescent="0.2"/>
    <row r="1089" customFormat="1" x14ac:dyDescent="0.2"/>
    <row r="1090" customFormat="1" x14ac:dyDescent="0.2"/>
    <row r="1091" customFormat="1" x14ac:dyDescent="0.2"/>
    <row r="1092" customFormat="1" x14ac:dyDescent="0.2"/>
    <row r="1093" customFormat="1" x14ac:dyDescent="0.2"/>
    <row r="1094" customFormat="1" x14ac:dyDescent="0.2"/>
    <row r="1095" customFormat="1" x14ac:dyDescent="0.2"/>
    <row r="1096" customFormat="1" x14ac:dyDescent="0.2"/>
    <row r="1097" customFormat="1" x14ac:dyDescent="0.2"/>
    <row r="1098" customFormat="1" x14ac:dyDescent="0.2"/>
    <row r="1099" customFormat="1" x14ac:dyDescent="0.2"/>
    <row r="1100" customFormat="1" x14ac:dyDescent="0.2"/>
    <row r="1101" customFormat="1" x14ac:dyDescent="0.2"/>
    <row r="1102" customFormat="1" x14ac:dyDescent="0.2"/>
    <row r="1103" customFormat="1" x14ac:dyDescent="0.2"/>
    <row r="1104" customFormat="1" x14ac:dyDescent="0.2"/>
    <row r="1105" customFormat="1" x14ac:dyDescent="0.2"/>
    <row r="1106" customFormat="1" x14ac:dyDescent="0.2"/>
    <row r="1107" customFormat="1" x14ac:dyDescent="0.2"/>
    <row r="1108" customFormat="1" x14ac:dyDescent="0.2"/>
    <row r="1109" customFormat="1" x14ac:dyDescent="0.2"/>
    <row r="1110" customFormat="1" x14ac:dyDescent="0.2"/>
    <row r="1111" customFormat="1" x14ac:dyDescent="0.2"/>
    <row r="1112" customFormat="1" x14ac:dyDescent="0.2"/>
    <row r="1113" customFormat="1" x14ac:dyDescent="0.2"/>
    <row r="1114" customFormat="1" x14ac:dyDescent="0.2"/>
    <row r="1115" customFormat="1" x14ac:dyDescent="0.2"/>
    <row r="1116" customFormat="1" x14ac:dyDescent="0.2"/>
    <row r="1117" customFormat="1" x14ac:dyDescent="0.2"/>
    <row r="1118" customFormat="1" x14ac:dyDescent="0.2"/>
    <row r="1119" customFormat="1" x14ac:dyDescent="0.2"/>
    <row r="1120" customFormat="1" x14ac:dyDescent="0.2"/>
    <row r="1121" customFormat="1" x14ac:dyDescent="0.2"/>
    <row r="1122" customFormat="1" x14ac:dyDescent="0.2"/>
    <row r="1123" customFormat="1" x14ac:dyDescent="0.2"/>
    <row r="1124" customFormat="1" x14ac:dyDescent="0.2"/>
    <row r="1125" customFormat="1" x14ac:dyDescent="0.2"/>
    <row r="1126" customFormat="1" x14ac:dyDescent="0.2"/>
    <row r="1127" customFormat="1" x14ac:dyDescent="0.2"/>
    <row r="1128" customFormat="1" x14ac:dyDescent="0.2"/>
    <row r="1129" customFormat="1" x14ac:dyDescent="0.2"/>
    <row r="1130" customFormat="1" x14ac:dyDescent="0.2"/>
    <row r="1131" customFormat="1" x14ac:dyDescent="0.2"/>
    <row r="1132" customFormat="1" x14ac:dyDescent="0.2"/>
    <row r="1133" customFormat="1" x14ac:dyDescent="0.2"/>
    <row r="1134" customFormat="1" x14ac:dyDescent="0.2"/>
    <row r="1135" customFormat="1" x14ac:dyDescent="0.2"/>
    <row r="1136" customFormat="1" x14ac:dyDescent="0.2"/>
    <row r="1137" customFormat="1" x14ac:dyDescent="0.2"/>
    <row r="1138" customFormat="1" x14ac:dyDescent="0.2"/>
    <row r="1139" customFormat="1" x14ac:dyDescent="0.2"/>
    <row r="1140" customFormat="1" x14ac:dyDescent="0.2"/>
    <row r="1141" customFormat="1" x14ac:dyDescent="0.2"/>
    <row r="1142" customFormat="1" x14ac:dyDescent="0.2"/>
    <row r="1143" customFormat="1" x14ac:dyDescent="0.2"/>
    <row r="1144" customFormat="1" x14ac:dyDescent="0.2"/>
    <row r="1145" customFormat="1" x14ac:dyDescent="0.2"/>
    <row r="1146" customFormat="1" x14ac:dyDescent="0.2"/>
    <row r="1147" customFormat="1" x14ac:dyDescent="0.2"/>
    <row r="1148" customFormat="1" x14ac:dyDescent="0.2"/>
    <row r="1149" customFormat="1" x14ac:dyDescent="0.2"/>
    <row r="1150" customFormat="1" x14ac:dyDescent="0.2"/>
    <row r="1151" customFormat="1" x14ac:dyDescent="0.2"/>
    <row r="1152" customFormat="1" x14ac:dyDescent="0.2"/>
    <row r="1153" customFormat="1" x14ac:dyDescent="0.2"/>
    <row r="1154" customFormat="1" x14ac:dyDescent="0.2"/>
    <row r="1155" customFormat="1" x14ac:dyDescent="0.2"/>
    <row r="1156" customFormat="1" x14ac:dyDescent="0.2"/>
    <row r="1157" customFormat="1" x14ac:dyDescent="0.2"/>
    <row r="1158" customFormat="1" x14ac:dyDescent="0.2"/>
    <row r="1159" customFormat="1" x14ac:dyDescent="0.2"/>
    <row r="1160" customFormat="1" x14ac:dyDescent="0.2"/>
    <row r="1161" customFormat="1" x14ac:dyDescent="0.2"/>
    <row r="1162" customFormat="1" x14ac:dyDescent="0.2"/>
    <row r="1163" customFormat="1" x14ac:dyDescent="0.2"/>
    <row r="1164" customFormat="1" x14ac:dyDescent="0.2"/>
    <row r="1165" customFormat="1" x14ac:dyDescent="0.2"/>
    <row r="1166" customFormat="1" x14ac:dyDescent="0.2"/>
    <row r="1167" customFormat="1" x14ac:dyDescent="0.2"/>
    <row r="1168" customFormat="1" x14ac:dyDescent="0.2"/>
    <row r="1169" customFormat="1" x14ac:dyDescent="0.2"/>
    <row r="1170" customFormat="1" x14ac:dyDescent="0.2"/>
    <row r="1171" customFormat="1" x14ac:dyDescent="0.2"/>
    <row r="1172" customFormat="1" x14ac:dyDescent="0.2"/>
    <row r="1173" customFormat="1" x14ac:dyDescent="0.2"/>
    <row r="1174" customFormat="1" x14ac:dyDescent="0.2"/>
    <row r="1175" customFormat="1" x14ac:dyDescent="0.2"/>
    <row r="1176" customFormat="1" x14ac:dyDescent="0.2"/>
    <row r="1177" customFormat="1" x14ac:dyDescent="0.2"/>
    <row r="1178" customFormat="1" x14ac:dyDescent="0.2"/>
    <row r="1179" customFormat="1" x14ac:dyDescent="0.2"/>
    <row r="1180" customFormat="1" x14ac:dyDescent="0.2"/>
    <row r="1181" customFormat="1" x14ac:dyDescent="0.2"/>
    <row r="1182" customFormat="1" x14ac:dyDescent="0.2"/>
    <row r="1183" customFormat="1" x14ac:dyDescent="0.2"/>
    <row r="1184" customFormat="1" x14ac:dyDescent="0.2"/>
    <row r="1185" customFormat="1" x14ac:dyDescent="0.2"/>
    <row r="1186" customFormat="1" x14ac:dyDescent="0.2"/>
    <row r="1187" customFormat="1" x14ac:dyDescent="0.2"/>
    <row r="1188" customFormat="1" x14ac:dyDescent="0.2"/>
    <row r="1189" customFormat="1" x14ac:dyDescent="0.2"/>
    <row r="1190" customFormat="1" x14ac:dyDescent="0.2"/>
    <row r="1191" customFormat="1" x14ac:dyDescent="0.2"/>
    <row r="1192" customFormat="1" x14ac:dyDescent="0.2"/>
    <row r="1193" customFormat="1" x14ac:dyDescent="0.2"/>
    <row r="1194" customFormat="1" x14ac:dyDescent="0.2"/>
    <row r="1195" customFormat="1" x14ac:dyDescent="0.2"/>
    <row r="1196" customFormat="1" x14ac:dyDescent="0.2"/>
    <row r="1197" customFormat="1" x14ac:dyDescent="0.2"/>
    <row r="1198" customFormat="1" x14ac:dyDescent="0.2"/>
    <row r="1199" customFormat="1" x14ac:dyDescent="0.2"/>
    <row r="1200" customFormat="1" x14ac:dyDescent="0.2"/>
    <row r="1201" customFormat="1" x14ac:dyDescent="0.2"/>
    <row r="1202" customFormat="1" x14ac:dyDescent="0.2"/>
    <row r="1203" customFormat="1" x14ac:dyDescent="0.2"/>
    <row r="1204" customFormat="1" x14ac:dyDescent="0.2"/>
    <row r="1205" customFormat="1" x14ac:dyDescent="0.2"/>
    <row r="1206" customFormat="1" x14ac:dyDescent="0.2"/>
    <row r="1207" customFormat="1" x14ac:dyDescent="0.2"/>
    <row r="1208" customFormat="1" x14ac:dyDescent="0.2"/>
    <row r="1209" customFormat="1" x14ac:dyDescent="0.2"/>
    <row r="1210" customFormat="1" x14ac:dyDescent="0.2"/>
    <row r="1211" customFormat="1" x14ac:dyDescent="0.2"/>
    <row r="1212" customFormat="1" x14ac:dyDescent="0.2"/>
    <row r="1213" customFormat="1" x14ac:dyDescent="0.2"/>
    <row r="1214" customFormat="1" x14ac:dyDescent="0.2"/>
    <row r="1215" customFormat="1" x14ac:dyDescent="0.2"/>
    <row r="1216" customFormat="1" x14ac:dyDescent="0.2"/>
    <row r="1217" customFormat="1" x14ac:dyDescent="0.2"/>
    <row r="1218" customFormat="1" x14ac:dyDescent="0.2"/>
    <row r="1219" customFormat="1" x14ac:dyDescent="0.2"/>
    <row r="1220" customFormat="1" x14ac:dyDescent="0.2"/>
    <row r="1221" customFormat="1" x14ac:dyDescent="0.2"/>
    <row r="1222" customFormat="1" x14ac:dyDescent="0.2"/>
    <row r="1223" customFormat="1" x14ac:dyDescent="0.2"/>
    <row r="1224" customFormat="1" x14ac:dyDescent="0.2"/>
    <row r="1225" customFormat="1" x14ac:dyDescent="0.2"/>
    <row r="1226" customFormat="1" x14ac:dyDescent="0.2"/>
    <row r="1227" customFormat="1" x14ac:dyDescent="0.2"/>
    <row r="1228" customFormat="1" x14ac:dyDescent="0.2"/>
    <row r="1229" customFormat="1" x14ac:dyDescent="0.2"/>
    <row r="1230" customFormat="1" x14ac:dyDescent="0.2"/>
    <row r="1231" customFormat="1" x14ac:dyDescent="0.2"/>
    <row r="1232" customFormat="1" x14ac:dyDescent="0.2"/>
    <row r="1233" customFormat="1" x14ac:dyDescent="0.2"/>
    <row r="1234" customFormat="1" x14ac:dyDescent="0.2"/>
    <row r="1235" customFormat="1" x14ac:dyDescent="0.2"/>
    <row r="1236" customFormat="1" x14ac:dyDescent="0.2"/>
    <row r="1237" customFormat="1" x14ac:dyDescent="0.2"/>
    <row r="1238" customFormat="1" x14ac:dyDescent="0.2"/>
    <row r="1239" customFormat="1" x14ac:dyDescent="0.2"/>
    <row r="1240" customFormat="1" x14ac:dyDescent="0.2"/>
    <row r="1241" customFormat="1" x14ac:dyDescent="0.2"/>
    <row r="1242" customFormat="1" x14ac:dyDescent="0.2"/>
    <row r="1243" customFormat="1" x14ac:dyDescent="0.2"/>
    <row r="1244" customFormat="1" x14ac:dyDescent="0.2"/>
    <row r="1245" customFormat="1" x14ac:dyDescent="0.2"/>
    <row r="1246" customFormat="1" x14ac:dyDescent="0.2"/>
    <row r="1247" customFormat="1" x14ac:dyDescent="0.2"/>
    <row r="1248" customFormat="1" x14ac:dyDescent="0.2"/>
    <row r="1249" customFormat="1" x14ac:dyDescent="0.2"/>
    <row r="1250" customFormat="1" x14ac:dyDescent="0.2"/>
    <row r="1251" customFormat="1" x14ac:dyDescent="0.2"/>
    <row r="1252" customFormat="1" x14ac:dyDescent="0.2"/>
    <row r="1253" customFormat="1" x14ac:dyDescent="0.2"/>
    <row r="1254" customFormat="1" x14ac:dyDescent="0.2"/>
    <row r="1255" customFormat="1" x14ac:dyDescent="0.2"/>
    <row r="1256" customFormat="1" x14ac:dyDescent="0.2"/>
    <row r="1257" customFormat="1" x14ac:dyDescent="0.2"/>
    <row r="1258" customFormat="1" x14ac:dyDescent="0.2"/>
    <row r="1259" customFormat="1" x14ac:dyDescent="0.2"/>
    <row r="1260" customFormat="1" x14ac:dyDescent="0.2"/>
    <row r="1261" customFormat="1" x14ac:dyDescent="0.2"/>
    <row r="1262" customFormat="1" x14ac:dyDescent="0.2"/>
    <row r="1263" customFormat="1" x14ac:dyDescent="0.2"/>
    <row r="1264" customFormat="1" x14ac:dyDescent="0.2"/>
    <row r="1265" customFormat="1" x14ac:dyDescent="0.2"/>
    <row r="1266" customFormat="1" x14ac:dyDescent="0.2"/>
    <row r="1267" customFormat="1" x14ac:dyDescent="0.2"/>
    <row r="1268" customFormat="1" x14ac:dyDescent="0.2"/>
    <row r="1269" customFormat="1" x14ac:dyDescent="0.2"/>
    <row r="1270" customFormat="1" x14ac:dyDescent="0.2"/>
    <row r="1271" customFormat="1" x14ac:dyDescent="0.2"/>
    <row r="1272" customFormat="1" x14ac:dyDescent="0.2"/>
    <row r="1273" customFormat="1" x14ac:dyDescent="0.2"/>
    <row r="1274" customFormat="1" x14ac:dyDescent="0.2"/>
    <row r="1275" customFormat="1" x14ac:dyDescent="0.2"/>
    <row r="1276" customFormat="1" x14ac:dyDescent="0.2"/>
    <row r="1277" customFormat="1" x14ac:dyDescent="0.2"/>
    <row r="1278" customFormat="1" x14ac:dyDescent="0.2"/>
    <row r="1279" customFormat="1" x14ac:dyDescent="0.2"/>
    <row r="1280" customFormat="1" x14ac:dyDescent="0.2"/>
    <row r="1281" customFormat="1" x14ac:dyDescent="0.2"/>
    <row r="1282" customFormat="1" x14ac:dyDescent="0.2"/>
    <row r="1283" customFormat="1" x14ac:dyDescent="0.2"/>
    <row r="1284" customFormat="1" x14ac:dyDescent="0.2"/>
    <row r="1285" customFormat="1" x14ac:dyDescent="0.2"/>
    <row r="1286" customFormat="1" x14ac:dyDescent="0.2"/>
    <row r="1287" customFormat="1" x14ac:dyDescent="0.2"/>
    <row r="1288" customFormat="1" x14ac:dyDescent="0.2"/>
    <row r="1289" customFormat="1" x14ac:dyDescent="0.2"/>
    <row r="1290" customFormat="1" x14ac:dyDescent="0.2"/>
    <row r="1291" customFormat="1" x14ac:dyDescent="0.2"/>
    <row r="1292" customFormat="1" x14ac:dyDescent="0.2"/>
    <row r="1293" customFormat="1" x14ac:dyDescent="0.2"/>
    <row r="1294" customFormat="1" x14ac:dyDescent="0.2"/>
    <row r="1295" customFormat="1" x14ac:dyDescent="0.2"/>
    <row r="1296" customFormat="1" x14ac:dyDescent="0.2"/>
    <row r="1297" customFormat="1" x14ac:dyDescent="0.2"/>
    <row r="1298" customFormat="1" x14ac:dyDescent="0.2"/>
    <row r="1299" customFormat="1" x14ac:dyDescent="0.2"/>
    <row r="1300" customFormat="1" x14ac:dyDescent="0.2"/>
    <row r="1301" customFormat="1" x14ac:dyDescent="0.2"/>
    <row r="1302" customFormat="1" x14ac:dyDescent="0.2"/>
    <row r="1303" customFormat="1" x14ac:dyDescent="0.2"/>
    <row r="1304" customFormat="1" x14ac:dyDescent="0.2"/>
    <row r="1305" customFormat="1" x14ac:dyDescent="0.2"/>
    <row r="1306" customFormat="1" x14ac:dyDescent="0.2"/>
    <row r="1307" customFormat="1" x14ac:dyDescent="0.2"/>
    <row r="1308" customFormat="1" x14ac:dyDescent="0.2"/>
    <row r="1309" customFormat="1" x14ac:dyDescent="0.2"/>
    <row r="1310" customFormat="1" x14ac:dyDescent="0.2"/>
    <row r="1311" customFormat="1" x14ac:dyDescent="0.2"/>
    <row r="1312" customFormat="1" x14ac:dyDescent="0.2"/>
    <row r="1313" customFormat="1" x14ac:dyDescent="0.2"/>
    <row r="1314" customFormat="1" x14ac:dyDescent="0.2"/>
    <row r="1315" customFormat="1" x14ac:dyDescent="0.2"/>
    <row r="1316" customFormat="1" x14ac:dyDescent="0.2"/>
    <row r="1317" customFormat="1" x14ac:dyDescent="0.2"/>
    <row r="1318" customFormat="1" x14ac:dyDescent="0.2"/>
    <row r="1319" customFormat="1" x14ac:dyDescent="0.2"/>
    <row r="1320" customFormat="1" x14ac:dyDescent="0.2"/>
    <row r="1321" customFormat="1" x14ac:dyDescent="0.2"/>
    <row r="1322" customFormat="1" x14ac:dyDescent="0.2"/>
    <row r="1323" customFormat="1" x14ac:dyDescent="0.2"/>
    <row r="1324" customFormat="1" x14ac:dyDescent="0.2"/>
    <row r="1325" customFormat="1" x14ac:dyDescent="0.2"/>
    <row r="1326" customFormat="1" x14ac:dyDescent="0.2"/>
    <row r="1327" customFormat="1" x14ac:dyDescent="0.2"/>
    <row r="1328" customFormat="1" x14ac:dyDescent="0.2"/>
    <row r="1329" customFormat="1" x14ac:dyDescent="0.2"/>
    <row r="1330" customFormat="1" x14ac:dyDescent="0.2"/>
    <row r="1331" customFormat="1" x14ac:dyDescent="0.2"/>
    <row r="1332" customFormat="1" x14ac:dyDescent="0.2"/>
    <row r="1333" customFormat="1" x14ac:dyDescent="0.2"/>
    <row r="1334" customFormat="1" x14ac:dyDescent="0.2"/>
    <row r="1335" customFormat="1" x14ac:dyDescent="0.2"/>
    <row r="1336" customFormat="1" x14ac:dyDescent="0.2"/>
    <row r="1337" customFormat="1" x14ac:dyDescent="0.2"/>
    <row r="1338" customFormat="1" x14ac:dyDescent="0.2"/>
    <row r="1339" customFormat="1" x14ac:dyDescent="0.2"/>
    <row r="1340" customFormat="1" x14ac:dyDescent="0.2"/>
    <row r="1341" customFormat="1" x14ac:dyDescent="0.2"/>
    <row r="1342" customFormat="1" x14ac:dyDescent="0.2"/>
    <row r="1343" customFormat="1" x14ac:dyDescent="0.2"/>
    <row r="1344" customFormat="1" x14ac:dyDescent="0.2"/>
    <row r="1345" customFormat="1" x14ac:dyDescent="0.2"/>
    <row r="1346" customFormat="1" x14ac:dyDescent="0.2"/>
    <row r="1347" customFormat="1" x14ac:dyDescent="0.2"/>
    <row r="1348" customFormat="1" x14ac:dyDescent="0.2"/>
    <row r="1349" customFormat="1" x14ac:dyDescent="0.2"/>
    <row r="1350" customFormat="1" x14ac:dyDescent="0.2"/>
    <row r="1351" customFormat="1" x14ac:dyDescent="0.2"/>
    <row r="1352" customFormat="1" x14ac:dyDescent="0.2"/>
    <row r="1353" customFormat="1" x14ac:dyDescent="0.2"/>
    <row r="1354" customFormat="1" x14ac:dyDescent="0.2"/>
    <row r="1355" customFormat="1" x14ac:dyDescent="0.2"/>
    <row r="1356" customFormat="1" x14ac:dyDescent="0.2"/>
    <row r="1357" customFormat="1" x14ac:dyDescent="0.2"/>
    <row r="1358" customFormat="1" x14ac:dyDescent="0.2"/>
    <row r="1359" customFormat="1" x14ac:dyDescent="0.2"/>
    <row r="1360" customFormat="1" x14ac:dyDescent="0.2"/>
    <row r="1361" customFormat="1" x14ac:dyDescent="0.2"/>
    <row r="1362" customFormat="1" x14ac:dyDescent="0.2"/>
    <row r="1363" customFormat="1" x14ac:dyDescent="0.2"/>
    <row r="1364" customFormat="1" x14ac:dyDescent="0.2"/>
    <row r="1365" customFormat="1" x14ac:dyDescent="0.2"/>
    <row r="1366" customFormat="1" x14ac:dyDescent="0.2"/>
    <row r="1367" customFormat="1" x14ac:dyDescent="0.2"/>
    <row r="1368" customFormat="1" x14ac:dyDescent="0.2"/>
    <row r="1369" customFormat="1" x14ac:dyDescent="0.2"/>
    <row r="1370" customFormat="1" x14ac:dyDescent="0.2"/>
    <row r="1371" customFormat="1" x14ac:dyDescent="0.2"/>
    <row r="1372" customFormat="1" x14ac:dyDescent="0.2"/>
    <row r="1373" customFormat="1" x14ac:dyDescent="0.2"/>
    <row r="1374" customFormat="1" x14ac:dyDescent="0.2"/>
    <row r="1375" customFormat="1" x14ac:dyDescent="0.2"/>
    <row r="1376" customFormat="1" x14ac:dyDescent="0.2"/>
    <row r="1377" customFormat="1" x14ac:dyDescent="0.2"/>
    <row r="1378" customFormat="1" x14ac:dyDescent="0.2"/>
    <row r="1379" customFormat="1" x14ac:dyDescent="0.2"/>
    <row r="1380" customFormat="1" x14ac:dyDescent="0.2"/>
    <row r="1381" customFormat="1" x14ac:dyDescent="0.2"/>
    <row r="1382" customFormat="1" x14ac:dyDescent="0.2"/>
    <row r="1383" customFormat="1" x14ac:dyDescent="0.2"/>
    <row r="1384" customFormat="1" x14ac:dyDescent="0.2"/>
    <row r="1385" customFormat="1" x14ac:dyDescent="0.2"/>
    <row r="1386" customFormat="1" x14ac:dyDescent="0.2"/>
    <row r="1387" customFormat="1" x14ac:dyDescent="0.2"/>
    <row r="1388" customFormat="1" x14ac:dyDescent="0.2"/>
    <row r="1389" customFormat="1" x14ac:dyDescent="0.2"/>
    <row r="1390" customFormat="1" x14ac:dyDescent="0.2"/>
    <row r="1391" customFormat="1" x14ac:dyDescent="0.2"/>
    <row r="1392" customFormat="1" x14ac:dyDescent="0.2"/>
    <row r="1393" customFormat="1" x14ac:dyDescent="0.2"/>
    <row r="1394" customFormat="1" x14ac:dyDescent="0.2"/>
    <row r="1395" customFormat="1" x14ac:dyDescent="0.2"/>
    <row r="1396" customFormat="1" x14ac:dyDescent="0.2"/>
    <row r="1397" customFormat="1" x14ac:dyDescent="0.2"/>
    <row r="1398" customFormat="1" x14ac:dyDescent="0.2"/>
    <row r="1399" customFormat="1" x14ac:dyDescent="0.2"/>
    <row r="1400" customFormat="1" x14ac:dyDescent="0.2"/>
    <row r="1401" customFormat="1" x14ac:dyDescent="0.2"/>
    <row r="1402" customFormat="1" x14ac:dyDescent="0.2"/>
    <row r="1403" customFormat="1" x14ac:dyDescent="0.2"/>
    <row r="1404" customFormat="1" x14ac:dyDescent="0.2"/>
    <row r="1405" customFormat="1" x14ac:dyDescent="0.2"/>
    <row r="1406" customFormat="1" x14ac:dyDescent="0.2"/>
    <row r="1407" customFormat="1" x14ac:dyDescent="0.2"/>
    <row r="1408" customFormat="1" x14ac:dyDescent="0.2"/>
    <row r="1409" customFormat="1" x14ac:dyDescent="0.2"/>
    <row r="1410" customFormat="1" x14ac:dyDescent="0.2"/>
    <row r="1411" customFormat="1" x14ac:dyDescent="0.2"/>
    <row r="1412" customFormat="1" x14ac:dyDescent="0.2"/>
    <row r="1413" customFormat="1" x14ac:dyDescent="0.2"/>
    <row r="1414" customFormat="1" x14ac:dyDescent="0.2"/>
    <row r="1415" customFormat="1" x14ac:dyDescent="0.2"/>
    <row r="1416" customFormat="1" x14ac:dyDescent="0.2"/>
    <row r="1417" customFormat="1" x14ac:dyDescent="0.2"/>
    <row r="1418" customFormat="1" x14ac:dyDescent="0.2"/>
    <row r="1419" customFormat="1" x14ac:dyDescent="0.2"/>
    <row r="1420" customFormat="1" x14ac:dyDescent="0.2"/>
    <row r="1421" customFormat="1" x14ac:dyDescent="0.2"/>
    <row r="1422" customFormat="1" x14ac:dyDescent="0.2"/>
    <row r="1423" customFormat="1" x14ac:dyDescent="0.2"/>
    <row r="1424" customFormat="1" x14ac:dyDescent="0.2"/>
    <row r="1425" customFormat="1" x14ac:dyDescent="0.2"/>
    <row r="1426" customFormat="1" x14ac:dyDescent="0.2"/>
    <row r="1427" customFormat="1" x14ac:dyDescent="0.2"/>
    <row r="1428" customFormat="1" x14ac:dyDescent="0.2"/>
    <row r="1429" customFormat="1" x14ac:dyDescent="0.2"/>
    <row r="1430" customFormat="1" x14ac:dyDescent="0.2"/>
    <row r="1431" customFormat="1" x14ac:dyDescent="0.2"/>
    <row r="1432" customFormat="1" x14ac:dyDescent="0.2"/>
    <row r="1433" customFormat="1" x14ac:dyDescent="0.2"/>
    <row r="1434" customFormat="1" x14ac:dyDescent="0.2"/>
    <row r="1435" customFormat="1" x14ac:dyDescent="0.2"/>
    <row r="1436" customFormat="1" x14ac:dyDescent="0.2"/>
    <row r="1437" customFormat="1" x14ac:dyDescent="0.2"/>
    <row r="1438" customFormat="1" x14ac:dyDescent="0.2"/>
    <row r="1439" customFormat="1" x14ac:dyDescent="0.2"/>
    <row r="1440" customFormat="1" x14ac:dyDescent="0.2"/>
    <row r="1441" customFormat="1" x14ac:dyDescent="0.2"/>
    <row r="1442" customFormat="1" x14ac:dyDescent="0.2"/>
    <row r="1443" customFormat="1" x14ac:dyDescent="0.2"/>
    <row r="1444" customFormat="1" x14ac:dyDescent="0.2"/>
    <row r="1445" customFormat="1" x14ac:dyDescent="0.2"/>
    <row r="1446" customFormat="1" x14ac:dyDescent="0.2"/>
    <row r="1447" customFormat="1" x14ac:dyDescent="0.2"/>
    <row r="1448" customFormat="1" x14ac:dyDescent="0.2"/>
    <row r="1449" customFormat="1" x14ac:dyDescent="0.2"/>
    <row r="1450" customFormat="1" x14ac:dyDescent="0.2"/>
    <row r="1451" customFormat="1" x14ac:dyDescent="0.2"/>
    <row r="1452" customFormat="1" x14ac:dyDescent="0.2"/>
    <row r="1453" customFormat="1" x14ac:dyDescent="0.2"/>
    <row r="1454" customFormat="1" x14ac:dyDescent="0.2"/>
    <row r="1455" customFormat="1" x14ac:dyDescent="0.2"/>
    <row r="1456" customFormat="1" x14ac:dyDescent="0.2"/>
    <row r="1457" customFormat="1" x14ac:dyDescent="0.2"/>
    <row r="1458" customFormat="1" x14ac:dyDescent="0.2"/>
    <row r="1459" customFormat="1" x14ac:dyDescent="0.2"/>
    <row r="1460" customFormat="1" x14ac:dyDescent="0.2"/>
    <row r="1461" customFormat="1" x14ac:dyDescent="0.2"/>
    <row r="1462" customFormat="1" x14ac:dyDescent="0.2"/>
    <row r="1463" customFormat="1" x14ac:dyDescent="0.2"/>
    <row r="1464" customFormat="1" x14ac:dyDescent="0.2"/>
    <row r="1465" customFormat="1" x14ac:dyDescent="0.2"/>
    <row r="1466" customFormat="1" x14ac:dyDescent="0.2"/>
    <row r="1467" customFormat="1" x14ac:dyDescent="0.2"/>
    <row r="1468" customFormat="1" x14ac:dyDescent="0.2"/>
    <row r="1469" customFormat="1" x14ac:dyDescent="0.2"/>
    <row r="1470" customFormat="1" x14ac:dyDescent="0.2"/>
    <row r="1471" customFormat="1" x14ac:dyDescent="0.2"/>
    <row r="1472" customFormat="1" x14ac:dyDescent="0.2"/>
    <row r="1473" customFormat="1" x14ac:dyDescent="0.2"/>
    <row r="1474" customFormat="1" x14ac:dyDescent="0.2"/>
    <row r="1475" customFormat="1" x14ac:dyDescent="0.2"/>
    <row r="1476" customFormat="1" x14ac:dyDescent="0.2"/>
    <row r="1477" customFormat="1" x14ac:dyDescent="0.2"/>
    <row r="1478" customFormat="1" x14ac:dyDescent="0.2"/>
    <row r="1479" customFormat="1" x14ac:dyDescent="0.2"/>
    <row r="1480" customFormat="1" x14ac:dyDescent="0.2"/>
    <row r="1481" customFormat="1" x14ac:dyDescent="0.2"/>
    <row r="1482" customFormat="1" x14ac:dyDescent="0.2"/>
    <row r="1483" customFormat="1" x14ac:dyDescent="0.2"/>
    <row r="1484" customFormat="1" x14ac:dyDescent="0.2"/>
    <row r="1485" customFormat="1" x14ac:dyDescent="0.2"/>
    <row r="1486" customFormat="1" x14ac:dyDescent="0.2"/>
    <row r="1487" customFormat="1" x14ac:dyDescent="0.2"/>
    <row r="1488" customFormat="1" x14ac:dyDescent="0.2"/>
    <row r="1489" customFormat="1" x14ac:dyDescent="0.2"/>
    <row r="1490" customFormat="1" x14ac:dyDescent="0.2"/>
    <row r="1491" customFormat="1" x14ac:dyDescent="0.2"/>
    <row r="1492" customFormat="1" x14ac:dyDescent="0.2"/>
    <row r="1493" customFormat="1" x14ac:dyDescent="0.2"/>
    <row r="1494" customFormat="1" x14ac:dyDescent="0.2"/>
    <row r="1495" customFormat="1" x14ac:dyDescent="0.2"/>
    <row r="1496" customFormat="1" x14ac:dyDescent="0.2"/>
    <row r="1497" customFormat="1" x14ac:dyDescent="0.2"/>
    <row r="1498" customFormat="1" x14ac:dyDescent="0.2"/>
    <row r="1499" customFormat="1" x14ac:dyDescent="0.2"/>
    <row r="1500" customFormat="1" x14ac:dyDescent="0.2"/>
    <row r="1501" customFormat="1" x14ac:dyDescent="0.2"/>
    <row r="1502" customFormat="1" x14ac:dyDescent="0.2"/>
    <row r="1503" customFormat="1" x14ac:dyDescent="0.2"/>
    <row r="1504" customFormat="1" x14ac:dyDescent="0.2"/>
    <row r="1505" customFormat="1" x14ac:dyDescent="0.2"/>
    <row r="1506" customFormat="1" x14ac:dyDescent="0.2"/>
    <row r="1507" customFormat="1" x14ac:dyDescent="0.2"/>
    <row r="1508" customFormat="1" x14ac:dyDescent="0.2"/>
    <row r="1509" customFormat="1" x14ac:dyDescent="0.2"/>
    <row r="1510" customFormat="1" x14ac:dyDescent="0.2"/>
    <row r="1511" customFormat="1" x14ac:dyDescent="0.2"/>
    <row r="1512" customFormat="1" x14ac:dyDescent="0.2"/>
    <row r="1513" customFormat="1" x14ac:dyDescent="0.2"/>
    <row r="1514" customFormat="1" x14ac:dyDescent="0.2"/>
    <row r="1515" customFormat="1" x14ac:dyDescent="0.2"/>
    <row r="1516" customFormat="1" x14ac:dyDescent="0.2"/>
    <row r="1517" customFormat="1" x14ac:dyDescent="0.2"/>
    <row r="1518" customFormat="1" x14ac:dyDescent="0.2"/>
    <row r="1519" customFormat="1" x14ac:dyDescent="0.2"/>
    <row r="1520" customFormat="1" x14ac:dyDescent="0.2"/>
    <row r="1521" customFormat="1" x14ac:dyDescent="0.2"/>
    <row r="1522" customFormat="1" x14ac:dyDescent="0.2"/>
    <row r="1523" customFormat="1" x14ac:dyDescent="0.2"/>
    <row r="1524" customFormat="1" x14ac:dyDescent="0.2"/>
    <row r="1525" customFormat="1" x14ac:dyDescent="0.2"/>
    <row r="1526" customFormat="1" x14ac:dyDescent="0.2"/>
    <row r="1527" customFormat="1" x14ac:dyDescent="0.2"/>
    <row r="1528" customFormat="1" x14ac:dyDescent="0.2"/>
    <row r="1529" customFormat="1" x14ac:dyDescent="0.2"/>
    <row r="1530" customFormat="1" x14ac:dyDescent="0.2"/>
    <row r="1531" customFormat="1" x14ac:dyDescent="0.2"/>
    <row r="1532" customFormat="1" x14ac:dyDescent="0.2"/>
    <row r="1533" customFormat="1" x14ac:dyDescent="0.2"/>
    <row r="1534" customFormat="1" x14ac:dyDescent="0.2"/>
    <row r="1535" customFormat="1" x14ac:dyDescent="0.2"/>
    <row r="1536" customFormat="1" x14ac:dyDescent="0.2"/>
    <row r="1537" customFormat="1" x14ac:dyDescent="0.2"/>
    <row r="1538" customFormat="1" x14ac:dyDescent="0.2"/>
    <row r="1539" customFormat="1" x14ac:dyDescent="0.2"/>
    <row r="1540" customFormat="1" x14ac:dyDescent="0.2"/>
    <row r="1541" customFormat="1" x14ac:dyDescent="0.2"/>
    <row r="1542" customFormat="1" x14ac:dyDescent="0.2"/>
    <row r="1543" customFormat="1" x14ac:dyDescent="0.2"/>
    <row r="1544" customFormat="1" x14ac:dyDescent="0.2"/>
    <row r="1545" customFormat="1" x14ac:dyDescent="0.2"/>
    <row r="1546" customFormat="1" x14ac:dyDescent="0.2"/>
    <row r="1547" customFormat="1" x14ac:dyDescent="0.2"/>
    <row r="1548" customFormat="1" x14ac:dyDescent="0.2"/>
    <row r="1549" customFormat="1" x14ac:dyDescent="0.2"/>
    <row r="1550" customFormat="1" x14ac:dyDescent="0.2"/>
    <row r="1551" customFormat="1" x14ac:dyDescent="0.2"/>
    <row r="1552" customFormat="1" x14ac:dyDescent="0.2"/>
    <row r="1553" customFormat="1" x14ac:dyDescent="0.2"/>
    <row r="1554" customFormat="1" x14ac:dyDescent="0.2"/>
    <row r="1555" customFormat="1" x14ac:dyDescent="0.2"/>
    <row r="1556" customFormat="1" x14ac:dyDescent="0.2"/>
    <row r="1557" customFormat="1" x14ac:dyDescent="0.2"/>
    <row r="1558" customFormat="1" x14ac:dyDescent="0.2"/>
    <row r="1559" customFormat="1" x14ac:dyDescent="0.2"/>
    <row r="1560" customFormat="1" x14ac:dyDescent="0.2"/>
    <row r="1561" customFormat="1" x14ac:dyDescent="0.2"/>
    <row r="1562" customFormat="1" x14ac:dyDescent="0.2"/>
    <row r="1563" customFormat="1" x14ac:dyDescent="0.2"/>
    <row r="1564" customFormat="1" x14ac:dyDescent="0.2"/>
    <row r="1565" customFormat="1" x14ac:dyDescent="0.2"/>
    <row r="1566" customFormat="1" x14ac:dyDescent="0.2"/>
    <row r="1567" customFormat="1" x14ac:dyDescent="0.2"/>
    <row r="1568" customFormat="1" x14ac:dyDescent="0.2"/>
    <row r="1569" customFormat="1" x14ac:dyDescent="0.2"/>
    <row r="1570" customFormat="1" x14ac:dyDescent="0.2"/>
    <row r="1571" customFormat="1" x14ac:dyDescent="0.2"/>
    <row r="1572" customFormat="1" x14ac:dyDescent="0.2"/>
    <row r="1573" customFormat="1" x14ac:dyDescent="0.2"/>
    <row r="1574" customFormat="1" x14ac:dyDescent="0.2"/>
    <row r="1575" customFormat="1" x14ac:dyDescent="0.2"/>
    <row r="1576" customFormat="1" x14ac:dyDescent="0.2"/>
    <row r="1577" customFormat="1" x14ac:dyDescent="0.2"/>
    <row r="1578" customFormat="1" x14ac:dyDescent="0.2"/>
    <row r="1579" customFormat="1" x14ac:dyDescent="0.2"/>
    <row r="1580" customFormat="1" x14ac:dyDescent="0.2"/>
    <row r="1581" customFormat="1" x14ac:dyDescent="0.2"/>
    <row r="1582" customFormat="1" x14ac:dyDescent="0.2"/>
    <row r="1583" customFormat="1" x14ac:dyDescent="0.2"/>
    <row r="1584" customFormat="1" x14ac:dyDescent="0.2"/>
    <row r="1585" customFormat="1" x14ac:dyDescent="0.2"/>
    <row r="1586" customFormat="1" x14ac:dyDescent="0.2"/>
    <row r="1587" customFormat="1" x14ac:dyDescent="0.2"/>
    <row r="1588" customFormat="1" x14ac:dyDescent="0.2"/>
    <row r="1589" customFormat="1" x14ac:dyDescent="0.2"/>
    <row r="1590" customFormat="1" x14ac:dyDescent="0.2"/>
    <row r="1591" customFormat="1" x14ac:dyDescent="0.2"/>
    <row r="1592" customFormat="1" x14ac:dyDescent="0.2"/>
    <row r="1593" customFormat="1" x14ac:dyDescent="0.2"/>
    <row r="1594" customFormat="1" x14ac:dyDescent="0.2"/>
    <row r="1595" customFormat="1" x14ac:dyDescent="0.2"/>
    <row r="1596" customFormat="1" x14ac:dyDescent="0.2"/>
    <row r="1597" customFormat="1" x14ac:dyDescent="0.2"/>
    <row r="1598" customFormat="1" x14ac:dyDescent="0.2"/>
    <row r="1599" customFormat="1" x14ac:dyDescent="0.2"/>
    <row r="1600" customFormat="1" x14ac:dyDescent="0.2"/>
    <row r="1601" customFormat="1" x14ac:dyDescent="0.2"/>
    <row r="1602" customFormat="1" x14ac:dyDescent="0.2"/>
    <row r="1603" customFormat="1" x14ac:dyDescent="0.2"/>
    <row r="1604" customFormat="1" x14ac:dyDescent="0.2"/>
    <row r="1605" customFormat="1" x14ac:dyDescent="0.2"/>
    <row r="1606" customFormat="1" x14ac:dyDescent="0.2"/>
    <row r="1607" customFormat="1" x14ac:dyDescent="0.2"/>
    <row r="1608" customFormat="1" x14ac:dyDescent="0.2"/>
    <row r="1609" customFormat="1" x14ac:dyDescent="0.2"/>
    <row r="1610" customFormat="1" x14ac:dyDescent="0.2"/>
    <row r="1611" customFormat="1" x14ac:dyDescent="0.2"/>
    <row r="1612" customFormat="1" x14ac:dyDescent="0.2"/>
    <row r="1613" customFormat="1" x14ac:dyDescent="0.2"/>
    <row r="1614" customFormat="1" x14ac:dyDescent="0.2"/>
    <row r="1615" customFormat="1" x14ac:dyDescent="0.2"/>
    <row r="1616" customFormat="1" x14ac:dyDescent="0.2"/>
    <row r="1617" customFormat="1" x14ac:dyDescent="0.2"/>
    <row r="1618" customFormat="1" x14ac:dyDescent="0.2"/>
    <row r="1619" customFormat="1" x14ac:dyDescent="0.2"/>
    <row r="1620" customFormat="1" x14ac:dyDescent="0.2"/>
    <row r="1621" customFormat="1" x14ac:dyDescent="0.2"/>
    <row r="1622" customFormat="1" x14ac:dyDescent="0.2"/>
    <row r="1623" customFormat="1" x14ac:dyDescent="0.2"/>
    <row r="1624" customFormat="1" x14ac:dyDescent="0.2"/>
    <row r="1625" customFormat="1" x14ac:dyDescent="0.2"/>
    <row r="1626" customFormat="1" x14ac:dyDescent="0.2"/>
    <row r="1627" customFormat="1" x14ac:dyDescent="0.2"/>
    <row r="1628" customFormat="1" x14ac:dyDescent="0.2"/>
    <row r="1629" customFormat="1" x14ac:dyDescent="0.2"/>
    <row r="1630" customFormat="1" x14ac:dyDescent="0.2"/>
    <row r="1631" customFormat="1" x14ac:dyDescent="0.2"/>
    <row r="1632" customFormat="1" x14ac:dyDescent="0.2"/>
    <row r="1633" customFormat="1" x14ac:dyDescent="0.2"/>
    <row r="1634" customFormat="1" x14ac:dyDescent="0.2"/>
    <row r="1635" customFormat="1" x14ac:dyDescent="0.2"/>
    <row r="1636" customFormat="1" x14ac:dyDescent="0.2"/>
    <row r="1637" customFormat="1" x14ac:dyDescent="0.2"/>
    <row r="1638" customFormat="1" x14ac:dyDescent="0.2"/>
    <row r="1639" customFormat="1" x14ac:dyDescent="0.2"/>
    <row r="1640" customFormat="1" x14ac:dyDescent="0.2"/>
    <row r="1641" customFormat="1" x14ac:dyDescent="0.2"/>
    <row r="1642" customFormat="1" x14ac:dyDescent="0.2"/>
    <row r="1643" customFormat="1" x14ac:dyDescent="0.2"/>
    <row r="1644" customFormat="1" x14ac:dyDescent="0.2"/>
    <row r="1645" customFormat="1" x14ac:dyDescent="0.2"/>
    <row r="1646" customFormat="1" x14ac:dyDescent="0.2"/>
    <row r="1647" customFormat="1" x14ac:dyDescent="0.2"/>
    <row r="1648" customFormat="1" x14ac:dyDescent="0.2"/>
    <row r="1649" customFormat="1" x14ac:dyDescent="0.2"/>
    <row r="1650" customFormat="1" x14ac:dyDescent="0.2"/>
    <row r="1651" customFormat="1" x14ac:dyDescent="0.2"/>
    <row r="1652" customFormat="1" x14ac:dyDescent="0.2"/>
    <row r="1653" customFormat="1" x14ac:dyDescent="0.2"/>
    <row r="1654" customFormat="1" x14ac:dyDescent="0.2"/>
    <row r="1655" customFormat="1" x14ac:dyDescent="0.2"/>
    <row r="1656" customFormat="1" x14ac:dyDescent="0.2"/>
    <row r="1657" customFormat="1" x14ac:dyDescent="0.2"/>
    <row r="1658" customFormat="1" x14ac:dyDescent="0.2"/>
    <row r="1659" customFormat="1" x14ac:dyDescent="0.2"/>
    <row r="1660" customFormat="1" x14ac:dyDescent="0.2"/>
    <row r="1661" customFormat="1" x14ac:dyDescent="0.2"/>
    <row r="1662" customFormat="1" x14ac:dyDescent="0.2"/>
    <row r="1663" customFormat="1" x14ac:dyDescent="0.2"/>
    <row r="1664" customFormat="1" x14ac:dyDescent="0.2"/>
    <row r="1665" customFormat="1" x14ac:dyDescent="0.2"/>
    <row r="1666" customFormat="1" x14ac:dyDescent="0.2"/>
    <row r="1667" customFormat="1" x14ac:dyDescent="0.2"/>
    <row r="1668" customFormat="1" x14ac:dyDescent="0.2"/>
    <row r="1669" customFormat="1" x14ac:dyDescent="0.2"/>
    <row r="1670" customFormat="1" x14ac:dyDescent="0.2"/>
    <row r="1671" customFormat="1" x14ac:dyDescent="0.2"/>
    <row r="1672" customFormat="1" x14ac:dyDescent="0.2"/>
    <row r="1673" customFormat="1" x14ac:dyDescent="0.2"/>
    <row r="1674" customFormat="1" x14ac:dyDescent="0.2"/>
    <row r="1675" customFormat="1" x14ac:dyDescent="0.2"/>
    <row r="1676" customFormat="1" x14ac:dyDescent="0.2"/>
    <row r="1677" customFormat="1" x14ac:dyDescent="0.2"/>
    <row r="1678" customFormat="1" x14ac:dyDescent="0.2"/>
    <row r="1679" customFormat="1" x14ac:dyDescent="0.2"/>
    <row r="1680" customFormat="1" x14ac:dyDescent="0.2"/>
    <row r="1681" customFormat="1" x14ac:dyDescent="0.2"/>
    <row r="1682" customFormat="1" x14ac:dyDescent="0.2"/>
    <row r="1683" customFormat="1" x14ac:dyDescent="0.2"/>
    <row r="1684" customFormat="1" x14ac:dyDescent="0.2"/>
    <row r="1685" customFormat="1" x14ac:dyDescent="0.2"/>
    <row r="1686" customFormat="1" x14ac:dyDescent="0.2"/>
    <row r="1687" customFormat="1" x14ac:dyDescent="0.2"/>
    <row r="1688" customFormat="1" x14ac:dyDescent="0.2"/>
    <row r="1689" customFormat="1" x14ac:dyDescent="0.2"/>
    <row r="1690" customFormat="1" x14ac:dyDescent="0.2"/>
    <row r="1691" customFormat="1" x14ac:dyDescent="0.2"/>
    <row r="1692" customFormat="1" x14ac:dyDescent="0.2"/>
    <row r="1693" customFormat="1" x14ac:dyDescent="0.2"/>
    <row r="1694" customFormat="1" x14ac:dyDescent="0.2"/>
    <row r="1695" customFormat="1" x14ac:dyDescent="0.2"/>
    <row r="1696" customFormat="1" x14ac:dyDescent="0.2"/>
    <row r="1697" customFormat="1" x14ac:dyDescent="0.2"/>
    <row r="1698" customFormat="1" x14ac:dyDescent="0.2"/>
    <row r="1699" customFormat="1" x14ac:dyDescent="0.2"/>
    <row r="1700" customFormat="1" x14ac:dyDescent="0.2"/>
    <row r="1701" customFormat="1" x14ac:dyDescent="0.2"/>
    <row r="1702" customFormat="1" x14ac:dyDescent="0.2"/>
    <row r="1703" customFormat="1" x14ac:dyDescent="0.2"/>
    <row r="1704" customFormat="1" x14ac:dyDescent="0.2"/>
    <row r="1705" customFormat="1" x14ac:dyDescent="0.2"/>
    <row r="1706" customFormat="1" x14ac:dyDescent="0.2"/>
    <row r="1707" customFormat="1" x14ac:dyDescent="0.2"/>
    <row r="1708" customFormat="1" x14ac:dyDescent="0.2"/>
    <row r="1709" customFormat="1" x14ac:dyDescent="0.2"/>
    <row r="1710" customFormat="1" x14ac:dyDescent="0.2"/>
    <row r="1711" customFormat="1" x14ac:dyDescent="0.2"/>
    <row r="1712" customFormat="1" x14ac:dyDescent="0.2"/>
    <row r="1713" customFormat="1" x14ac:dyDescent="0.2"/>
    <row r="1714" customFormat="1" x14ac:dyDescent="0.2"/>
    <row r="1715" customFormat="1" x14ac:dyDescent="0.2"/>
    <row r="1716" customFormat="1" x14ac:dyDescent="0.2"/>
    <row r="1717" customFormat="1" x14ac:dyDescent="0.2"/>
    <row r="1718" customFormat="1" x14ac:dyDescent="0.2"/>
    <row r="1719" customFormat="1" x14ac:dyDescent="0.2"/>
    <row r="1720" customFormat="1" x14ac:dyDescent="0.2"/>
    <row r="1721" customFormat="1" x14ac:dyDescent="0.2"/>
    <row r="1722" customFormat="1" x14ac:dyDescent="0.2"/>
    <row r="1723" customFormat="1" x14ac:dyDescent="0.2"/>
    <row r="1724" customFormat="1" x14ac:dyDescent="0.2"/>
    <row r="1725" customFormat="1" x14ac:dyDescent="0.2"/>
    <row r="1726" customFormat="1" x14ac:dyDescent="0.2"/>
    <row r="1727" customFormat="1" x14ac:dyDescent="0.2"/>
    <row r="1728" customFormat="1" x14ac:dyDescent="0.2"/>
    <row r="1729" customFormat="1" x14ac:dyDescent="0.2"/>
    <row r="1730" customFormat="1" x14ac:dyDescent="0.2"/>
    <row r="1731" customFormat="1" x14ac:dyDescent="0.2"/>
    <row r="1732" customFormat="1" x14ac:dyDescent="0.2"/>
    <row r="1733" customFormat="1" x14ac:dyDescent="0.2"/>
    <row r="1734" customFormat="1" x14ac:dyDescent="0.2"/>
    <row r="1735" customFormat="1" x14ac:dyDescent="0.2"/>
    <row r="1736" customFormat="1" x14ac:dyDescent="0.2"/>
    <row r="1737" customFormat="1" x14ac:dyDescent="0.2"/>
    <row r="1738" customFormat="1" x14ac:dyDescent="0.2"/>
    <row r="1739" customFormat="1" x14ac:dyDescent="0.2"/>
    <row r="1740" customFormat="1" x14ac:dyDescent="0.2"/>
    <row r="1741" customFormat="1" x14ac:dyDescent="0.2"/>
    <row r="1742" customFormat="1" x14ac:dyDescent="0.2"/>
    <row r="1743" customFormat="1" x14ac:dyDescent="0.2"/>
    <row r="1744" customFormat="1" x14ac:dyDescent="0.2"/>
    <row r="1745" customFormat="1" x14ac:dyDescent="0.2"/>
    <row r="1746" customFormat="1" x14ac:dyDescent="0.2"/>
    <row r="1747" customFormat="1" x14ac:dyDescent="0.2"/>
    <row r="1748" customFormat="1" x14ac:dyDescent="0.2"/>
    <row r="1749" customFormat="1" x14ac:dyDescent="0.2"/>
    <row r="1750" customFormat="1" x14ac:dyDescent="0.2"/>
    <row r="1751" customFormat="1" x14ac:dyDescent="0.2"/>
    <row r="1752" customFormat="1" x14ac:dyDescent="0.2"/>
    <row r="1753" customFormat="1" x14ac:dyDescent="0.2"/>
    <row r="1754" customFormat="1" x14ac:dyDescent="0.2"/>
    <row r="1755" customFormat="1" x14ac:dyDescent="0.2"/>
    <row r="1756" customFormat="1" x14ac:dyDescent="0.2"/>
    <row r="1757" customFormat="1" x14ac:dyDescent="0.2"/>
    <row r="1758" customFormat="1" x14ac:dyDescent="0.2"/>
    <row r="1759" customFormat="1" x14ac:dyDescent="0.2"/>
    <row r="1760" customFormat="1" x14ac:dyDescent="0.2"/>
    <row r="1761" customFormat="1" x14ac:dyDescent="0.2"/>
    <row r="1762" customFormat="1" x14ac:dyDescent="0.2"/>
    <row r="1763" customFormat="1" x14ac:dyDescent="0.2"/>
    <row r="1764" customFormat="1" x14ac:dyDescent="0.2"/>
    <row r="1765" customFormat="1" x14ac:dyDescent="0.2"/>
    <row r="1766" customFormat="1" x14ac:dyDescent="0.2"/>
    <row r="1767" customFormat="1" x14ac:dyDescent="0.2"/>
    <row r="1768" customFormat="1" x14ac:dyDescent="0.2"/>
    <row r="1769" customFormat="1" x14ac:dyDescent="0.2"/>
    <row r="1770" customFormat="1" x14ac:dyDescent="0.2"/>
    <row r="1771" customFormat="1" x14ac:dyDescent="0.2"/>
    <row r="1772" customFormat="1" x14ac:dyDescent="0.2"/>
    <row r="1773" customFormat="1" x14ac:dyDescent="0.2"/>
    <row r="1774" customFormat="1" x14ac:dyDescent="0.2"/>
    <row r="1775" customFormat="1" x14ac:dyDescent="0.2"/>
    <row r="1776" customFormat="1" x14ac:dyDescent="0.2"/>
    <row r="1777" customFormat="1" x14ac:dyDescent="0.2"/>
    <row r="1778" customFormat="1" x14ac:dyDescent="0.2"/>
    <row r="1779" customFormat="1" x14ac:dyDescent="0.2"/>
    <row r="1780" customFormat="1" x14ac:dyDescent="0.2"/>
    <row r="1781" customFormat="1" x14ac:dyDescent="0.2"/>
    <row r="1782" customFormat="1" x14ac:dyDescent="0.2"/>
    <row r="1783" customFormat="1" x14ac:dyDescent="0.2"/>
    <row r="1784" customFormat="1" x14ac:dyDescent="0.2"/>
    <row r="1785" customFormat="1" x14ac:dyDescent="0.2"/>
    <row r="1786" customFormat="1" x14ac:dyDescent="0.2"/>
    <row r="1787" customFormat="1" x14ac:dyDescent="0.2"/>
    <row r="1788" customFormat="1" x14ac:dyDescent="0.2"/>
    <row r="1789" customFormat="1" x14ac:dyDescent="0.2"/>
    <row r="1790" customFormat="1" x14ac:dyDescent="0.2"/>
    <row r="1791" customFormat="1" x14ac:dyDescent="0.2"/>
    <row r="1792" customFormat="1" x14ac:dyDescent="0.2"/>
    <row r="1793" customFormat="1" x14ac:dyDescent="0.2"/>
    <row r="1794" customFormat="1" x14ac:dyDescent="0.2"/>
    <row r="1795" customFormat="1" x14ac:dyDescent="0.2"/>
    <row r="1796" customFormat="1" x14ac:dyDescent="0.2"/>
    <row r="1797" customFormat="1" x14ac:dyDescent="0.2"/>
    <row r="1798" customFormat="1" x14ac:dyDescent="0.2"/>
    <row r="1799" customFormat="1" x14ac:dyDescent="0.2"/>
    <row r="1800" customFormat="1" x14ac:dyDescent="0.2"/>
    <row r="1801" customFormat="1" x14ac:dyDescent="0.2"/>
    <row r="1802" customFormat="1" x14ac:dyDescent="0.2"/>
    <row r="1803" customFormat="1" x14ac:dyDescent="0.2"/>
    <row r="1804" customFormat="1" x14ac:dyDescent="0.2"/>
    <row r="1805" customFormat="1" x14ac:dyDescent="0.2"/>
    <row r="1806" customFormat="1" x14ac:dyDescent="0.2"/>
    <row r="1807" customFormat="1" x14ac:dyDescent="0.2"/>
    <row r="1808" customFormat="1" x14ac:dyDescent="0.2"/>
    <row r="1809" customFormat="1" x14ac:dyDescent="0.2"/>
    <row r="1810" customFormat="1" x14ac:dyDescent="0.2"/>
    <row r="1811" customFormat="1" x14ac:dyDescent="0.2"/>
    <row r="1812" customFormat="1" x14ac:dyDescent="0.2"/>
    <row r="1813" customFormat="1" x14ac:dyDescent="0.2"/>
    <row r="1814" customFormat="1" x14ac:dyDescent="0.2"/>
    <row r="1815" customFormat="1" x14ac:dyDescent="0.2"/>
    <row r="1816" customFormat="1" x14ac:dyDescent="0.2"/>
    <row r="1817" customFormat="1" x14ac:dyDescent="0.2"/>
    <row r="1818" customFormat="1" x14ac:dyDescent="0.2"/>
    <row r="1819" customFormat="1" x14ac:dyDescent="0.2"/>
    <row r="1820" customFormat="1" x14ac:dyDescent="0.2"/>
    <row r="1821" customFormat="1" x14ac:dyDescent="0.2"/>
    <row r="1822" customFormat="1" x14ac:dyDescent="0.2"/>
    <row r="1823" customFormat="1" x14ac:dyDescent="0.2"/>
    <row r="1824" customFormat="1" x14ac:dyDescent="0.2"/>
    <row r="1825" customFormat="1" x14ac:dyDescent="0.2"/>
    <row r="1826" customFormat="1" x14ac:dyDescent="0.2"/>
    <row r="1827" customFormat="1" x14ac:dyDescent="0.2"/>
    <row r="1828" customFormat="1" x14ac:dyDescent="0.2"/>
    <row r="1829" customFormat="1" x14ac:dyDescent="0.2"/>
    <row r="1830" customFormat="1" x14ac:dyDescent="0.2"/>
    <row r="1831" customFormat="1" x14ac:dyDescent="0.2"/>
    <row r="1832" customFormat="1" x14ac:dyDescent="0.2"/>
    <row r="1833" customFormat="1" x14ac:dyDescent="0.2"/>
    <row r="1834" customFormat="1" x14ac:dyDescent="0.2"/>
    <row r="1835" customFormat="1" x14ac:dyDescent="0.2"/>
    <row r="1836" customFormat="1" x14ac:dyDescent="0.2"/>
    <row r="1837" customFormat="1" x14ac:dyDescent="0.2"/>
    <row r="1838" customFormat="1" x14ac:dyDescent="0.2"/>
    <row r="1839" customFormat="1" x14ac:dyDescent="0.2"/>
    <row r="1840" customFormat="1" x14ac:dyDescent="0.2"/>
    <row r="1841" customFormat="1" x14ac:dyDescent="0.2"/>
    <row r="1842" customFormat="1" x14ac:dyDescent="0.2"/>
    <row r="1843" customFormat="1" x14ac:dyDescent="0.2"/>
    <row r="1844" customFormat="1" x14ac:dyDescent="0.2"/>
    <row r="1845" customFormat="1" x14ac:dyDescent="0.2"/>
    <row r="1846" customFormat="1" x14ac:dyDescent="0.2"/>
    <row r="1847" customFormat="1" x14ac:dyDescent="0.2"/>
    <row r="1848" customFormat="1" x14ac:dyDescent="0.2"/>
    <row r="1849" customFormat="1" x14ac:dyDescent="0.2"/>
    <row r="1850" customFormat="1" x14ac:dyDescent="0.2"/>
    <row r="1851" customFormat="1" x14ac:dyDescent="0.2"/>
    <row r="1852" customFormat="1" x14ac:dyDescent="0.2"/>
    <row r="1853" customFormat="1" x14ac:dyDescent="0.2"/>
    <row r="1854" customFormat="1" x14ac:dyDescent="0.2"/>
    <row r="1855" customFormat="1" x14ac:dyDescent="0.2"/>
    <row r="1856" customFormat="1" x14ac:dyDescent="0.2"/>
    <row r="1857" customFormat="1" x14ac:dyDescent="0.2"/>
    <row r="1858" customFormat="1" x14ac:dyDescent="0.2"/>
    <row r="1859" customFormat="1" x14ac:dyDescent="0.2"/>
    <row r="1860" customFormat="1" x14ac:dyDescent="0.2"/>
    <row r="1861" customFormat="1" x14ac:dyDescent="0.2"/>
    <row r="1862" customFormat="1" x14ac:dyDescent="0.2"/>
    <row r="1863" customFormat="1" x14ac:dyDescent="0.2"/>
    <row r="1864" customFormat="1" x14ac:dyDescent="0.2"/>
    <row r="1865" customFormat="1" x14ac:dyDescent="0.2"/>
    <row r="1866" customFormat="1" x14ac:dyDescent="0.2"/>
    <row r="1867" customFormat="1" x14ac:dyDescent="0.2"/>
    <row r="1868" customFormat="1" x14ac:dyDescent="0.2"/>
    <row r="1869" customFormat="1" x14ac:dyDescent="0.2"/>
    <row r="1870" customFormat="1" x14ac:dyDescent="0.2"/>
    <row r="1871" customFormat="1" x14ac:dyDescent="0.2"/>
    <row r="1872" customFormat="1" x14ac:dyDescent="0.2"/>
    <row r="1873" customFormat="1" x14ac:dyDescent="0.2"/>
    <row r="1874" customFormat="1" x14ac:dyDescent="0.2"/>
    <row r="1875" customFormat="1" x14ac:dyDescent="0.2"/>
    <row r="1876" customFormat="1" x14ac:dyDescent="0.2"/>
    <row r="1877" customFormat="1" x14ac:dyDescent="0.2"/>
    <row r="1878" customFormat="1" x14ac:dyDescent="0.2"/>
    <row r="1879" customFormat="1" x14ac:dyDescent="0.2"/>
    <row r="1880" customFormat="1" x14ac:dyDescent="0.2"/>
    <row r="1881" customFormat="1" x14ac:dyDescent="0.2"/>
    <row r="1882" customFormat="1" x14ac:dyDescent="0.2"/>
    <row r="1883" customFormat="1" x14ac:dyDescent="0.2"/>
    <row r="1884" customFormat="1" x14ac:dyDescent="0.2"/>
    <row r="1885" customFormat="1" x14ac:dyDescent="0.2"/>
    <row r="1886" customFormat="1" x14ac:dyDescent="0.2"/>
    <row r="1887" customFormat="1" x14ac:dyDescent="0.2"/>
    <row r="1888" customFormat="1" x14ac:dyDescent="0.2"/>
    <row r="1889" customFormat="1" x14ac:dyDescent="0.2"/>
    <row r="1890" customFormat="1" x14ac:dyDescent="0.2"/>
    <row r="1891" customFormat="1" x14ac:dyDescent="0.2"/>
    <row r="1892" customFormat="1" x14ac:dyDescent="0.2"/>
    <row r="1893" customFormat="1" x14ac:dyDescent="0.2"/>
    <row r="1894" customFormat="1" x14ac:dyDescent="0.2"/>
    <row r="1895" customFormat="1" x14ac:dyDescent="0.2"/>
    <row r="1896" customFormat="1" x14ac:dyDescent="0.2"/>
    <row r="1897" customFormat="1" x14ac:dyDescent="0.2"/>
    <row r="1898" customFormat="1" x14ac:dyDescent="0.2"/>
    <row r="1899" customFormat="1" x14ac:dyDescent="0.2"/>
    <row r="1900" customFormat="1" x14ac:dyDescent="0.2"/>
    <row r="1901" customFormat="1" x14ac:dyDescent="0.2"/>
    <row r="1902" customFormat="1" x14ac:dyDescent="0.2"/>
    <row r="1903" customFormat="1" x14ac:dyDescent="0.2"/>
    <row r="1904" customFormat="1" x14ac:dyDescent="0.2"/>
    <row r="1905" customFormat="1" x14ac:dyDescent="0.2"/>
    <row r="1906" customFormat="1" x14ac:dyDescent="0.2"/>
    <row r="1907" customFormat="1" x14ac:dyDescent="0.2"/>
    <row r="1908" customFormat="1" x14ac:dyDescent="0.2"/>
    <row r="1909" customFormat="1" x14ac:dyDescent="0.2"/>
    <row r="1910" customFormat="1" x14ac:dyDescent="0.2"/>
    <row r="1911" customFormat="1" x14ac:dyDescent="0.2"/>
    <row r="1912" customFormat="1" x14ac:dyDescent="0.2"/>
    <row r="1913" customFormat="1" x14ac:dyDescent="0.2"/>
    <row r="1914" customFormat="1" x14ac:dyDescent="0.2"/>
    <row r="1915" customFormat="1" x14ac:dyDescent="0.2"/>
    <row r="1916" customFormat="1" x14ac:dyDescent="0.2"/>
    <row r="1917" customFormat="1" x14ac:dyDescent="0.2"/>
    <row r="1918" customFormat="1" x14ac:dyDescent="0.2"/>
    <row r="1919" customFormat="1" x14ac:dyDescent="0.2"/>
    <row r="1920" customFormat="1" x14ac:dyDescent="0.2"/>
    <row r="1921" customFormat="1" x14ac:dyDescent="0.2"/>
    <row r="1922" customFormat="1" x14ac:dyDescent="0.2"/>
    <row r="1923" customFormat="1" x14ac:dyDescent="0.2"/>
    <row r="1924" customFormat="1" x14ac:dyDescent="0.2"/>
    <row r="1925" customFormat="1" x14ac:dyDescent="0.2"/>
    <row r="1926" customFormat="1" x14ac:dyDescent="0.2"/>
    <row r="1927" customFormat="1" x14ac:dyDescent="0.2"/>
    <row r="1928" customFormat="1" x14ac:dyDescent="0.2"/>
    <row r="1929" customFormat="1" x14ac:dyDescent="0.2"/>
    <row r="1930" customFormat="1" x14ac:dyDescent="0.2"/>
    <row r="1931" customFormat="1" x14ac:dyDescent="0.2"/>
    <row r="1932" customFormat="1" x14ac:dyDescent="0.2"/>
    <row r="1933" customFormat="1" x14ac:dyDescent="0.2"/>
    <row r="1934" customFormat="1" x14ac:dyDescent="0.2"/>
    <row r="1935" customFormat="1" x14ac:dyDescent="0.2"/>
    <row r="1936" customFormat="1" x14ac:dyDescent="0.2"/>
    <row r="1937" customFormat="1" x14ac:dyDescent="0.2"/>
    <row r="1938" customFormat="1" x14ac:dyDescent="0.2"/>
    <row r="1939" customFormat="1" x14ac:dyDescent="0.2"/>
    <row r="1940" customFormat="1" x14ac:dyDescent="0.2"/>
    <row r="1941" customFormat="1" x14ac:dyDescent="0.2"/>
    <row r="1942" customFormat="1" x14ac:dyDescent="0.2"/>
    <row r="1943" customFormat="1" x14ac:dyDescent="0.2"/>
    <row r="1944" customFormat="1" x14ac:dyDescent="0.2"/>
    <row r="1945" customFormat="1" x14ac:dyDescent="0.2"/>
    <row r="1946" customFormat="1" x14ac:dyDescent="0.2"/>
    <row r="1947" customFormat="1" x14ac:dyDescent="0.2"/>
    <row r="1948" customFormat="1" x14ac:dyDescent="0.2"/>
    <row r="1949" customFormat="1" x14ac:dyDescent="0.2"/>
    <row r="1950" customFormat="1" x14ac:dyDescent="0.2"/>
    <row r="1951" customFormat="1" x14ac:dyDescent="0.2"/>
    <row r="1952" customFormat="1" x14ac:dyDescent="0.2"/>
    <row r="1953" customFormat="1" x14ac:dyDescent="0.2"/>
    <row r="1954" customFormat="1" x14ac:dyDescent="0.2"/>
    <row r="1955" customFormat="1" x14ac:dyDescent="0.2"/>
    <row r="1956" customFormat="1" x14ac:dyDescent="0.2"/>
    <row r="1957" customFormat="1" x14ac:dyDescent="0.2"/>
    <row r="1958" customFormat="1" x14ac:dyDescent="0.2"/>
    <row r="1959" customFormat="1" x14ac:dyDescent="0.2"/>
    <row r="1960" customFormat="1" x14ac:dyDescent="0.2"/>
    <row r="1961" customFormat="1" x14ac:dyDescent="0.2"/>
    <row r="1962" customFormat="1" x14ac:dyDescent="0.2"/>
    <row r="1963" customFormat="1" x14ac:dyDescent="0.2"/>
    <row r="1964" customFormat="1" x14ac:dyDescent="0.2"/>
    <row r="1965" customFormat="1" x14ac:dyDescent="0.2"/>
    <row r="1966" customFormat="1" x14ac:dyDescent="0.2"/>
    <row r="1967" customFormat="1" x14ac:dyDescent="0.2"/>
    <row r="1968" customFormat="1" x14ac:dyDescent="0.2"/>
    <row r="1969" customFormat="1" x14ac:dyDescent="0.2"/>
    <row r="1970" customFormat="1" x14ac:dyDescent="0.2"/>
    <row r="1971" customFormat="1" x14ac:dyDescent="0.2"/>
    <row r="1972" customFormat="1" x14ac:dyDescent="0.2"/>
    <row r="1973" customFormat="1" x14ac:dyDescent="0.2"/>
    <row r="1974" customFormat="1" x14ac:dyDescent="0.2"/>
    <row r="1975" customFormat="1" x14ac:dyDescent="0.2"/>
    <row r="1976" customFormat="1" x14ac:dyDescent="0.2"/>
    <row r="1977" customFormat="1" x14ac:dyDescent="0.2"/>
    <row r="1978" customFormat="1" x14ac:dyDescent="0.2"/>
    <row r="1979" customFormat="1" x14ac:dyDescent="0.2"/>
    <row r="1980" customFormat="1" x14ac:dyDescent="0.2"/>
    <row r="1981" customFormat="1" x14ac:dyDescent="0.2"/>
    <row r="1982" customFormat="1" x14ac:dyDescent="0.2"/>
    <row r="1983" customFormat="1" x14ac:dyDescent="0.2"/>
    <row r="1984" customFormat="1" x14ac:dyDescent="0.2"/>
    <row r="1985" customFormat="1" x14ac:dyDescent="0.2"/>
    <row r="1986" customFormat="1" x14ac:dyDescent="0.2"/>
    <row r="1987" customFormat="1" x14ac:dyDescent="0.2"/>
    <row r="1988" customFormat="1" x14ac:dyDescent="0.2"/>
    <row r="1989" customFormat="1" x14ac:dyDescent="0.2"/>
    <row r="1990" customFormat="1" x14ac:dyDescent="0.2"/>
    <row r="1991" customFormat="1" x14ac:dyDescent="0.2"/>
    <row r="1992" customFormat="1" x14ac:dyDescent="0.2"/>
    <row r="1993" customFormat="1" x14ac:dyDescent="0.2"/>
    <row r="1994" customFormat="1" x14ac:dyDescent="0.2"/>
    <row r="1995" customFormat="1" x14ac:dyDescent="0.2"/>
    <row r="1996" customFormat="1" x14ac:dyDescent="0.2"/>
    <row r="1997" customFormat="1" x14ac:dyDescent="0.2"/>
    <row r="1998" customFormat="1" x14ac:dyDescent="0.2"/>
    <row r="1999" customFormat="1" x14ac:dyDescent="0.2"/>
    <row r="2000" customFormat="1" x14ac:dyDescent="0.2"/>
    <row r="2001" customFormat="1" x14ac:dyDescent="0.2"/>
    <row r="2002" customFormat="1" x14ac:dyDescent="0.2"/>
    <row r="2003" customFormat="1" x14ac:dyDescent="0.2"/>
    <row r="2004" customFormat="1" x14ac:dyDescent="0.2"/>
    <row r="2005" customFormat="1" x14ac:dyDescent="0.2"/>
    <row r="2006" customFormat="1" x14ac:dyDescent="0.2"/>
    <row r="2007" customFormat="1" x14ac:dyDescent="0.2"/>
    <row r="2008" customFormat="1" x14ac:dyDescent="0.2"/>
    <row r="2009" customFormat="1" x14ac:dyDescent="0.2"/>
    <row r="2010" customFormat="1" x14ac:dyDescent="0.2"/>
    <row r="2011" customFormat="1" x14ac:dyDescent="0.2"/>
    <row r="2012" customFormat="1" x14ac:dyDescent="0.2"/>
    <row r="2013" customFormat="1" x14ac:dyDescent="0.2"/>
    <row r="2014" customFormat="1" x14ac:dyDescent="0.2"/>
    <row r="2015" customFormat="1" x14ac:dyDescent="0.2"/>
    <row r="2016" customFormat="1" x14ac:dyDescent="0.2"/>
    <row r="2017" customFormat="1" x14ac:dyDescent="0.2"/>
    <row r="2018" customFormat="1" x14ac:dyDescent="0.2"/>
    <row r="2019" customFormat="1" x14ac:dyDescent="0.2"/>
    <row r="2020" customFormat="1" x14ac:dyDescent="0.2"/>
    <row r="2021" customFormat="1" x14ac:dyDescent="0.2"/>
    <row r="2022" customFormat="1" x14ac:dyDescent="0.2"/>
    <row r="2023" customFormat="1" x14ac:dyDescent="0.2"/>
    <row r="2024" customFormat="1" x14ac:dyDescent="0.2"/>
    <row r="2025" customFormat="1" x14ac:dyDescent="0.2"/>
    <row r="2026" customFormat="1" x14ac:dyDescent="0.2"/>
    <row r="2027" customFormat="1" x14ac:dyDescent="0.2"/>
    <row r="2028" customFormat="1" x14ac:dyDescent="0.2"/>
    <row r="2029" customFormat="1" x14ac:dyDescent="0.2"/>
    <row r="2030" customFormat="1" x14ac:dyDescent="0.2"/>
    <row r="2031" customFormat="1" x14ac:dyDescent="0.2"/>
    <row r="2032" customFormat="1" x14ac:dyDescent="0.2"/>
    <row r="2033" customFormat="1" x14ac:dyDescent="0.2"/>
    <row r="2034" customFormat="1" x14ac:dyDescent="0.2"/>
    <row r="2035" customFormat="1" x14ac:dyDescent="0.2"/>
    <row r="2036" customFormat="1" x14ac:dyDescent="0.2"/>
    <row r="2037" customFormat="1" x14ac:dyDescent="0.2"/>
    <row r="2038" customFormat="1" x14ac:dyDescent="0.2"/>
    <row r="2039" customFormat="1" x14ac:dyDescent="0.2"/>
    <row r="2040" customFormat="1" x14ac:dyDescent="0.2"/>
    <row r="2041" customFormat="1" x14ac:dyDescent="0.2"/>
    <row r="2042" customFormat="1" x14ac:dyDescent="0.2"/>
    <row r="2043" customFormat="1" x14ac:dyDescent="0.2"/>
    <row r="2044" customFormat="1" x14ac:dyDescent="0.2"/>
    <row r="2045" customFormat="1" x14ac:dyDescent="0.2"/>
    <row r="2046" customFormat="1" x14ac:dyDescent="0.2"/>
    <row r="2047" customFormat="1" x14ac:dyDescent="0.2"/>
    <row r="2048" customFormat="1" x14ac:dyDescent="0.2"/>
    <row r="2049" customFormat="1" x14ac:dyDescent="0.2"/>
    <row r="2050" customFormat="1" x14ac:dyDescent="0.2"/>
    <row r="2051" customFormat="1" x14ac:dyDescent="0.2"/>
    <row r="2052" customFormat="1" x14ac:dyDescent="0.2"/>
    <row r="2053" customFormat="1" x14ac:dyDescent="0.2"/>
    <row r="2054" customFormat="1" x14ac:dyDescent="0.2"/>
    <row r="2055" customFormat="1" x14ac:dyDescent="0.2"/>
    <row r="2056" customFormat="1" x14ac:dyDescent="0.2"/>
    <row r="2057" customFormat="1" x14ac:dyDescent="0.2"/>
    <row r="2058" customFormat="1" x14ac:dyDescent="0.2"/>
    <row r="2059" customFormat="1" x14ac:dyDescent="0.2"/>
    <row r="2060" customFormat="1" x14ac:dyDescent="0.2"/>
    <row r="2061" customFormat="1" x14ac:dyDescent="0.2"/>
    <row r="2062" customFormat="1" x14ac:dyDescent="0.2"/>
    <row r="2063" customFormat="1" x14ac:dyDescent="0.2"/>
    <row r="2064" customFormat="1" x14ac:dyDescent="0.2"/>
    <row r="2065" customFormat="1" x14ac:dyDescent="0.2"/>
    <row r="2066" customFormat="1" x14ac:dyDescent="0.2"/>
    <row r="2067" customFormat="1" x14ac:dyDescent="0.2"/>
    <row r="2068" customFormat="1" x14ac:dyDescent="0.2"/>
    <row r="2069" customFormat="1" x14ac:dyDescent="0.2"/>
    <row r="2070" customFormat="1" x14ac:dyDescent="0.2"/>
    <row r="2071" customFormat="1" x14ac:dyDescent="0.2"/>
    <row r="2072" customFormat="1" x14ac:dyDescent="0.2"/>
    <row r="2073" customFormat="1" x14ac:dyDescent="0.2"/>
    <row r="2074" customFormat="1" x14ac:dyDescent="0.2"/>
    <row r="2075" customFormat="1" x14ac:dyDescent="0.2"/>
    <row r="2076" customFormat="1" x14ac:dyDescent="0.2"/>
    <row r="2077" customFormat="1" x14ac:dyDescent="0.2"/>
    <row r="2078" customFormat="1" x14ac:dyDescent="0.2"/>
    <row r="2079" customFormat="1" x14ac:dyDescent="0.2"/>
    <row r="2080" customFormat="1" x14ac:dyDescent="0.2"/>
    <row r="2081" customFormat="1" x14ac:dyDescent="0.2"/>
    <row r="2082" customFormat="1" x14ac:dyDescent="0.2"/>
    <row r="2083" customFormat="1" x14ac:dyDescent="0.2"/>
    <row r="2084" customFormat="1" x14ac:dyDescent="0.2"/>
    <row r="2085" customFormat="1" x14ac:dyDescent="0.2"/>
    <row r="2086" customFormat="1" x14ac:dyDescent="0.2"/>
    <row r="2087" customFormat="1" x14ac:dyDescent="0.2"/>
    <row r="2088" customFormat="1" x14ac:dyDescent="0.2"/>
    <row r="2089" customFormat="1" x14ac:dyDescent="0.2"/>
    <row r="2090" customFormat="1" x14ac:dyDescent="0.2"/>
    <row r="2091" customFormat="1" x14ac:dyDescent="0.2"/>
    <row r="2092" customFormat="1" x14ac:dyDescent="0.2"/>
    <row r="2093" customFormat="1" x14ac:dyDescent="0.2"/>
    <row r="2094" customFormat="1" x14ac:dyDescent="0.2"/>
    <row r="2095" customFormat="1" x14ac:dyDescent="0.2"/>
    <row r="2096" customFormat="1" x14ac:dyDescent="0.2"/>
    <row r="2097" customFormat="1" x14ac:dyDescent="0.2"/>
    <row r="2098" customFormat="1" x14ac:dyDescent="0.2"/>
    <row r="2099" customFormat="1" x14ac:dyDescent="0.2"/>
    <row r="2100" customFormat="1" x14ac:dyDescent="0.2"/>
    <row r="2101" customFormat="1" x14ac:dyDescent="0.2"/>
    <row r="2102" customFormat="1" x14ac:dyDescent="0.2"/>
    <row r="2103" customFormat="1" x14ac:dyDescent="0.2"/>
    <row r="2104" customFormat="1" x14ac:dyDescent="0.2"/>
    <row r="2105" customFormat="1" x14ac:dyDescent="0.2"/>
    <row r="2106" customFormat="1" x14ac:dyDescent="0.2"/>
    <row r="2107" customFormat="1" x14ac:dyDescent="0.2"/>
    <row r="2108" customFormat="1" x14ac:dyDescent="0.2"/>
    <row r="2109" customFormat="1" x14ac:dyDescent="0.2"/>
    <row r="2110" customFormat="1" x14ac:dyDescent="0.2"/>
    <row r="2111" customFormat="1" x14ac:dyDescent="0.2"/>
    <row r="2112" customFormat="1" x14ac:dyDescent="0.2"/>
    <row r="2113" customFormat="1" x14ac:dyDescent="0.2"/>
    <row r="2114" customFormat="1" x14ac:dyDescent="0.2"/>
    <row r="2115" customFormat="1" x14ac:dyDescent="0.2"/>
    <row r="2116" customFormat="1" x14ac:dyDescent="0.2"/>
    <row r="2117" customFormat="1" x14ac:dyDescent="0.2"/>
    <row r="2118" customFormat="1" x14ac:dyDescent="0.2"/>
    <row r="2119" customFormat="1" x14ac:dyDescent="0.2"/>
    <row r="2120" customFormat="1" x14ac:dyDescent="0.2"/>
    <row r="2121" customFormat="1" x14ac:dyDescent="0.2"/>
    <row r="2122" customFormat="1" x14ac:dyDescent="0.2"/>
    <row r="2123" customFormat="1" x14ac:dyDescent="0.2"/>
    <row r="2124" customFormat="1" x14ac:dyDescent="0.2"/>
    <row r="2125" customFormat="1" x14ac:dyDescent="0.2"/>
    <row r="2126" customFormat="1" x14ac:dyDescent="0.2"/>
    <row r="2127" customFormat="1" x14ac:dyDescent="0.2"/>
    <row r="2128" customFormat="1" x14ac:dyDescent="0.2"/>
    <row r="2129" customFormat="1" x14ac:dyDescent="0.2"/>
    <row r="2130" customFormat="1" x14ac:dyDescent="0.2"/>
    <row r="2131" customFormat="1" x14ac:dyDescent="0.2"/>
    <row r="2132" customFormat="1" x14ac:dyDescent="0.2"/>
    <row r="2133" customFormat="1" x14ac:dyDescent="0.2"/>
    <row r="2134" customFormat="1" x14ac:dyDescent="0.2"/>
    <row r="2135" customFormat="1" x14ac:dyDescent="0.2"/>
    <row r="2136" customFormat="1" x14ac:dyDescent="0.2"/>
    <row r="2137" customFormat="1" x14ac:dyDescent="0.2"/>
    <row r="2138" customFormat="1" x14ac:dyDescent="0.2"/>
    <row r="2139" customFormat="1" x14ac:dyDescent="0.2"/>
    <row r="2140" customFormat="1" x14ac:dyDescent="0.2"/>
    <row r="2141" customFormat="1" x14ac:dyDescent="0.2"/>
    <row r="2142" customFormat="1" x14ac:dyDescent="0.2"/>
    <row r="2143" customFormat="1" x14ac:dyDescent="0.2"/>
    <row r="2144" customFormat="1" x14ac:dyDescent="0.2"/>
    <row r="2145" customFormat="1" x14ac:dyDescent="0.2"/>
    <row r="2146" customFormat="1" x14ac:dyDescent="0.2"/>
    <row r="2147" customFormat="1" x14ac:dyDescent="0.2"/>
    <row r="2148" customFormat="1" x14ac:dyDescent="0.2"/>
    <row r="2149" customFormat="1" x14ac:dyDescent="0.2"/>
    <row r="2150" customFormat="1" x14ac:dyDescent="0.2"/>
    <row r="2151" customFormat="1" x14ac:dyDescent="0.2"/>
    <row r="2152" customFormat="1" x14ac:dyDescent="0.2"/>
    <row r="2153" customFormat="1" x14ac:dyDescent="0.2"/>
    <row r="2154" customFormat="1" x14ac:dyDescent="0.2"/>
    <row r="2155" customFormat="1" x14ac:dyDescent="0.2"/>
    <row r="2156" customFormat="1" x14ac:dyDescent="0.2"/>
    <row r="2157" customFormat="1" x14ac:dyDescent="0.2"/>
    <row r="2158" customFormat="1" x14ac:dyDescent="0.2"/>
    <row r="2159" customFormat="1" x14ac:dyDescent="0.2"/>
    <row r="2160" customFormat="1" x14ac:dyDescent="0.2"/>
    <row r="2161" customFormat="1" x14ac:dyDescent="0.2"/>
    <row r="2162" customFormat="1" x14ac:dyDescent="0.2"/>
    <row r="2163" customFormat="1" x14ac:dyDescent="0.2"/>
    <row r="2164" customFormat="1" x14ac:dyDescent="0.2"/>
    <row r="2165" customFormat="1" x14ac:dyDescent="0.2"/>
    <row r="2166" customFormat="1" x14ac:dyDescent="0.2"/>
    <row r="2167" customFormat="1" x14ac:dyDescent="0.2"/>
    <row r="2168" customFormat="1" x14ac:dyDescent="0.2"/>
    <row r="2169" customFormat="1" x14ac:dyDescent="0.2"/>
    <row r="2170" customFormat="1" x14ac:dyDescent="0.2"/>
    <row r="2171" customFormat="1" x14ac:dyDescent="0.2"/>
    <row r="2172" customFormat="1" x14ac:dyDescent="0.2"/>
    <row r="2173" customFormat="1" x14ac:dyDescent="0.2"/>
    <row r="2174" customFormat="1" x14ac:dyDescent="0.2"/>
    <row r="2175" customFormat="1" x14ac:dyDescent="0.2"/>
    <row r="2176" customFormat="1" x14ac:dyDescent="0.2"/>
    <row r="2177" customFormat="1" x14ac:dyDescent="0.2"/>
    <row r="2178" customFormat="1" x14ac:dyDescent="0.2"/>
    <row r="2179" customFormat="1" x14ac:dyDescent="0.2"/>
    <row r="2180" customFormat="1" x14ac:dyDescent="0.2"/>
    <row r="2181" customFormat="1" x14ac:dyDescent="0.2"/>
    <row r="2182" customFormat="1" x14ac:dyDescent="0.2"/>
    <row r="2183" customFormat="1" x14ac:dyDescent="0.2"/>
    <row r="2184" customFormat="1" x14ac:dyDescent="0.2"/>
    <row r="2185" customFormat="1" x14ac:dyDescent="0.2"/>
    <row r="2186" customFormat="1" x14ac:dyDescent="0.2"/>
    <row r="2187" customFormat="1" x14ac:dyDescent="0.2"/>
    <row r="2188" customFormat="1" x14ac:dyDescent="0.2"/>
    <row r="2189" customFormat="1" x14ac:dyDescent="0.2"/>
    <row r="2190" customFormat="1" x14ac:dyDescent="0.2"/>
    <row r="2191" customFormat="1" x14ac:dyDescent="0.2"/>
    <row r="2192" customFormat="1" x14ac:dyDescent="0.2"/>
    <row r="2193" customFormat="1" x14ac:dyDescent="0.2"/>
    <row r="2194" customFormat="1" x14ac:dyDescent="0.2"/>
    <row r="2195" customFormat="1" x14ac:dyDescent="0.2"/>
    <row r="2196" customFormat="1" x14ac:dyDescent="0.2"/>
    <row r="2197" customFormat="1" x14ac:dyDescent="0.2"/>
    <row r="2198" customFormat="1" x14ac:dyDescent="0.2"/>
    <row r="2199" customFormat="1" x14ac:dyDescent="0.2"/>
    <row r="2200" customFormat="1" x14ac:dyDescent="0.2"/>
    <row r="2201" customFormat="1" x14ac:dyDescent="0.2"/>
    <row r="2202" customFormat="1" x14ac:dyDescent="0.2"/>
    <row r="2203" customFormat="1" x14ac:dyDescent="0.2"/>
    <row r="2204" customFormat="1" x14ac:dyDescent="0.2"/>
    <row r="2205" customFormat="1" x14ac:dyDescent="0.2"/>
    <row r="2206" customFormat="1" x14ac:dyDescent="0.2"/>
    <row r="2207" customFormat="1" x14ac:dyDescent="0.2"/>
    <row r="2208" customFormat="1" x14ac:dyDescent="0.2"/>
    <row r="2209" customFormat="1" x14ac:dyDescent="0.2"/>
    <row r="2210" customFormat="1" x14ac:dyDescent="0.2"/>
    <row r="2211" customFormat="1" x14ac:dyDescent="0.2"/>
    <row r="2212" customFormat="1" x14ac:dyDescent="0.2"/>
    <row r="2213" customFormat="1" x14ac:dyDescent="0.2"/>
    <row r="2214" customFormat="1" x14ac:dyDescent="0.2"/>
    <row r="2215" customFormat="1" x14ac:dyDescent="0.2"/>
    <row r="2216" customFormat="1" x14ac:dyDescent="0.2"/>
    <row r="2217" customFormat="1" x14ac:dyDescent="0.2"/>
    <row r="2218" customFormat="1" x14ac:dyDescent="0.2"/>
    <row r="2219" customFormat="1" x14ac:dyDescent="0.2"/>
    <row r="2220" customFormat="1" x14ac:dyDescent="0.2"/>
    <row r="2221" customFormat="1" x14ac:dyDescent="0.2"/>
    <row r="2222" customFormat="1" x14ac:dyDescent="0.2"/>
    <row r="2223" customFormat="1" x14ac:dyDescent="0.2"/>
    <row r="2224" customFormat="1" x14ac:dyDescent="0.2"/>
    <row r="2225" customFormat="1" x14ac:dyDescent="0.2"/>
    <row r="2226" customFormat="1" x14ac:dyDescent="0.2"/>
    <row r="2227" customFormat="1" x14ac:dyDescent="0.2"/>
    <row r="2228" customFormat="1" x14ac:dyDescent="0.2"/>
    <row r="2229" customFormat="1" x14ac:dyDescent="0.2"/>
    <row r="2230" customFormat="1" x14ac:dyDescent="0.2"/>
    <row r="2231" customFormat="1" x14ac:dyDescent="0.2"/>
    <row r="2232" customFormat="1" x14ac:dyDescent="0.2"/>
    <row r="2233" customFormat="1" x14ac:dyDescent="0.2"/>
    <row r="2234" customFormat="1" x14ac:dyDescent="0.2"/>
    <row r="2235" customFormat="1" x14ac:dyDescent="0.2"/>
    <row r="2236" customFormat="1" x14ac:dyDescent="0.2"/>
    <row r="2237" customFormat="1" x14ac:dyDescent="0.2"/>
    <row r="2238" customFormat="1" x14ac:dyDescent="0.2"/>
    <row r="2239" customFormat="1" x14ac:dyDescent="0.2"/>
    <row r="2240" customFormat="1" x14ac:dyDescent="0.2"/>
    <row r="2241" customFormat="1" x14ac:dyDescent="0.2"/>
    <row r="2242" customFormat="1" x14ac:dyDescent="0.2"/>
    <row r="2243" customFormat="1" x14ac:dyDescent="0.2"/>
    <row r="2244" customFormat="1" x14ac:dyDescent="0.2"/>
    <row r="2245" customFormat="1" x14ac:dyDescent="0.2"/>
    <row r="2246" customFormat="1" x14ac:dyDescent="0.2"/>
    <row r="2247" customFormat="1" x14ac:dyDescent="0.2"/>
    <row r="2248" customFormat="1" x14ac:dyDescent="0.2"/>
    <row r="2249" customFormat="1" x14ac:dyDescent="0.2"/>
    <row r="2250" customFormat="1" x14ac:dyDescent="0.2"/>
    <row r="2251" customFormat="1" x14ac:dyDescent="0.2"/>
    <row r="2252" customFormat="1" x14ac:dyDescent="0.2"/>
    <row r="2253" customFormat="1" x14ac:dyDescent="0.2"/>
    <row r="2254" customFormat="1" x14ac:dyDescent="0.2"/>
    <row r="2255" customFormat="1" x14ac:dyDescent="0.2"/>
    <row r="2256" customFormat="1" x14ac:dyDescent="0.2"/>
    <row r="2257" customFormat="1" x14ac:dyDescent="0.2"/>
    <row r="2258" customFormat="1" x14ac:dyDescent="0.2"/>
    <row r="2259" customFormat="1" x14ac:dyDescent="0.2"/>
    <row r="2260" customFormat="1" x14ac:dyDescent="0.2"/>
    <row r="2261" customFormat="1" x14ac:dyDescent="0.2"/>
    <row r="2262" customFormat="1" x14ac:dyDescent="0.2"/>
    <row r="2263" customFormat="1" x14ac:dyDescent="0.2"/>
    <row r="2264" customFormat="1" x14ac:dyDescent="0.2"/>
    <row r="2265" customFormat="1" x14ac:dyDescent="0.2"/>
    <row r="2266" customFormat="1" x14ac:dyDescent="0.2"/>
    <row r="2267" customFormat="1" x14ac:dyDescent="0.2"/>
    <row r="2268" customFormat="1" x14ac:dyDescent="0.2"/>
    <row r="2269" customFormat="1" x14ac:dyDescent="0.2"/>
    <row r="2270" customFormat="1" x14ac:dyDescent="0.2"/>
    <row r="2271" customFormat="1" x14ac:dyDescent="0.2"/>
    <row r="2272" customFormat="1" x14ac:dyDescent="0.2"/>
    <row r="2273" customFormat="1" x14ac:dyDescent="0.2"/>
    <row r="2274" customFormat="1" x14ac:dyDescent="0.2"/>
    <row r="2275" customFormat="1" x14ac:dyDescent="0.2"/>
    <row r="2276" customFormat="1" x14ac:dyDescent="0.2"/>
    <row r="2277" customFormat="1" x14ac:dyDescent="0.2"/>
    <row r="2278" customFormat="1" x14ac:dyDescent="0.2"/>
    <row r="2279" customFormat="1" x14ac:dyDescent="0.2"/>
    <row r="2280" customFormat="1" x14ac:dyDescent="0.2"/>
    <row r="2281" customFormat="1" x14ac:dyDescent="0.2"/>
    <row r="2282" customFormat="1" x14ac:dyDescent="0.2"/>
    <row r="2283" customFormat="1" x14ac:dyDescent="0.2"/>
    <row r="2284" customFormat="1" x14ac:dyDescent="0.2"/>
    <row r="2285" customFormat="1" x14ac:dyDescent="0.2"/>
    <row r="2286" customFormat="1" x14ac:dyDescent="0.2"/>
    <row r="2287" customFormat="1" x14ac:dyDescent="0.2"/>
    <row r="2288" customFormat="1" x14ac:dyDescent="0.2"/>
    <row r="2289" customFormat="1" x14ac:dyDescent="0.2"/>
    <row r="2290" customFormat="1" x14ac:dyDescent="0.2"/>
    <row r="2291" customFormat="1" x14ac:dyDescent="0.2"/>
    <row r="2292" customFormat="1" x14ac:dyDescent="0.2"/>
    <row r="2293" customFormat="1" x14ac:dyDescent="0.2"/>
    <row r="2294" customFormat="1" x14ac:dyDescent="0.2"/>
    <row r="2295" customFormat="1" x14ac:dyDescent="0.2"/>
    <row r="2296" customFormat="1" x14ac:dyDescent="0.2"/>
    <row r="2297" customFormat="1" x14ac:dyDescent="0.2"/>
    <row r="2298" customFormat="1" x14ac:dyDescent="0.2"/>
    <row r="2299" customFormat="1" x14ac:dyDescent="0.2"/>
    <row r="2300" customFormat="1" x14ac:dyDescent="0.2"/>
    <row r="2301" customFormat="1" x14ac:dyDescent="0.2"/>
    <row r="2302" customFormat="1" x14ac:dyDescent="0.2"/>
    <row r="2303" customFormat="1" x14ac:dyDescent="0.2"/>
    <row r="2304" customFormat="1" x14ac:dyDescent="0.2"/>
    <row r="2305" customFormat="1" x14ac:dyDescent="0.2"/>
    <row r="2306" customFormat="1" x14ac:dyDescent="0.2"/>
    <row r="2307" customFormat="1" x14ac:dyDescent="0.2"/>
    <row r="2308" customFormat="1" x14ac:dyDescent="0.2"/>
    <row r="2309" customFormat="1" x14ac:dyDescent="0.2"/>
    <row r="2310" customFormat="1" x14ac:dyDescent="0.2"/>
    <row r="2311" customFormat="1" x14ac:dyDescent="0.2"/>
    <row r="2312" customFormat="1" x14ac:dyDescent="0.2"/>
    <row r="2313" customFormat="1" x14ac:dyDescent="0.2"/>
    <row r="2314" customFormat="1" x14ac:dyDescent="0.2"/>
    <row r="2315" customFormat="1" x14ac:dyDescent="0.2"/>
    <row r="2316" customFormat="1" x14ac:dyDescent="0.2"/>
    <row r="2317" customFormat="1" x14ac:dyDescent="0.2"/>
    <row r="2318" customFormat="1" x14ac:dyDescent="0.2"/>
    <row r="2319" customFormat="1" x14ac:dyDescent="0.2"/>
    <row r="2320" customFormat="1" x14ac:dyDescent="0.2"/>
    <row r="2321" customFormat="1" x14ac:dyDescent="0.2"/>
    <row r="2322" customFormat="1" x14ac:dyDescent="0.2"/>
    <row r="2323" customFormat="1" x14ac:dyDescent="0.2"/>
    <row r="2324" customFormat="1" x14ac:dyDescent="0.2"/>
    <row r="2325" customFormat="1" x14ac:dyDescent="0.2"/>
    <row r="2326" customFormat="1" x14ac:dyDescent="0.2"/>
    <row r="2327" customFormat="1" x14ac:dyDescent="0.2"/>
    <row r="2328" customFormat="1" x14ac:dyDescent="0.2"/>
    <row r="2329" customFormat="1" x14ac:dyDescent="0.2"/>
    <row r="2330" customFormat="1" x14ac:dyDescent="0.2"/>
    <row r="2331" customFormat="1" x14ac:dyDescent="0.2"/>
    <row r="2332" customFormat="1" x14ac:dyDescent="0.2"/>
    <row r="2333" customFormat="1" x14ac:dyDescent="0.2"/>
    <row r="2334" customFormat="1" x14ac:dyDescent="0.2"/>
    <row r="2335" customFormat="1" x14ac:dyDescent="0.2"/>
    <row r="2336" customFormat="1" x14ac:dyDescent="0.2"/>
    <row r="2337" customFormat="1" x14ac:dyDescent="0.2"/>
    <row r="2338" customFormat="1" x14ac:dyDescent="0.2"/>
    <row r="2339" customFormat="1" x14ac:dyDescent="0.2"/>
    <row r="2340" customFormat="1" x14ac:dyDescent="0.2"/>
    <row r="2341" customFormat="1" x14ac:dyDescent="0.2"/>
    <row r="2342" customFormat="1" x14ac:dyDescent="0.2"/>
    <row r="2343" customFormat="1" x14ac:dyDescent="0.2"/>
    <row r="2344" customFormat="1" x14ac:dyDescent="0.2"/>
    <row r="2345" customFormat="1" x14ac:dyDescent="0.2"/>
    <row r="2346" customFormat="1" x14ac:dyDescent="0.2"/>
    <row r="2347" customFormat="1" x14ac:dyDescent="0.2"/>
    <row r="2348" customFormat="1" x14ac:dyDescent="0.2"/>
    <row r="2349" customFormat="1" x14ac:dyDescent="0.2"/>
    <row r="2350" customFormat="1" x14ac:dyDescent="0.2"/>
    <row r="2351" customFormat="1" x14ac:dyDescent="0.2"/>
    <row r="2352" customFormat="1" x14ac:dyDescent="0.2"/>
    <row r="2353" customFormat="1" x14ac:dyDescent="0.2"/>
    <row r="2354" customFormat="1" x14ac:dyDescent="0.2"/>
    <row r="2355" customFormat="1" x14ac:dyDescent="0.2"/>
    <row r="2356" customFormat="1" x14ac:dyDescent="0.2"/>
    <row r="2357" customFormat="1" x14ac:dyDescent="0.2"/>
    <row r="2358" customFormat="1" x14ac:dyDescent="0.2"/>
    <row r="2359" customFormat="1" x14ac:dyDescent="0.2"/>
    <row r="2360" customFormat="1" x14ac:dyDescent="0.2"/>
    <row r="2361" customFormat="1" x14ac:dyDescent="0.2"/>
    <row r="2362" customFormat="1" x14ac:dyDescent="0.2"/>
    <row r="2363" customFormat="1" x14ac:dyDescent="0.2"/>
    <row r="2364" customFormat="1" x14ac:dyDescent="0.2"/>
    <row r="2365" customFormat="1" x14ac:dyDescent="0.2"/>
    <row r="2366" customFormat="1" x14ac:dyDescent="0.2"/>
    <row r="2367" customFormat="1" x14ac:dyDescent="0.2"/>
    <row r="2368" customFormat="1" x14ac:dyDescent="0.2"/>
    <row r="2369" customFormat="1" x14ac:dyDescent="0.2"/>
    <row r="2370" customFormat="1" x14ac:dyDescent="0.2"/>
    <row r="2371" customFormat="1" x14ac:dyDescent="0.2"/>
    <row r="2372" customFormat="1" x14ac:dyDescent="0.2"/>
    <row r="2373" customFormat="1" x14ac:dyDescent="0.2"/>
    <row r="2374" customFormat="1" x14ac:dyDescent="0.2"/>
    <row r="2375" customFormat="1" x14ac:dyDescent="0.2"/>
    <row r="2376" customFormat="1" x14ac:dyDescent="0.2"/>
    <row r="2377" customFormat="1" x14ac:dyDescent="0.2"/>
    <row r="2378" customFormat="1" x14ac:dyDescent="0.2"/>
    <row r="2379" customFormat="1" x14ac:dyDescent="0.2"/>
    <row r="2380" customFormat="1" x14ac:dyDescent="0.2"/>
    <row r="2381" customFormat="1" x14ac:dyDescent="0.2"/>
    <row r="2382" customFormat="1" x14ac:dyDescent="0.2"/>
    <row r="2383" customFormat="1" x14ac:dyDescent="0.2"/>
    <row r="2384" customFormat="1" x14ac:dyDescent="0.2"/>
    <row r="2385" customFormat="1" x14ac:dyDescent="0.2"/>
    <row r="2386" customFormat="1" x14ac:dyDescent="0.2"/>
    <row r="2387" customFormat="1" x14ac:dyDescent="0.2"/>
    <row r="2388" customFormat="1" x14ac:dyDescent="0.2"/>
    <row r="2389" customFormat="1" x14ac:dyDescent="0.2"/>
    <row r="2390" customFormat="1" x14ac:dyDescent="0.2"/>
    <row r="2391" customFormat="1" x14ac:dyDescent="0.2"/>
    <row r="2392" customFormat="1" x14ac:dyDescent="0.2"/>
    <row r="2393" customFormat="1" x14ac:dyDescent="0.2"/>
    <row r="2394" customFormat="1" x14ac:dyDescent="0.2"/>
    <row r="2395" customFormat="1" x14ac:dyDescent="0.2"/>
    <row r="2396" customFormat="1" x14ac:dyDescent="0.2"/>
    <row r="2397" customFormat="1" x14ac:dyDescent="0.2"/>
    <row r="2398" customFormat="1" x14ac:dyDescent="0.2"/>
    <row r="2399" customFormat="1" x14ac:dyDescent="0.2"/>
    <row r="2400" customFormat="1" x14ac:dyDescent="0.2"/>
    <row r="2401" customFormat="1" x14ac:dyDescent="0.2"/>
    <row r="2402" customFormat="1" x14ac:dyDescent="0.2"/>
    <row r="2403" customFormat="1" x14ac:dyDescent="0.2"/>
    <row r="2404" customFormat="1" x14ac:dyDescent="0.2"/>
    <row r="2405" customFormat="1" x14ac:dyDescent="0.2"/>
    <row r="2406" customFormat="1" x14ac:dyDescent="0.2"/>
    <row r="2407" customFormat="1" x14ac:dyDescent="0.2"/>
    <row r="2408" customFormat="1" x14ac:dyDescent="0.2"/>
    <row r="2409" customFormat="1" x14ac:dyDescent="0.2"/>
    <row r="2410" customFormat="1" x14ac:dyDescent="0.2"/>
    <row r="2411" customFormat="1" x14ac:dyDescent="0.2"/>
    <row r="2412" customFormat="1" x14ac:dyDescent="0.2"/>
    <row r="2413" customFormat="1" x14ac:dyDescent="0.2"/>
    <row r="2414" customFormat="1" x14ac:dyDescent="0.2"/>
    <row r="2415" customFormat="1" x14ac:dyDescent="0.2"/>
    <row r="2416" customFormat="1" x14ac:dyDescent="0.2"/>
    <row r="2417" customFormat="1" x14ac:dyDescent="0.2"/>
    <row r="2418" customFormat="1" x14ac:dyDescent="0.2"/>
    <row r="2419" customFormat="1" x14ac:dyDescent="0.2"/>
    <row r="2420" customFormat="1" x14ac:dyDescent="0.2"/>
    <row r="2421" customFormat="1" x14ac:dyDescent="0.2"/>
    <row r="2422" customFormat="1" x14ac:dyDescent="0.2"/>
    <row r="2423" customFormat="1" x14ac:dyDescent="0.2"/>
    <row r="2424" customFormat="1" x14ac:dyDescent="0.2"/>
    <row r="2425" customFormat="1" x14ac:dyDescent="0.2"/>
    <row r="2426" customFormat="1" x14ac:dyDescent="0.2"/>
    <row r="2427" customFormat="1" x14ac:dyDescent="0.2"/>
    <row r="2428" customFormat="1" x14ac:dyDescent="0.2"/>
    <row r="2429" customFormat="1" x14ac:dyDescent="0.2"/>
    <row r="2430" customFormat="1" x14ac:dyDescent="0.2"/>
    <row r="2431" customFormat="1" x14ac:dyDescent="0.2"/>
    <row r="2432" customFormat="1" x14ac:dyDescent="0.2"/>
    <row r="2433" customFormat="1" x14ac:dyDescent="0.2"/>
    <row r="2434" customFormat="1" x14ac:dyDescent="0.2"/>
    <row r="2435" customFormat="1" x14ac:dyDescent="0.2"/>
    <row r="2436" customFormat="1" x14ac:dyDescent="0.2"/>
    <row r="2437" customFormat="1" x14ac:dyDescent="0.2"/>
    <row r="2438" customFormat="1" x14ac:dyDescent="0.2"/>
    <row r="2439" customFormat="1" x14ac:dyDescent="0.2"/>
    <row r="2440" customFormat="1" x14ac:dyDescent="0.2"/>
    <row r="2441" customFormat="1" x14ac:dyDescent="0.2"/>
    <row r="2442" customFormat="1" x14ac:dyDescent="0.2"/>
    <row r="2443" customFormat="1" x14ac:dyDescent="0.2"/>
    <row r="2444" customFormat="1" x14ac:dyDescent="0.2"/>
    <row r="2445" customFormat="1" x14ac:dyDescent="0.2"/>
    <row r="2446" customFormat="1" x14ac:dyDescent="0.2"/>
    <row r="2447" customFormat="1" x14ac:dyDescent="0.2"/>
    <row r="2448" customFormat="1" x14ac:dyDescent="0.2"/>
    <row r="2449" customFormat="1" x14ac:dyDescent="0.2"/>
    <row r="2450" customFormat="1" x14ac:dyDescent="0.2"/>
    <row r="2451" customFormat="1" x14ac:dyDescent="0.2"/>
    <row r="2452" customFormat="1" x14ac:dyDescent="0.2"/>
    <row r="2453" customFormat="1" x14ac:dyDescent="0.2"/>
    <row r="2454" customFormat="1" x14ac:dyDescent="0.2"/>
    <row r="2455" customFormat="1" x14ac:dyDescent="0.2"/>
    <row r="2456" customFormat="1" x14ac:dyDescent="0.2"/>
    <row r="2457" customFormat="1" x14ac:dyDescent="0.2"/>
    <row r="2458" customFormat="1" x14ac:dyDescent="0.2"/>
    <row r="2459" customFormat="1" x14ac:dyDescent="0.2"/>
    <row r="2460" customFormat="1" x14ac:dyDescent="0.2"/>
    <row r="2461" customFormat="1" x14ac:dyDescent="0.2"/>
    <row r="2462" customFormat="1" x14ac:dyDescent="0.2"/>
    <row r="2463" customFormat="1" x14ac:dyDescent="0.2"/>
    <row r="2464" customFormat="1" x14ac:dyDescent="0.2"/>
    <row r="2465" customFormat="1" x14ac:dyDescent="0.2"/>
    <row r="2466" customFormat="1" x14ac:dyDescent="0.2"/>
    <row r="2467" customFormat="1" x14ac:dyDescent="0.2"/>
    <row r="2468" customFormat="1" x14ac:dyDescent="0.2"/>
    <row r="2469" customFormat="1" x14ac:dyDescent="0.2"/>
    <row r="2470" customFormat="1" x14ac:dyDescent="0.2"/>
    <row r="2471" customFormat="1" x14ac:dyDescent="0.2"/>
    <row r="2472" customFormat="1" x14ac:dyDescent="0.2"/>
    <row r="2473" customFormat="1" x14ac:dyDescent="0.2"/>
    <row r="2474" customFormat="1" x14ac:dyDescent="0.2"/>
    <row r="2475" customFormat="1" x14ac:dyDescent="0.2"/>
    <row r="2476" customFormat="1" x14ac:dyDescent="0.2"/>
    <row r="2477" customFormat="1" x14ac:dyDescent="0.2"/>
    <row r="2478" customFormat="1" x14ac:dyDescent="0.2"/>
    <row r="2479" customFormat="1" x14ac:dyDescent="0.2"/>
    <row r="2480" customFormat="1" x14ac:dyDescent="0.2"/>
    <row r="2481" customFormat="1" x14ac:dyDescent="0.2"/>
    <row r="2482" customFormat="1" x14ac:dyDescent="0.2"/>
    <row r="2483" customFormat="1" x14ac:dyDescent="0.2"/>
    <row r="2484" customFormat="1" x14ac:dyDescent="0.2"/>
    <row r="2485" customFormat="1" x14ac:dyDescent="0.2"/>
    <row r="2486" customFormat="1" x14ac:dyDescent="0.2"/>
    <row r="2487" customFormat="1" x14ac:dyDescent="0.2"/>
    <row r="2488" customFormat="1" x14ac:dyDescent="0.2"/>
    <row r="2489" customFormat="1" x14ac:dyDescent="0.2"/>
    <row r="2490" customFormat="1" x14ac:dyDescent="0.2"/>
    <row r="2491" customFormat="1" x14ac:dyDescent="0.2"/>
    <row r="2492" customFormat="1" x14ac:dyDescent="0.2"/>
    <row r="2493" customFormat="1" x14ac:dyDescent="0.2"/>
    <row r="2494" customFormat="1" x14ac:dyDescent="0.2"/>
    <row r="2495" customFormat="1" x14ac:dyDescent="0.2"/>
    <row r="2496" customFormat="1" x14ac:dyDescent="0.2"/>
    <row r="2497" customFormat="1" x14ac:dyDescent="0.2"/>
    <row r="2498" customFormat="1" x14ac:dyDescent="0.2"/>
    <row r="2499" customFormat="1" x14ac:dyDescent="0.2"/>
    <row r="2500" customFormat="1" x14ac:dyDescent="0.2"/>
    <row r="2501" customFormat="1" x14ac:dyDescent="0.2"/>
    <row r="2502" customFormat="1" x14ac:dyDescent="0.2"/>
    <row r="2503" customFormat="1" x14ac:dyDescent="0.2"/>
    <row r="2504" customFormat="1" x14ac:dyDescent="0.2"/>
    <row r="2505" customFormat="1" x14ac:dyDescent="0.2"/>
    <row r="2506" customFormat="1" x14ac:dyDescent="0.2"/>
    <row r="2507" customFormat="1" x14ac:dyDescent="0.2"/>
    <row r="2508" customFormat="1" x14ac:dyDescent="0.2"/>
    <row r="2509" customFormat="1" x14ac:dyDescent="0.2"/>
    <row r="2510" customFormat="1" x14ac:dyDescent="0.2"/>
    <row r="2511" customFormat="1" x14ac:dyDescent="0.2"/>
    <row r="2512" customFormat="1" x14ac:dyDescent="0.2"/>
    <row r="2513" customFormat="1" x14ac:dyDescent="0.2"/>
    <row r="2514" customFormat="1" x14ac:dyDescent="0.2"/>
    <row r="2515" customFormat="1" x14ac:dyDescent="0.2"/>
    <row r="2516" customFormat="1" x14ac:dyDescent="0.2"/>
    <row r="2517" customFormat="1" x14ac:dyDescent="0.2"/>
    <row r="2518" customFormat="1" x14ac:dyDescent="0.2"/>
    <row r="2519" customFormat="1" x14ac:dyDescent="0.2"/>
    <row r="2520" customFormat="1" x14ac:dyDescent="0.2"/>
    <row r="2521" customFormat="1" x14ac:dyDescent="0.2"/>
    <row r="2522" customFormat="1" x14ac:dyDescent="0.2"/>
    <row r="2523" customFormat="1" x14ac:dyDescent="0.2"/>
    <row r="2524" customFormat="1" x14ac:dyDescent="0.2"/>
    <row r="2525" customFormat="1" x14ac:dyDescent="0.2"/>
    <row r="2526" customFormat="1" x14ac:dyDescent="0.2"/>
    <row r="2527" customFormat="1" x14ac:dyDescent="0.2"/>
    <row r="2528" customFormat="1" x14ac:dyDescent="0.2"/>
    <row r="2529" customFormat="1" x14ac:dyDescent="0.2"/>
    <row r="2530" customFormat="1" x14ac:dyDescent="0.2"/>
    <row r="2531" customFormat="1" x14ac:dyDescent="0.2"/>
    <row r="2532" customFormat="1" x14ac:dyDescent="0.2"/>
    <row r="2533" customFormat="1" x14ac:dyDescent="0.2"/>
    <row r="2534" customFormat="1" x14ac:dyDescent="0.2"/>
    <row r="2535" customFormat="1" x14ac:dyDescent="0.2"/>
    <row r="2536" customFormat="1" x14ac:dyDescent="0.2"/>
    <row r="2537" customFormat="1" x14ac:dyDescent="0.2"/>
    <row r="2538" customFormat="1" x14ac:dyDescent="0.2"/>
    <row r="2539" customFormat="1" x14ac:dyDescent="0.2"/>
    <row r="2540" customFormat="1" x14ac:dyDescent="0.2"/>
    <row r="2541" customFormat="1" x14ac:dyDescent="0.2"/>
    <row r="2542" customFormat="1" x14ac:dyDescent="0.2"/>
    <row r="2543" customFormat="1" x14ac:dyDescent="0.2"/>
    <row r="2544" customFormat="1" x14ac:dyDescent="0.2"/>
    <row r="2545" customFormat="1" x14ac:dyDescent="0.2"/>
    <row r="2546" customFormat="1" x14ac:dyDescent="0.2"/>
    <row r="2547" customFormat="1" x14ac:dyDescent="0.2"/>
    <row r="2548" customFormat="1" x14ac:dyDescent="0.2"/>
    <row r="2549" customFormat="1" x14ac:dyDescent="0.2"/>
    <row r="2550" customFormat="1" x14ac:dyDescent="0.2"/>
    <row r="2551" customFormat="1" x14ac:dyDescent="0.2"/>
    <row r="2552" customFormat="1" x14ac:dyDescent="0.2"/>
    <row r="2553" customFormat="1" x14ac:dyDescent="0.2"/>
    <row r="2554" customFormat="1" x14ac:dyDescent="0.2"/>
    <row r="2555" customFormat="1" x14ac:dyDescent="0.2"/>
    <row r="2556" customFormat="1" x14ac:dyDescent="0.2"/>
    <row r="2557" customFormat="1" x14ac:dyDescent="0.2"/>
    <row r="2558" customFormat="1" x14ac:dyDescent="0.2"/>
    <row r="2559" customFormat="1" x14ac:dyDescent="0.2"/>
    <row r="2560" customFormat="1" x14ac:dyDescent="0.2"/>
    <row r="2561" customFormat="1" x14ac:dyDescent="0.2"/>
    <row r="2562" customFormat="1" x14ac:dyDescent="0.2"/>
    <row r="2563" customFormat="1" x14ac:dyDescent="0.2"/>
    <row r="2564" customFormat="1" x14ac:dyDescent="0.2"/>
    <row r="2565" customFormat="1" x14ac:dyDescent="0.2"/>
    <row r="2566" customFormat="1" x14ac:dyDescent="0.2"/>
    <row r="2567" customFormat="1" x14ac:dyDescent="0.2"/>
    <row r="2568" customFormat="1" x14ac:dyDescent="0.2"/>
    <row r="2569" customFormat="1" x14ac:dyDescent="0.2"/>
    <row r="2570" customFormat="1" x14ac:dyDescent="0.2"/>
    <row r="2571" customFormat="1" x14ac:dyDescent="0.2"/>
    <row r="2572" customFormat="1" x14ac:dyDescent="0.2"/>
    <row r="2573" customFormat="1" x14ac:dyDescent="0.2"/>
    <row r="2574" customFormat="1" x14ac:dyDescent="0.2"/>
    <row r="2575" customFormat="1" x14ac:dyDescent="0.2"/>
    <row r="2576" customFormat="1" x14ac:dyDescent="0.2"/>
    <row r="2577" customFormat="1" x14ac:dyDescent="0.2"/>
    <row r="2578" customFormat="1" x14ac:dyDescent="0.2"/>
    <row r="2579" customFormat="1" x14ac:dyDescent="0.2"/>
    <row r="2580" customFormat="1" x14ac:dyDescent="0.2"/>
    <row r="2581" customFormat="1" x14ac:dyDescent="0.2"/>
    <row r="2582" customFormat="1" x14ac:dyDescent="0.2"/>
    <row r="2583" customFormat="1" x14ac:dyDescent="0.2"/>
    <row r="2584" customFormat="1" x14ac:dyDescent="0.2"/>
    <row r="2585" customFormat="1" x14ac:dyDescent="0.2"/>
    <row r="2586" customFormat="1" x14ac:dyDescent="0.2"/>
    <row r="2587" customFormat="1" x14ac:dyDescent="0.2"/>
    <row r="2588" customFormat="1" x14ac:dyDescent="0.2"/>
    <row r="2589" customFormat="1" x14ac:dyDescent="0.2"/>
    <row r="2590" customFormat="1" x14ac:dyDescent="0.2"/>
    <row r="2591" customFormat="1" x14ac:dyDescent="0.2"/>
    <row r="2592" customFormat="1" x14ac:dyDescent="0.2"/>
    <row r="2593" customFormat="1" x14ac:dyDescent="0.2"/>
    <row r="2594" customFormat="1" x14ac:dyDescent="0.2"/>
    <row r="2595" customFormat="1" x14ac:dyDescent="0.2"/>
    <row r="2596" customFormat="1" x14ac:dyDescent="0.2"/>
    <row r="2597" customFormat="1" x14ac:dyDescent="0.2"/>
    <row r="2598" customFormat="1" x14ac:dyDescent="0.2"/>
    <row r="2599" customFormat="1" x14ac:dyDescent="0.2"/>
    <row r="2600" customFormat="1" x14ac:dyDescent="0.2"/>
    <row r="2601" customFormat="1" x14ac:dyDescent="0.2"/>
    <row r="2602" customFormat="1" x14ac:dyDescent="0.2"/>
    <row r="2603" customFormat="1" x14ac:dyDescent="0.2"/>
    <row r="2604" customFormat="1" x14ac:dyDescent="0.2"/>
    <row r="2605" customFormat="1" x14ac:dyDescent="0.2"/>
    <row r="2606" customFormat="1" x14ac:dyDescent="0.2"/>
    <row r="2607" customFormat="1" x14ac:dyDescent="0.2"/>
    <row r="2608" customFormat="1" x14ac:dyDescent="0.2"/>
    <row r="2609" customFormat="1" x14ac:dyDescent="0.2"/>
    <row r="2610" customFormat="1" x14ac:dyDescent="0.2"/>
    <row r="2611" customFormat="1" x14ac:dyDescent="0.2"/>
    <row r="2612" customFormat="1" x14ac:dyDescent="0.2"/>
    <row r="2613" customFormat="1" x14ac:dyDescent="0.2"/>
    <row r="2614" customFormat="1" x14ac:dyDescent="0.2"/>
    <row r="2615" customFormat="1" x14ac:dyDescent="0.2"/>
    <row r="2616" customFormat="1" x14ac:dyDescent="0.2"/>
    <row r="2617" customFormat="1" x14ac:dyDescent="0.2"/>
    <row r="2618" customFormat="1" x14ac:dyDescent="0.2"/>
    <row r="2619" customFormat="1" x14ac:dyDescent="0.2"/>
    <row r="2620" customFormat="1" x14ac:dyDescent="0.2"/>
    <row r="2621" customFormat="1" x14ac:dyDescent="0.2"/>
    <row r="2622" customFormat="1" x14ac:dyDescent="0.2"/>
    <row r="2623" customFormat="1" x14ac:dyDescent="0.2"/>
    <row r="2624" customFormat="1" x14ac:dyDescent="0.2"/>
    <row r="2625" customFormat="1" x14ac:dyDescent="0.2"/>
    <row r="2626" customFormat="1" x14ac:dyDescent="0.2"/>
    <row r="2627" customFormat="1" x14ac:dyDescent="0.2"/>
    <row r="2628" customFormat="1" x14ac:dyDescent="0.2"/>
    <row r="2629" customFormat="1" x14ac:dyDescent="0.2"/>
    <row r="2630" customFormat="1" x14ac:dyDescent="0.2"/>
    <row r="2631" customFormat="1" x14ac:dyDescent="0.2"/>
    <row r="2632" customFormat="1" x14ac:dyDescent="0.2"/>
    <row r="2633" customFormat="1" x14ac:dyDescent="0.2"/>
    <row r="2634" customFormat="1" x14ac:dyDescent="0.2"/>
    <row r="2635" customFormat="1" x14ac:dyDescent="0.2"/>
    <row r="2636" customFormat="1" x14ac:dyDescent="0.2"/>
    <row r="2637" customFormat="1" x14ac:dyDescent="0.2"/>
    <row r="2638" customFormat="1" x14ac:dyDescent="0.2"/>
    <row r="2639" customFormat="1" x14ac:dyDescent="0.2"/>
    <row r="2640" customFormat="1" x14ac:dyDescent="0.2"/>
    <row r="2641" customFormat="1" x14ac:dyDescent="0.2"/>
    <row r="2642" customFormat="1" x14ac:dyDescent="0.2"/>
    <row r="2643" customFormat="1" x14ac:dyDescent="0.2"/>
    <row r="2644" customFormat="1" x14ac:dyDescent="0.2"/>
    <row r="2645" customFormat="1" x14ac:dyDescent="0.2"/>
    <row r="2646" customFormat="1" x14ac:dyDescent="0.2"/>
    <row r="2647" customFormat="1" x14ac:dyDescent="0.2"/>
    <row r="2648" customFormat="1" x14ac:dyDescent="0.2"/>
    <row r="2649" customFormat="1" x14ac:dyDescent="0.2"/>
    <row r="2650" customFormat="1" x14ac:dyDescent="0.2"/>
    <row r="2651" customFormat="1" x14ac:dyDescent="0.2"/>
    <row r="2652" customFormat="1" x14ac:dyDescent="0.2"/>
    <row r="2653" customFormat="1" x14ac:dyDescent="0.2"/>
    <row r="2654" customFormat="1" x14ac:dyDescent="0.2"/>
    <row r="2655" customFormat="1" x14ac:dyDescent="0.2"/>
    <row r="2656" customFormat="1" x14ac:dyDescent="0.2"/>
    <row r="2657" customFormat="1" x14ac:dyDescent="0.2"/>
    <row r="2658" customFormat="1" x14ac:dyDescent="0.2"/>
    <row r="2659" customFormat="1" x14ac:dyDescent="0.2"/>
    <row r="2660" customFormat="1" x14ac:dyDescent="0.2"/>
    <row r="2661" customFormat="1" x14ac:dyDescent="0.2"/>
    <row r="2662" customFormat="1" x14ac:dyDescent="0.2"/>
    <row r="2663" customFormat="1" x14ac:dyDescent="0.2"/>
    <row r="2664" customFormat="1" x14ac:dyDescent="0.2"/>
    <row r="2665" customFormat="1" x14ac:dyDescent="0.2"/>
    <row r="2666" customFormat="1" x14ac:dyDescent="0.2"/>
    <row r="2667" customFormat="1" x14ac:dyDescent="0.2"/>
    <row r="2668" customFormat="1" x14ac:dyDescent="0.2"/>
    <row r="2669" customFormat="1" x14ac:dyDescent="0.2"/>
    <row r="2670" customFormat="1" x14ac:dyDescent="0.2"/>
    <row r="2671" customFormat="1" x14ac:dyDescent="0.2"/>
    <row r="2672" customFormat="1" x14ac:dyDescent="0.2"/>
    <row r="2673" customFormat="1" x14ac:dyDescent="0.2"/>
    <row r="2674" customFormat="1" x14ac:dyDescent="0.2"/>
    <row r="2675" customFormat="1" x14ac:dyDescent="0.2"/>
    <row r="2676" customFormat="1" x14ac:dyDescent="0.2"/>
    <row r="2677" customFormat="1" x14ac:dyDescent="0.2"/>
    <row r="2678" customFormat="1" x14ac:dyDescent="0.2"/>
    <row r="2679" customFormat="1" x14ac:dyDescent="0.2"/>
    <row r="2680" customFormat="1" x14ac:dyDescent="0.2"/>
    <row r="2681" customFormat="1" x14ac:dyDescent="0.2"/>
    <row r="2682" customFormat="1" x14ac:dyDescent="0.2"/>
    <row r="2683" customFormat="1" x14ac:dyDescent="0.2"/>
    <row r="2684" customFormat="1" x14ac:dyDescent="0.2"/>
    <row r="2685" customFormat="1" x14ac:dyDescent="0.2"/>
    <row r="2686" customFormat="1" x14ac:dyDescent="0.2"/>
    <row r="2687" customFormat="1" x14ac:dyDescent="0.2"/>
    <row r="2688" customFormat="1" x14ac:dyDescent="0.2"/>
    <row r="2689" customFormat="1" x14ac:dyDescent="0.2"/>
    <row r="2690" customFormat="1" x14ac:dyDescent="0.2"/>
    <row r="2691" customFormat="1" x14ac:dyDescent="0.2"/>
    <row r="2692" customFormat="1" x14ac:dyDescent="0.2"/>
    <row r="2693" customFormat="1" x14ac:dyDescent="0.2"/>
    <row r="2694" customFormat="1" x14ac:dyDescent="0.2"/>
    <row r="2695" customFormat="1" x14ac:dyDescent="0.2"/>
    <row r="2696" customFormat="1" x14ac:dyDescent="0.2"/>
    <row r="2697" customFormat="1" x14ac:dyDescent="0.2"/>
    <row r="2698" customFormat="1" x14ac:dyDescent="0.2"/>
    <row r="2699" customFormat="1" x14ac:dyDescent="0.2"/>
    <row r="2700" customFormat="1" x14ac:dyDescent="0.2"/>
    <row r="2701" customFormat="1" x14ac:dyDescent="0.2"/>
    <row r="2702" customFormat="1" x14ac:dyDescent="0.2"/>
    <row r="2703" customFormat="1" x14ac:dyDescent="0.2"/>
    <row r="2704" customFormat="1" x14ac:dyDescent="0.2"/>
    <row r="2705" customFormat="1" x14ac:dyDescent="0.2"/>
    <row r="2706" customFormat="1" x14ac:dyDescent="0.2"/>
    <row r="2707" customFormat="1" x14ac:dyDescent="0.2"/>
    <row r="2708" customFormat="1" x14ac:dyDescent="0.2"/>
    <row r="2709" customFormat="1" x14ac:dyDescent="0.2"/>
    <row r="2710" customFormat="1" x14ac:dyDescent="0.2"/>
    <row r="2711" customFormat="1" x14ac:dyDescent="0.2"/>
    <row r="2712" customFormat="1" x14ac:dyDescent="0.2"/>
    <row r="2713" customFormat="1" x14ac:dyDescent="0.2"/>
    <row r="2714" customFormat="1" x14ac:dyDescent="0.2"/>
    <row r="2715" customFormat="1" x14ac:dyDescent="0.2"/>
    <row r="2716" customFormat="1" x14ac:dyDescent="0.2"/>
    <row r="2717" customFormat="1" x14ac:dyDescent="0.2"/>
    <row r="2718" customFormat="1" x14ac:dyDescent="0.2"/>
    <row r="2719" customFormat="1" x14ac:dyDescent="0.2"/>
    <row r="2720" customFormat="1" x14ac:dyDescent="0.2"/>
    <row r="2721" customFormat="1" x14ac:dyDescent="0.2"/>
    <row r="2722" customFormat="1" x14ac:dyDescent="0.2"/>
    <row r="2723" customFormat="1" x14ac:dyDescent="0.2"/>
    <row r="2724" customFormat="1" x14ac:dyDescent="0.2"/>
    <row r="2725" customFormat="1" x14ac:dyDescent="0.2"/>
    <row r="2726" customFormat="1" x14ac:dyDescent="0.2"/>
    <row r="2727" customFormat="1" x14ac:dyDescent="0.2"/>
    <row r="2728" customFormat="1" x14ac:dyDescent="0.2"/>
    <row r="2729" customFormat="1" x14ac:dyDescent="0.2"/>
    <row r="2730" customFormat="1" x14ac:dyDescent="0.2"/>
    <row r="2731" customFormat="1" x14ac:dyDescent="0.2"/>
    <row r="2732" customFormat="1" x14ac:dyDescent="0.2"/>
    <row r="2733" customFormat="1" x14ac:dyDescent="0.2"/>
    <row r="2734" customFormat="1" x14ac:dyDescent="0.2"/>
    <row r="2735" customFormat="1" x14ac:dyDescent="0.2"/>
    <row r="2736" customFormat="1" x14ac:dyDescent="0.2"/>
    <row r="2737" customFormat="1" x14ac:dyDescent="0.2"/>
    <row r="2738" customFormat="1" x14ac:dyDescent="0.2"/>
    <row r="2739" customFormat="1" x14ac:dyDescent="0.2"/>
    <row r="2740" customFormat="1" x14ac:dyDescent="0.2"/>
    <row r="2741" customFormat="1" x14ac:dyDescent="0.2"/>
    <row r="2742" customFormat="1" x14ac:dyDescent="0.2"/>
    <row r="2743" customFormat="1" x14ac:dyDescent="0.2"/>
    <row r="2744" customFormat="1" x14ac:dyDescent="0.2"/>
    <row r="2745" customFormat="1" x14ac:dyDescent="0.2"/>
    <row r="2746" customFormat="1" x14ac:dyDescent="0.2"/>
    <row r="2747" customFormat="1" x14ac:dyDescent="0.2"/>
    <row r="2748" customFormat="1" x14ac:dyDescent="0.2"/>
    <row r="2749" customFormat="1" x14ac:dyDescent="0.2"/>
    <row r="2750" customFormat="1" x14ac:dyDescent="0.2"/>
    <row r="2751" customFormat="1" x14ac:dyDescent="0.2"/>
    <row r="2752" customFormat="1" x14ac:dyDescent="0.2"/>
    <row r="2753" customFormat="1" x14ac:dyDescent="0.2"/>
    <row r="2754" customFormat="1" x14ac:dyDescent="0.2"/>
    <row r="2755" customFormat="1" x14ac:dyDescent="0.2"/>
    <row r="2756" customFormat="1" x14ac:dyDescent="0.2"/>
    <row r="2757" customFormat="1" x14ac:dyDescent="0.2"/>
    <row r="2758" customFormat="1" x14ac:dyDescent="0.2"/>
    <row r="2759" customFormat="1" x14ac:dyDescent="0.2"/>
    <row r="2760" customFormat="1" x14ac:dyDescent="0.2"/>
    <row r="2761" customFormat="1" x14ac:dyDescent="0.2"/>
    <row r="2762" customFormat="1" x14ac:dyDescent="0.2"/>
    <row r="2763" customFormat="1" x14ac:dyDescent="0.2"/>
    <row r="2764" customFormat="1" x14ac:dyDescent="0.2"/>
    <row r="2765" customFormat="1" x14ac:dyDescent="0.2"/>
    <row r="2766" customFormat="1" x14ac:dyDescent="0.2"/>
    <row r="2767" customFormat="1" x14ac:dyDescent="0.2"/>
    <row r="2768" customFormat="1" x14ac:dyDescent="0.2"/>
    <row r="2769" customFormat="1" x14ac:dyDescent="0.2"/>
    <row r="2770" customFormat="1" x14ac:dyDescent="0.2"/>
    <row r="2771" customFormat="1" x14ac:dyDescent="0.2"/>
    <row r="2772" customFormat="1" x14ac:dyDescent="0.2"/>
    <row r="2773" customFormat="1" x14ac:dyDescent="0.2"/>
    <row r="2774" customFormat="1" x14ac:dyDescent="0.2"/>
    <row r="2775" customFormat="1" x14ac:dyDescent="0.2"/>
    <row r="2776" customFormat="1" x14ac:dyDescent="0.2"/>
    <row r="2777" customFormat="1" x14ac:dyDescent="0.2"/>
    <row r="2778" customFormat="1" x14ac:dyDescent="0.2"/>
    <row r="2779" customFormat="1" x14ac:dyDescent="0.2"/>
    <row r="2780" customFormat="1" x14ac:dyDescent="0.2"/>
    <row r="2781" customFormat="1" x14ac:dyDescent="0.2"/>
    <row r="2782" customFormat="1" x14ac:dyDescent="0.2"/>
    <row r="2783" customFormat="1" x14ac:dyDescent="0.2"/>
    <row r="2784" customFormat="1" x14ac:dyDescent="0.2"/>
    <row r="2785" customFormat="1" x14ac:dyDescent="0.2"/>
    <row r="2786" customFormat="1" x14ac:dyDescent="0.2"/>
    <row r="2787" customFormat="1" x14ac:dyDescent="0.2"/>
    <row r="2788" customFormat="1" x14ac:dyDescent="0.2"/>
    <row r="2789" customFormat="1" x14ac:dyDescent="0.2"/>
    <row r="2790" customFormat="1" x14ac:dyDescent="0.2"/>
    <row r="2791" customFormat="1" x14ac:dyDescent="0.2"/>
    <row r="2792" customFormat="1" x14ac:dyDescent="0.2"/>
    <row r="2793" customFormat="1" x14ac:dyDescent="0.2"/>
    <row r="2794" customFormat="1" x14ac:dyDescent="0.2"/>
    <row r="2795" customFormat="1" x14ac:dyDescent="0.2"/>
    <row r="2796" customFormat="1" x14ac:dyDescent="0.2"/>
    <row r="2797" customFormat="1" x14ac:dyDescent="0.2"/>
    <row r="2798" customFormat="1" x14ac:dyDescent="0.2"/>
    <row r="2799" customFormat="1" x14ac:dyDescent="0.2"/>
    <row r="2800" customFormat="1" x14ac:dyDescent="0.2"/>
    <row r="2801" customFormat="1" x14ac:dyDescent="0.2"/>
    <row r="2802" customFormat="1" x14ac:dyDescent="0.2"/>
    <row r="2803" customFormat="1" x14ac:dyDescent="0.2"/>
    <row r="2804" customFormat="1" x14ac:dyDescent="0.2"/>
    <row r="2805" customFormat="1" x14ac:dyDescent="0.2"/>
    <row r="2806" customFormat="1" x14ac:dyDescent="0.2"/>
    <row r="2807" customFormat="1" x14ac:dyDescent="0.2"/>
    <row r="2808" customFormat="1" x14ac:dyDescent="0.2"/>
    <row r="2809" customFormat="1" x14ac:dyDescent="0.2"/>
    <row r="2810" customFormat="1" x14ac:dyDescent="0.2"/>
    <row r="2811" customFormat="1" x14ac:dyDescent="0.2"/>
    <row r="2812" customFormat="1" x14ac:dyDescent="0.2"/>
    <row r="2813" customFormat="1" x14ac:dyDescent="0.2"/>
    <row r="2814" customFormat="1" x14ac:dyDescent="0.2"/>
    <row r="2815" customFormat="1" x14ac:dyDescent="0.2"/>
    <row r="2816" customFormat="1" x14ac:dyDescent="0.2"/>
    <row r="2817" customFormat="1" x14ac:dyDescent="0.2"/>
    <row r="2818" customFormat="1" x14ac:dyDescent="0.2"/>
    <row r="2819" customFormat="1" x14ac:dyDescent="0.2"/>
    <row r="2820" customFormat="1" x14ac:dyDescent="0.2"/>
    <row r="2821" customFormat="1" x14ac:dyDescent="0.2"/>
    <row r="2822" customFormat="1" x14ac:dyDescent="0.2"/>
    <row r="2823" customFormat="1" x14ac:dyDescent="0.2"/>
    <row r="2824" customFormat="1" x14ac:dyDescent="0.2"/>
    <row r="2825" customFormat="1" x14ac:dyDescent="0.2"/>
    <row r="2826" customFormat="1" x14ac:dyDescent="0.2"/>
    <row r="2827" customFormat="1" x14ac:dyDescent="0.2"/>
    <row r="2828" customFormat="1" x14ac:dyDescent="0.2"/>
    <row r="2829" customFormat="1" x14ac:dyDescent="0.2"/>
    <row r="2830" customFormat="1" x14ac:dyDescent="0.2"/>
    <row r="2831" customFormat="1" x14ac:dyDescent="0.2"/>
    <row r="2832" customFormat="1" x14ac:dyDescent="0.2"/>
    <row r="2833" customFormat="1" x14ac:dyDescent="0.2"/>
    <row r="2834" customFormat="1" x14ac:dyDescent="0.2"/>
    <row r="2835" customFormat="1" x14ac:dyDescent="0.2"/>
    <row r="2836" customFormat="1" x14ac:dyDescent="0.2"/>
    <row r="2837" customFormat="1" x14ac:dyDescent="0.2"/>
    <row r="2838" customFormat="1" x14ac:dyDescent="0.2"/>
    <row r="2839" customFormat="1" x14ac:dyDescent="0.2"/>
    <row r="2840" customFormat="1" x14ac:dyDescent="0.2"/>
    <row r="2841" customFormat="1" x14ac:dyDescent="0.2"/>
    <row r="2842" customFormat="1" x14ac:dyDescent="0.2"/>
    <row r="2843" customFormat="1" x14ac:dyDescent="0.2"/>
    <row r="2844" customFormat="1" x14ac:dyDescent="0.2"/>
    <row r="2845" customFormat="1" x14ac:dyDescent="0.2"/>
    <row r="2846" customFormat="1" x14ac:dyDescent="0.2"/>
    <row r="2847" customFormat="1" x14ac:dyDescent="0.2"/>
    <row r="2848" customFormat="1" x14ac:dyDescent="0.2"/>
    <row r="2849" customFormat="1" x14ac:dyDescent="0.2"/>
    <row r="2850" customFormat="1" x14ac:dyDescent="0.2"/>
    <row r="2851" customFormat="1" x14ac:dyDescent="0.2"/>
    <row r="2852" customFormat="1" x14ac:dyDescent="0.2"/>
    <row r="2853" customFormat="1" x14ac:dyDescent="0.2"/>
    <row r="2854" customFormat="1" x14ac:dyDescent="0.2"/>
    <row r="2855" customFormat="1" x14ac:dyDescent="0.2"/>
    <row r="2856" customFormat="1" x14ac:dyDescent="0.2"/>
    <row r="2857" customFormat="1" x14ac:dyDescent="0.2"/>
    <row r="2858" customFormat="1" x14ac:dyDescent="0.2"/>
    <row r="2859" customFormat="1" x14ac:dyDescent="0.2"/>
    <row r="2860" customFormat="1" x14ac:dyDescent="0.2"/>
    <row r="2861" customFormat="1" x14ac:dyDescent="0.2"/>
    <row r="2862" customFormat="1" x14ac:dyDescent="0.2"/>
    <row r="2863" customFormat="1" x14ac:dyDescent="0.2"/>
    <row r="2864" customFormat="1" x14ac:dyDescent="0.2"/>
    <row r="2865" customFormat="1" x14ac:dyDescent="0.2"/>
    <row r="2866" customFormat="1" x14ac:dyDescent="0.2"/>
    <row r="2867" customFormat="1" x14ac:dyDescent="0.2"/>
    <row r="2868" customFormat="1" x14ac:dyDescent="0.2"/>
    <row r="2869" customFormat="1" x14ac:dyDescent="0.2"/>
    <row r="2870" customFormat="1" x14ac:dyDescent="0.2"/>
    <row r="2871" customFormat="1" x14ac:dyDescent="0.2"/>
    <row r="2872" customFormat="1" x14ac:dyDescent="0.2"/>
    <row r="2873" customFormat="1" x14ac:dyDescent="0.2"/>
    <row r="2874" customFormat="1" x14ac:dyDescent="0.2"/>
    <row r="2875" customFormat="1" x14ac:dyDescent="0.2"/>
    <row r="2876" customFormat="1" x14ac:dyDescent="0.2"/>
    <row r="2877" customFormat="1" x14ac:dyDescent="0.2"/>
    <row r="2878" customFormat="1" x14ac:dyDescent="0.2"/>
    <row r="2879" customFormat="1" x14ac:dyDescent="0.2"/>
    <row r="2880" customFormat="1" x14ac:dyDescent="0.2"/>
    <row r="2881" customFormat="1" x14ac:dyDescent="0.2"/>
    <row r="2882" customFormat="1" x14ac:dyDescent="0.2"/>
    <row r="2883" customFormat="1" x14ac:dyDescent="0.2"/>
    <row r="2884" customFormat="1" x14ac:dyDescent="0.2"/>
    <row r="2885" customFormat="1" x14ac:dyDescent="0.2"/>
    <row r="2886" customFormat="1" x14ac:dyDescent="0.2"/>
    <row r="2887" customFormat="1" x14ac:dyDescent="0.2"/>
    <row r="2888" customFormat="1" x14ac:dyDescent="0.2"/>
    <row r="2889" customFormat="1" x14ac:dyDescent="0.2"/>
    <row r="2890" customFormat="1" x14ac:dyDescent="0.2"/>
    <row r="2891" customFormat="1" x14ac:dyDescent="0.2"/>
    <row r="2892" customFormat="1" x14ac:dyDescent="0.2"/>
    <row r="2893" customFormat="1" x14ac:dyDescent="0.2"/>
    <row r="2894" customFormat="1" x14ac:dyDescent="0.2"/>
    <row r="2895" customFormat="1" x14ac:dyDescent="0.2"/>
    <row r="2896" customFormat="1" x14ac:dyDescent="0.2"/>
    <row r="2897" customFormat="1" x14ac:dyDescent="0.2"/>
    <row r="2898" customFormat="1" x14ac:dyDescent="0.2"/>
    <row r="2899" customFormat="1" x14ac:dyDescent="0.2"/>
    <row r="2900" customFormat="1" x14ac:dyDescent="0.2"/>
    <row r="2901" customFormat="1" x14ac:dyDescent="0.2"/>
    <row r="2902" customFormat="1" x14ac:dyDescent="0.2"/>
    <row r="2903" customFormat="1" x14ac:dyDescent="0.2"/>
    <row r="2904" customFormat="1" x14ac:dyDescent="0.2"/>
    <row r="2905" customFormat="1" x14ac:dyDescent="0.2"/>
    <row r="2906" customFormat="1" x14ac:dyDescent="0.2"/>
    <row r="2907" customFormat="1" x14ac:dyDescent="0.2"/>
    <row r="2908" customFormat="1" x14ac:dyDescent="0.2"/>
    <row r="2909" customFormat="1" x14ac:dyDescent="0.2"/>
    <row r="2910" customFormat="1" x14ac:dyDescent="0.2"/>
    <row r="2911" customFormat="1" x14ac:dyDescent="0.2"/>
    <row r="2912" customFormat="1" x14ac:dyDescent="0.2"/>
    <row r="2913" customFormat="1" x14ac:dyDescent="0.2"/>
    <row r="2914" customFormat="1" x14ac:dyDescent="0.2"/>
    <row r="2915" customFormat="1" x14ac:dyDescent="0.2"/>
    <row r="2916" customFormat="1" x14ac:dyDescent="0.2"/>
    <row r="2917" customFormat="1" x14ac:dyDescent="0.2"/>
    <row r="2918" customFormat="1" x14ac:dyDescent="0.2"/>
    <row r="2919" customFormat="1" x14ac:dyDescent="0.2"/>
    <row r="2920" customFormat="1" x14ac:dyDescent="0.2"/>
    <row r="2921" customFormat="1" x14ac:dyDescent="0.2"/>
    <row r="2922" customFormat="1" x14ac:dyDescent="0.2"/>
    <row r="2923" customFormat="1" x14ac:dyDescent="0.2"/>
    <row r="2924" customFormat="1" x14ac:dyDescent="0.2"/>
    <row r="2925" customFormat="1" x14ac:dyDescent="0.2"/>
    <row r="2926" customFormat="1" x14ac:dyDescent="0.2"/>
    <row r="2927" customFormat="1" x14ac:dyDescent="0.2"/>
    <row r="2928" customFormat="1" x14ac:dyDescent="0.2"/>
    <row r="2929" customFormat="1" x14ac:dyDescent="0.2"/>
    <row r="2930" customFormat="1" x14ac:dyDescent="0.2"/>
    <row r="2931" customFormat="1" x14ac:dyDescent="0.2"/>
    <row r="2932" customFormat="1" x14ac:dyDescent="0.2"/>
    <row r="2933" customFormat="1" x14ac:dyDescent="0.2"/>
    <row r="2934" customFormat="1" x14ac:dyDescent="0.2"/>
    <row r="2935" customFormat="1" x14ac:dyDescent="0.2"/>
    <row r="2936" customFormat="1" x14ac:dyDescent="0.2"/>
    <row r="2937" customFormat="1" x14ac:dyDescent="0.2"/>
    <row r="2938" customFormat="1" x14ac:dyDescent="0.2"/>
    <row r="2939" customFormat="1" x14ac:dyDescent="0.2"/>
    <row r="2940" customFormat="1" x14ac:dyDescent="0.2"/>
    <row r="2941" customFormat="1" x14ac:dyDescent="0.2"/>
    <row r="2942" customFormat="1" x14ac:dyDescent="0.2"/>
    <row r="2943" customFormat="1" x14ac:dyDescent="0.2"/>
    <row r="2944" customFormat="1" x14ac:dyDescent="0.2"/>
    <row r="2945" customFormat="1" x14ac:dyDescent="0.2"/>
    <row r="2946" customFormat="1" x14ac:dyDescent="0.2"/>
    <row r="2947" customFormat="1" x14ac:dyDescent="0.2"/>
    <row r="2948" customFormat="1" x14ac:dyDescent="0.2"/>
    <row r="2949" customFormat="1" x14ac:dyDescent="0.2"/>
    <row r="2950" customFormat="1" x14ac:dyDescent="0.2"/>
    <row r="2951" customFormat="1" x14ac:dyDescent="0.2"/>
    <row r="2952" customFormat="1" x14ac:dyDescent="0.2"/>
    <row r="2953" customFormat="1" x14ac:dyDescent="0.2"/>
    <row r="2954" customFormat="1" x14ac:dyDescent="0.2"/>
    <row r="2955" customFormat="1" x14ac:dyDescent="0.2"/>
    <row r="2956" customFormat="1" x14ac:dyDescent="0.2"/>
    <row r="2957" customFormat="1" x14ac:dyDescent="0.2"/>
    <row r="2958" customFormat="1" x14ac:dyDescent="0.2"/>
    <row r="2959" customFormat="1" x14ac:dyDescent="0.2"/>
    <row r="2960" customFormat="1" x14ac:dyDescent="0.2"/>
    <row r="2961" customFormat="1" x14ac:dyDescent="0.2"/>
    <row r="2962" customFormat="1" x14ac:dyDescent="0.2"/>
    <row r="2963" customFormat="1" x14ac:dyDescent="0.2"/>
    <row r="2964" customFormat="1" x14ac:dyDescent="0.2"/>
    <row r="2965" customFormat="1" x14ac:dyDescent="0.2"/>
    <row r="2966" customFormat="1" x14ac:dyDescent="0.2"/>
    <row r="2967" customFormat="1" x14ac:dyDescent="0.2"/>
    <row r="2968" customFormat="1" x14ac:dyDescent="0.2"/>
    <row r="2969" customFormat="1" x14ac:dyDescent="0.2"/>
    <row r="2970" customFormat="1" x14ac:dyDescent="0.2"/>
    <row r="2971" customFormat="1" x14ac:dyDescent="0.2"/>
    <row r="2972" customFormat="1" x14ac:dyDescent="0.2"/>
    <row r="2973" customFormat="1" x14ac:dyDescent="0.2"/>
    <row r="2974" customFormat="1" x14ac:dyDescent="0.2"/>
    <row r="2975" customFormat="1" x14ac:dyDescent="0.2"/>
    <row r="2976" customFormat="1" x14ac:dyDescent="0.2"/>
    <row r="2977" customFormat="1" x14ac:dyDescent="0.2"/>
    <row r="2978" customFormat="1" x14ac:dyDescent="0.2"/>
    <row r="2979" customFormat="1" x14ac:dyDescent="0.2"/>
    <row r="2980" customFormat="1" x14ac:dyDescent="0.2"/>
    <row r="2981" customFormat="1" x14ac:dyDescent="0.2"/>
    <row r="2982" customFormat="1" x14ac:dyDescent="0.2"/>
    <row r="2983" customFormat="1" x14ac:dyDescent="0.2"/>
    <row r="2984" customFormat="1" x14ac:dyDescent="0.2"/>
    <row r="2985" customFormat="1" x14ac:dyDescent="0.2"/>
    <row r="2986" customFormat="1" x14ac:dyDescent="0.2"/>
    <row r="2987" customFormat="1" x14ac:dyDescent="0.2"/>
    <row r="2988" customFormat="1" x14ac:dyDescent="0.2"/>
    <row r="2989" customFormat="1" x14ac:dyDescent="0.2"/>
    <row r="2990" customFormat="1" x14ac:dyDescent="0.2"/>
    <row r="2991" customFormat="1" x14ac:dyDescent="0.2"/>
    <row r="2992" customFormat="1" x14ac:dyDescent="0.2"/>
    <row r="2993" customFormat="1" x14ac:dyDescent="0.2"/>
    <row r="2994" customFormat="1" x14ac:dyDescent="0.2"/>
    <row r="2995" customFormat="1" x14ac:dyDescent="0.2"/>
    <row r="2996" customFormat="1" x14ac:dyDescent="0.2"/>
    <row r="2997" customFormat="1" x14ac:dyDescent="0.2"/>
    <row r="2998" customFormat="1" x14ac:dyDescent="0.2"/>
    <row r="2999" customFormat="1" x14ac:dyDescent="0.2"/>
    <row r="3000" customFormat="1" x14ac:dyDescent="0.2"/>
    <row r="3001" customFormat="1" x14ac:dyDescent="0.2"/>
    <row r="3002" customFormat="1" x14ac:dyDescent="0.2"/>
    <row r="3003" customFormat="1" x14ac:dyDescent="0.2"/>
    <row r="3004" customFormat="1" x14ac:dyDescent="0.2"/>
    <row r="3005" customFormat="1" x14ac:dyDescent="0.2"/>
    <row r="3006" customFormat="1" x14ac:dyDescent="0.2"/>
    <row r="3007" customFormat="1" x14ac:dyDescent="0.2"/>
    <row r="3008" customFormat="1" x14ac:dyDescent="0.2"/>
    <row r="3009" customFormat="1" x14ac:dyDescent="0.2"/>
    <row r="3010" customFormat="1" x14ac:dyDescent="0.2"/>
    <row r="3011" customFormat="1" x14ac:dyDescent="0.2"/>
    <row r="3012" customFormat="1" x14ac:dyDescent="0.2"/>
    <row r="3013" customFormat="1" x14ac:dyDescent="0.2"/>
    <row r="3014" customFormat="1" x14ac:dyDescent="0.2"/>
    <row r="3015" customFormat="1" x14ac:dyDescent="0.2"/>
    <row r="3016" customFormat="1" x14ac:dyDescent="0.2"/>
    <row r="3017" customFormat="1" x14ac:dyDescent="0.2"/>
    <row r="3018" customFormat="1" x14ac:dyDescent="0.2"/>
    <row r="3019" customFormat="1" x14ac:dyDescent="0.2"/>
    <row r="3020" customFormat="1" x14ac:dyDescent="0.2"/>
    <row r="3021" customFormat="1" x14ac:dyDescent="0.2"/>
    <row r="3022" customFormat="1" x14ac:dyDescent="0.2"/>
    <row r="3023" customFormat="1" x14ac:dyDescent="0.2"/>
    <row r="3024" customFormat="1" x14ac:dyDescent="0.2"/>
    <row r="3025" customFormat="1" x14ac:dyDescent="0.2"/>
    <row r="3026" customFormat="1" x14ac:dyDescent="0.2"/>
    <row r="3027" customFormat="1" x14ac:dyDescent="0.2"/>
    <row r="3028" customFormat="1" x14ac:dyDescent="0.2"/>
    <row r="3029" customFormat="1" x14ac:dyDescent="0.2"/>
    <row r="3030" customFormat="1" x14ac:dyDescent="0.2"/>
    <row r="3031" customFormat="1" x14ac:dyDescent="0.2"/>
    <row r="3032" customFormat="1" x14ac:dyDescent="0.2"/>
    <row r="3033" customFormat="1" x14ac:dyDescent="0.2"/>
    <row r="3034" customFormat="1" x14ac:dyDescent="0.2"/>
    <row r="3035" customFormat="1" x14ac:dyDescent="0.2"/>
    <row r="3036" customFormat="1" x14ac:dyDescent="0.2"/>
    <row r="3037" customFormat="1" x14ac:dyDescent="0.2"/>
    <row r="3038" customFormat="1" x14ac:dyDescent="0.2"/>
    <row r="3039" customFormat="1" x14ac:dyDescent="0.2"/>
    <row r="3040" customFormat="1" x14ac:dyDescent="0.2"/>
    <row r="3041" customFormat="1" x14ac:dyDescent="0.2"/>
    <row r="3042" customFormat="1" x14ac:dyDescent="0.2"/>
    <row r="3043" customFormat="1" x14ac:dyDescent="0.2"/>
    <row r="3044" customFormat="1" x14ac:dyDescent="0.2"/>
    <row r="3045" customFormat="1" x14ac:dyDescent="0.2"/>
    <row r="3046" customFormat="1" x14ac:dyDescent="0.2"/>
    <row r="3047" customFormat="1" x14ac:dyDescent="0.2"/>
    <row r="3048" customFormat="1" x14ac:dyDescent="0.2"/>
    <row r="3049" customFormat="1" x14ac:dyDescent="0.2"/>
    <row r="3050" customFormat="1" x14ac:dyDescent="0.2"/>
    <row r="3051" customFormat="1" x14ac:dyDescent="0.2"/>
    <row r="3052" customFormat="1" x14ac:dyDescent="0.2"/>
    <row r="3053" customFormat="1" x14ac:dyDescent="0.2"/>
    <row r="3054" customFormat="1" x14ac:dyDescent="0.2"/>
    <row r="3055" customFormat="1" x14ac:dyDescent="0.2"/>
    <row r="3056" customFormat="1" x14ac:dyDescent="0.2"/>
    <row r="3057" customFormat="1" x14ac:dyDescent="0.2"/>
    <row r="3058" customFormat="1" x14ac:dyDescent="0.2"/>
    <row r="3059" customFormat="1" x14ac:dyDescent="0.2"/>
    <row r="3060" customFormat="1" x14ac:dyDescent="0.2"/>
    <row r="3061" customFormat="1" x14ac:dyDescent="0.2"/>
    <row r="3062" customFormat="1" x14ac:dyDescent="0.2"/>
    <row r="3063" customFormat="1" x14ac:dyDescent="0.2"/>
    <row r="3064" customFormat="1" x14ac:dyDescent="0.2"/>
    <row r="3065" customFormat="1" x14ac:dyDescent="0.2"/>
    <row r="3066" customFormat="1" x14ac:dyDescent="0.2"/>
    <row r="3067" customFormat="1" x14ac:dyDescent="0.2"/>
    <row r="3068" customFormat="1" x14ac:dyDescent="0.2"/>
    <row r="3069" customFormat="1" x14ac:dyDescent="0.2"/>
    <row r="3070" customFormat="1" x14ac:dyDescent="0.2"/>
    <row r="3071" customFormat="1" x14ac:dyDescent="0.2"/>
    <row r="3072" customFormat="1" x14ac:dyDescent="0.2"/>
    <row r="3073" customFormat="1" x14ac:dyDescent="0.2"/>
    <row r="3074" customFormat="1" x14ac:dyDescent="0.2"/>
    <row r="3075" customFormat="1" x14ac:dyDescent="0.2"/>
    <row r="3076" customFormat="1" x14ac:dyDescent="0.2"/>
    <row r="3077" customFormat="1" x14ac:dyDescent="0.2"/>
    <row r="3078" customFormat="1" x14ac:dyDescent="0.2"/>
    <row r="3079" customFormat="1" x14ac:dyDescent="0.2"/>
    <row r="3080" customFormat="1" x14ac:dyDescent="0.2"/>
    <row r="3081" customFormat="1" x14ac:dyDescent="0.2"/>
    <row r="3082" customFormat="1" x14ac:dyDescent="0.2"/>
    <row r="3083" customFormat="1" x14ac:dyDescent="0.2"/>
    <row r="3084" customFormat="1" x14ac:dyDescent="0.2"/>
    <row r="3085" customFormat="1" x14ac:dyDescent="0.2"/>
    <row r="3086" customFormat="1" x14ac:dyDescent="0.2"/>
    <row r="3087" customFormat="1" x14ac:dyDescent="0.2"/>
    <row r="3088" customFormat="1" x14ac:dyDescent="0.2"/>
    <row r="3089" customFormat="1" x14ac:dyDescent="0.2"/>
    <row r="3090" customFormat="1" x14ac:dyDescent="0.2"/>
    <row r="3091" customFormat="1" x14ac:dyDescent="0.2"/>
    <row r="3092" customFormat="1" x14ac:dyDescent="0.2"/>
    <row r="3093" customFormat="1" x14ac:dyDescent="0.2"/>
    <row r="3094" customFormat="1" x14ac:dyDescent="0.2"/>
    <row r="3095" customFormat="1" x14ac:dyDescent="0.2"/>
    <row r="3096" customFormat="1" x14ac:dyDescent="0.2"/>
    <row r="3097" customFormat="1" x14ac:dyDescent="0.2"/>
    <row r="3098" customFormat="1" x14ac:dyDescent="0.2"/>
    <row r="3099" customFormat="1" x14ac:dyDescent="0.2"/>
    <row r="3100" customFormat="1" x14ac:dyDescent="0.2"/>
    <row r="3101" customFormat="1" x14ac:dyDescent="0.2"/>
    <row r="3102" customFormat="1" x14ac:dyDescent="0.2"/>
    <row r="3103" customFormat="1" x14ac:dyDescent="0.2"/>
    <row r="3104" customFormat="1" x14ac:dyDescent="0.2"/>
    <row r="3105" customFormat="1" x14ac:dyDescent="0.2"/>
    <row r="3106" customFormat="1" x14ac:dyDescent="0.2"/>
    <row r="3107" customFormat="1" x14ac:dyDescent="0.2"/>
    <row r="3108" customFormat="1" x14ac:dyDescent="0.2"/>
    <row r="3109" customFormat="1" x14ac:dyDescent="0.2"/>
    <row r="3110" customFormat="1" x14ac:dyDescent="0.2"/>
    <row r="3111" customFormat="1" x14ac:dyDescent="0.2"/>
    <row r="3112" customFormat="1" x14ac:dyDescent="0.2"/>
    <row r="3113" customFormat="1" x14ac:dyDescent="0.2"/>
    <row r="3114" customFormat="1" x14ac:dyDescent="0.2"/>
    <row r="3115" customFormat="1" x14ac:dyDescent="0.2"/>
    <row r="3116" customFormat="1" x14ac:dyDescent="0.2"/>
    <row r="3117" customFormat="1" x14ac:dyDescent="0.2"/>
    <row r="3118" customFormat="1" x14ac:dyDescent="0.2"/>
    <row r="3119" customFormat="1" x14ac:dyDescent="0.2"/>
    <row r="3120" customFormat="1" x14ac:dyDescent="0.2"/>
    <row r="3121" customFormat="1" x14ac:dyDescent="0.2"/>
    <row r="3122" customFormat="1" x14ac:dyDescent="0.2"/>
    <row r="3123" customFormat="1" x14ac:dyDescent="0.2"/>
    <row r="3124" customFormat="1" x14ac:dyDescent="0.2"/>
    <row r="3125" customFormat="1" x14ac:dyDescent="0.2"/>
    <row r="3126" customFormat="1" x14ac:dyDescent="0.2"/>
    <row r="3127" customFormat="1" x14ac:dyDescent="0.2"/>
    <row r="3128" customFormat="1" x14ac:dyDescent="0.2"/>
    <row r="3129" customFormat="1" x14ac:dyDescent="0.2"/>
    <row r="3130" customFormat="1" x14ac:dyDescent="0.2"/>
    <row r="3131" customFormat="1" x14ac:dyDescent="0.2"/>
    <row r="3132" customFormat="1" x14ac:dyDescent="0.2"/>
    <row r="3133" customFormat="1" x14ac:dyDescent="0.2"/>
    <row r="3134" customFormat="1" x14ac:dyDescent="0.2"/>
    <row r="3135" customFormat="1" x14ac:dyDescent="0.2"/>
    <row r="3136" customFormat="1" x14ac:dyDescent="0.2"/>
    <row r="3137" customFormat="1" x14ac:dyDescent="0.2"/>
    <row r="3138" customFormat="1" x14ac:dyDescent="0.2"/>
    <row r="3139" customFormat="1" x14ac:dyDescent="0.2"/>
    <row r="3140" customFormat="1" x14ac:dyDescent="0.2"/>
    <row r="3141" customFormat="1" x14ac:dyDescent="0.2"/>
    <row r="3142" customFormat="1" x14ac:dyDescent="0.2"/>
    <row r="3143" customFormat="1" x14ac:dyDescent="0.2"/>
    <row r="3144" customFormat="1" x14ac:dyDescent="0.2"/>
    <row r="3145" customFormat="1" x14ac:dyDescent="0.2"/>
    <row r="3146" customFormat="1" x14ac:dyDescent="0.2"/>
    <row r="3147" customFormat="1" x14ac:dyDescent="0.2"/>
    <row r="3148" customFormat="1" x14ac:dyDescent="0.2"/>
    <row r="3149" customFormat="1" x14ac:dyDescent="0.2"/>
    <row r="3150" customFormat="1" x14ac:dyDescent="0.2"/>
    <row r="3151" customFormat="1" x14ac:dyDescent="0.2"/>
    <row r="3152" customFormat="1" x14ac:dyDescent="0.2"/>
    <row r="3153" customFormat="1" x14ac:dyDescent="0.2"/>
    <row r="3154" customFormat="1" x14ac:dyDescent="0.2"/>
    <row r="3155" customFormat="1" x14ac:dyDescent="0.2"/>
    <row r="3156" customFormat="1" x14ac:dyDescent="0.2"/>
    <row r="3157" customFormat="1" x14ac:dyDescent="0.2"/>
    <row r="3158" customFormat="1" x14ac:dyDescent="0.2"/>
    <row r="3159" customFormat="1" x14ac:dyDescent="0.2"/>
    <row r="3160" customFormat="1" x14ac:dyDescent="0.2"/>
    <row r="3161" customFormat="1" x14ac:dyDescent="0.2"/>
    <row r="3162" customFormat="1" x14ac:dyDescent="0.2"/>
    <row r="3163" customFormat="1" x14ac:dyDescent="0.2"/>
    <row r="3164" customFormat="1" x14ac:dyDescent="0.2"/>
    <row r="3165" customFormat="1" x14ac:dyDescent="0.2"/>
    <row r="3166" customFormat="1" x14ac:dyDescent="0.2"/>
    <row r="3167" customFormat="1" x14ac:dyDescent="0.2"/>
    <row r="3168" customFormat="1" x14ac:dyDescent="0.2"/>
    <row r="3169" customFormat="1" x14ac:dyDescent="0.2"/>
    <row r="3170" customFormat="1" x14ac:dyDescent="0.2"/>
    <row r="3171" customFormat="1" x14ac:dyDescent="0.2"/>
    <row r="3172" customFormat="1" x14ac:dyDescent="0.2"/>
    <row r="3173" customFormat="1" x14ac:dyDescent="0.2"/>
    <row r="3174" customFormat="1" x14ac:dyDescent="0.2"/>
    <row r="3175" customFormat="1" x14ac:dyDescent="0.2"/>
    <row r="3176" customFormat="1" x14ac:dyDescent="0.2"/>
    <row r="3177" customFormat="1" x14ac:dyDescent="0.2"/>
    <row r="3178" customFormat="1" x14ac:dyDescent="0.2"/>
    <row r="3179" customFormat="1" x14ac:dyDescent="0.2"/>
    <row r="3180" customFormat="1" x14ac:dyDescent="0.2"/>
    <row r="3181" customFormat="1" x14ac:dyDescent="0.2"/>
    <row r="3182" customFormat="1" x14ac:dyDescent="0.2"/>
    <row r="3183" customFormat="1" x14ac:dyDescent="0.2"/>
    <row r="3184" customFormat="1" x14ac:dyDescent="0.2"/>
    <row r="3185" customFormat="1" x14ac:dyDescent="0.2"/>
    <row r="3186" customFormat="1" x14ac:dyDescent="0.2"/>
    <row r="3187" customFormat="1" x14ac:dyDescent="0.2"/>
    <row r="3188" customFormat="1" x14ac:dyDescent="0.2"/>
    <row r="3189" customFormat="1" x14ac:dyDescent="0.2"/>
    <row r="3190" customFormat="1" x14ac:dyDescent="0.2"/>
    <row r="3191" customFormat="1" x14ac:dyDescent="0.2"/>
    <row r="3192" customFormat="1" x14ac:dyDescent="0.2"/>
    <row r="3193" customFormat="1" x14ac:dyDescent="0.2"/>
    <row r="3194" customFormat="1" x14ac:dyDescent="0.2"/>
    <row r="3195" customFormat="1" x14ac:dyDescent="0.2"/>
    <row r="3196" customFormat="1" x14ac:dyDescent="0.2"/>
    <row r="3197" customFormat="1" x14ac:dyDescent="0.2"/>
    <row r="3198" customFormat="1" x14ac:dyDescent="0.2"/>
    <row r="3199" customFormat="1" x14ac:dyDescent="0.2"/>
    <row r="3200" customFormat="1" x14ac:dyDescent="0.2"/>
    <row r="3201" customFormat="1" x14ac:dyDescent="0.2"/>
    <row r="3202" customFormat="1" x14ac:dyDescent="0.2"/>
    <row r="3203" customFormat="1" x14ac:dyDescent="0.2"/>
    <row r="3204" customFormat="1" x14ac:dyDescent="0.2"/>
    <row r="3205" customFormat="1" x14ac:dyDescent="0.2"/>
    <row r="3206" customFormat="1" x14ac:dyDescent="0.2"/>
    <row r="3207" customFormat="1" x14ac:dyDescent="0.2"/>
    <row r="3208" customFormat="1" x14ac:dyDescent="0.2"/>
    <row r="3209" customFormat="1" x14ac:dyDescent="0.2"/>
    <row r="3210" customFormat="1" x14ac:dyDescent="0.2"/>
    <row r="3211" customFormat="1" x14ac:dyDescent="0.2"/>
    <row r="3212" customFormat="1" x14ac:dyDescent="0.2"/>
    <row r="3213" customFormat="1" x14ac:dyDescent="0.2"/>
    <row r="3214" customFormat="1" x14ac:dyDescent="0.2"/>
    <row r="3215" customFormat="1" x14ac:dyDescent="0.2"/>
    <row r="3216" customFormat="1" x14ac:dyDescent="0.2"/>
    <row r="3217" customFormat="1" x14ac:dyDescent="0.2"/>
    <row r="3218" customFormat="1" x14ac:dyDescent="0.2"/>
    <row r="3219" customFormat="1" x14ac:dyDescent="0.2"/>
    <row r="3220" customFormat="1" x14ac:dyDescent="0.2"/>
    <row r="3221" customFormat="1" x14ac:dyDescent="0.2"/>
    <row r="3222" customFormat="1" x14ac:dyDescent="0.2"/>
    <row r="3223" customFormat="1" x14ac:dyDescent="0.2"/>
    <row r="3224" customFormat="1" x14ac:dyDescent="0.2"/>
    <row r="3225" customFormat="1" x14ac:dyDescent="0.2"/>
    <row r="3226" customFormat="1" x14ac:dyDescent="0.2"/>
    <row r="3227" customFormat="1" x14ac:dyDescent="0.2"/>
    <row r="3228" customFormat="1" x14ac:dyDescent="0.2"/>
    <row r="3229" customFormat="1" x14ac:dyDescent="0.2"/>
    <row r="3230" customFormat="1" x14ac:dyDescent="0.2"/>
    <row r="3231" customFormat="1" x14ac:dyDescent="0.2"/>
    <row r="3232" customFormat="1" x14ac:dyDescent="0.2"/>
    <row r="3233" customFormat="1" x14ac:dyDescent="0.2"/>
    <row r="3234" customFormat="1" x14ac:dyDescent="0.2"/>
    <row r="3235" customFormat="1" x14ac:dyDescent="0.2"/>
    <row r="3236" customFormat="1" x14ac:dyDescent="0.2"/>
    <row r="3237" customFormat="1" x14ac:dyDescent="0.2"/>
    <row r="3238" customFormat="1" x14ac:dyDescent="0.2"/>
    <row r="3239" customFormat="1" x14ac:dyDescent="0.2"/>
    <row r="3240" customFormat="1" x14ac:dyDescent="0.2"/>
    <row r="3241" customFormat="1" x14ac:dyDescent="0.2"/>
    <row r="3242" customFormat="1" x14ac:dyDescent="0.2"/>
    <row r="3243" customFormat="1" x14ac:dyDescent="0.2"/>
    <row r="3244" customFormat="1" x14ac:dyDescent="0.2"/>
    <row r="3245" customFormat="1" x14ac:dyDescent="0.2"/>
    <row r="3246" customFormat="1" x14ac:dyDescent="0.2"/>
    <row r="3247" customFormat="1" x14ac:dyDescent="0.2"/>
    <row r="3248" customFormat="1" x14ac:dyDescent="0.2"/>
    <row r="3249" customFormat="1" x14ac:dyDescent="0.2"/>
    <row r="3250" customFormat="1" x14ac:dyDescent="0.2"/>
    <row r="3251" customFormat="1" x14ac:dyDescent="0.2"/>
    <row r="3252" customFormat="1" x14ac:dyDescent="0.2"/>
    <row r="3253" customFormat="1" x14ac:dyDescent="0.2"/>
    <row r="3254" customFormat="1" x14ac:dyDescent="0.2"/>
    <row r="3255" customFormat="1" x14ac:dyDescent="0.2"/>
    <row r="3256" customFormat="1" x14ac:dyDescent="0.2"/>
    <row r="3257" customFormat="1" x14ac:dyDescent="0.2"/>
    <row r="3258" customFormat="1" x14ac:dyDescent="0.2"/>
    <row r="3259" customFormat="1" x14ac:dyDescent="0.2"/>
    <row r="3260" customFormat="1" x14ac:dyDescent="0.2"/>
    <row r="3261" customFormat="1" x14ac:dyDescent="0.2"/>
    <row r="3262" customFormat="1" x14ac:dyDescent="0.2"/>
    <row r="3263" customFormat="1" x14ac:dyDescent="0.2"/>
    <row r="3264" customFormat="1" x14ac:dyDescent="0.2"/>
    <row r="3265" customFormat="1" x14ac:dyDescent="0.2"/>
    <row r="3266" customFormat="1" x14ac:dyDescent="0.2"/>
    <row r="3267" customFormat="1" x14ac:dyDescent="0.2"/>
    <row r="3268" customFormat="1" x14ac:dyDescent="0.2"/>
    <row r="3269" customFormat="1" x14ac:dyDescent="0.2"/>
    <row r="3270" customFormat="1" x14ac:dyDescent="0.2"/>
    <row r="3271" customFormat="1" x14ac:dyDescent="0.2"/>
    <row r="3272" customFormat="1" x14ac:dyDescent="0.2"/>
    <row r="3273" customFormat="1" x14ac:dyDescent="0.2"/>
    <row r="3274" customFormat="1" x14ac:dyDescent="0.2"/>
    <row r="3275" customFormat="1" x14ac:dyDescent="0.2"/>
    <row r="3276" customFormat="1" x14ac:dyDescent="0.2"/>
    <row r="3277" customFormat="1" x14ac:dyDescent="0.2"/>
    <row r="3278" customFormat="1" x14ac:dyDescent="0.2"/>
    <row r="3279" customFormat="1" x14ac:dyDescent="0.2"/>
    <row r="3280" customFormat="1" x14ac:dyDescent="0.2"/>
    <row r="3281" customFormat="1" x14ac:dyDescent="0.2"/>
    <row r="3282" customFormat="1" x14ac:dyDescent="0.2"/>
    <row r="3283" customFormat="1" x14ac:dyDescent="0.2"/>
    <row r="3284" customFormat="1" x14ac:dyDescent="0.2"/>
    <row r="3285" customFormat="1" x14ac:dyDescent="0.2"/>
    <row r="3286" customFormat="1" x14ac:dyDescent="0.2"/>
    <row r="3287" customFormat="1" x14ac:dyDescent="0.2"/>
    <row r="3288" customFormat="1" x14ac:dyDescent="0.2"/>
    <row r="3289" customFormat="1" x14ac:dyDescent="0.2"/>
    <row r="3290" customFormat="1" x14ac:dyDescent="0.2"/>
    <row r="3291" customFormat="1" x14ac:dyDescent="0.2"/>
    <row r="3292" customFormat="1" x14ac:dyDescent="0.2"/>
    <row r="3293" customFormat="1" x14ac:dyDescent="0.2"/>
    <row r="3294" customFormat="1" x14ac:dyDescent="0.2"/>
    <row r="3295" customFormat="1" x14ac:dyDescent="0.2"/>
    <row r="3296" customFormat="1" x14ac:dyDescent="0.2"/>
    <row r="3297" customFormat="1" x14ac:dyDescent="0.2"/>
    <row r="3298" customFormat="1" x14ac:dyDescent="0.2"/>
    <row r="3299" customFormat="1" x14ac:dyDescent="0.2"/>
    <row r="3300" customFormat="1" x14ac:dyDescent="0.2"/>
    <row r="3301" customFormat="1" x14ac:dyDescent="0.2"/>
    <row r="3302" customFormat="1" x14ac:dyDescent="0.2"/>
    <row r="3303" customFormat="1" x14ac:dyDescent="0.2"/>
    <row r="3304" customFormat="1" x14ac:dyDescent="0.2"/>
    <row r="3305" customFormat="1" x14ac:dyDescent="0.2"/>
    <row r="3306" customFormat="1" x14ac:dyDescent="0.2"/>
    <row r="3307" customFormat="1" x14ac:dyDescent="0.2"/>
    <row r="3308" customFormat="1" x14ac:dyDescent="0.2"/>
    <row r="3309" customFormat="1" x14ac:dyDescent="0.2"/>
    <row r="3310" customFormat="1" x14ac:dyDescent="0.2"/>
    <row r="3311" customFormat="1" x14ac:dyDescent="0.2"/>
    <row r="3312" customFormat="1" x14ac:dyDescent="0.2"/>
    <row r="3313" customFormat="1" x14ac:dyDescent="0.2"/>
    <row r="3314" customFormat="1" x14ac:dyDescent="0.2"/>
    <row r="3315" customFormat="1" x14ac:dyDescent="0.2"/>
    <row r="3316" customFormat="1" x14ac:dyDescent="0.2"/>
    <row r="3317" customFormat="1" x14ac:dyDescent="0.2"/>
    <row r="3318" customFormat="1" x14ac:dyDescent="0.2"/>
    <row r="3319" customFormat="1" x14ac:dyDescent="0.2"/>
    <row r="3320" customFormat="1" x14ac:dyDescent="0.2"/>
    <row r="3321" customFormat="1" x14ac:dyDescent="0.2"/>
    <row r="3322" customFormat="1" x14ac:dyDescent="0.2"/>
    <row r="3323" customFormat="1" x14ac:dyDescent="0.2"/>
    <row r="3324" customFormat="1" x14ac:dyDescent="0.2"/>
    <row r="3325" customFormat="1" x14ac:dyDescent="0.2"/>
    <row r="3326" customFormat="1" x14ac:dyDescent="0.2"/>
    <row r="3327" customFormat="1" x14ac:dyDescent="0.2"/>
    <row r="3328" customFormat="1" x14ac:dyDescent="0.2"/>
    <row r="3329" customFormat="1" x14ac:dyDescent="0.2"/>
    <row r="3330" customFormat="1" x14ac:dyDescent="0.2"/>
    <row r="3331" customFormat="1" x14ac:dyDescent="0.2"/>
    <row r="3332" customFormat="1" x14ac:dyDescent="0.2"/>
    <row r="3333" customFormat="1" x14ac:dyDescent="0.2"/>
    <row r="3334" customFormat="1" x14ac:dyDescent="0.2"/>
    <row r="3335" customFormat="1" x14ac:dyDescent="0.2"/>
    <row r="3336" customFormat="1" x14ac:dyDescent="0.2"/>
    <row r="3337" customFormat="1" x14ac:dyDescent="0.2"/>
    <row r="3338" customFormat="1" x14ac:dyDescent="0.2"/>
    <row r="3339" customFormat="1" x14ac:dyDescent="0.2"/>
    <row r="3340" customFormat="1" x14ac:dyDescent="0.2"/>
    <row r="3341" customFormat="1" x14ac:dyDescent="0.2"/>
    <row r="3342" customFormat="1" x14ac:dyDescent="0.2"/>
    <row r="3343" customFormat="1" x14ac:dyDescent="0.2"/>
    <row r="3344" customFormat="1" x14ac:dyDescent="0.2"/>
    <row r="3345" customFormat="1" x14ac:dyDescent="0.2"/>
    <row r="3346" customFormat="1" x14ac:dyDescent="0.2"/>
    <row r="3347" customFormat="1" x14ac:dyDescent="0.2"/>
    <row r="3348" customFormat="1" x14ac:dyDescent="0.2"/>
    <row r="3349" customFormat="1" x14ac:dyDescent="0.2"/>
    <row r="3350" customFormat="1" x14ac:dyDescent="0.2"/>
    <row r="3351" customFormat="1" x14ac:dyDescent="0.2"/>
    <row r="3352" customFormat="1" x14ac:dyDescent="0.2"/>
    <row r="3353" customFormat="1" x14ac:dyDescent="0.2"/>
    <row r="3354" customFormat="1" x14ac:dyDescent="0.2"/>
    <row r="3355" customFormat="1" x14ac:dyDescent="0.2"/>
    <row r="3356" customFormat="1" x14ac:dyDescent="0.2"/>
    <row r="3357" customFormat="1" x14ac:dyDescent="0.2"/>
    <row r="3358" customFormat="1" x14ac:dyDescent="0.2"/>
    <row r="3359" customFormat="1" x14ac:dyDescent="0.2"/>
    <row r="3360" customFormat="1" x14ac:dyDescent="0.2"/>
    <row r="3361" customFormat="1" x14ac:dyDescent="0.2"/>
    <row r="3362" customFormat="1" x14ac:dyDescent="0.2"/>
    <row r="3363" customFormat="1" x14ac:dyDescent="0.2"/>
    <row r="3364" customFormat="1" x14ac:dyDescent="0.2"/>
    <row r="3365" customFormat="1" x14ac:dyDescent="0.2"/>
    <row r="3366" customFormat="1" x14ac:dyDescent="0.2"/>
    <row r="3367" customFormat="1" x14ac:dyDescent="0.2"/>
    <row r="3368" customFormat="1" x14ac:dyDescent="0.2"/>
    <row r="3369" customFormat="1" x14ac:dyDescent="0.2"/>
    <row r="3370" customFormat="1" x14ac:dyDescent="0.2"/>
    <row r="3371" customFormat="1" x14ac:dyDescent="0.2"/>
    <row r="3372" customFormat="1" x14ac:dyDescent="0.2"/>
    <row r="3373" customFormat="1" x14ac:dyDescent="0.2"/>
    <row r="3374" customFormat="1" x14ac:dyDescent="0.2"/>
    <row r="3375" customFormat="1" x14ac:dyDescent="0.2"/>
    <row r="3376" customFormat="1" x14ac:dyDescent="0.2"/>
    <row r="3377" customFormat="1" x14ac:dyDescent="0.2"/>
    <row r="3378" customFormat="1" x14ac:dyDescent="0.2"/>
    <row r="3379" customFormat="1" x14ac:dyDescent="0.2"/>
    <row r="3380" customFormat="1" x14ac:dyDescent="0.2"/>
    <row r="3381" customFormat="1" x14ac:dyDescent="0.2"/>
    <row r="3382" customFormat="1" x14ac:dyDescent="0.2"/>
    <row r="3383" customFormat="1" x14ac:dyDescent="0.2"/>
    <row r="3384" customFormat="1" x14ac:dyDescent="0.2"/>
    <row r="3385" customFormat="1" x14ac:dyDescent="0.2"/>
    <row r="3386" customFormat="1" x14ac:dyDescent="0.2"/>
    <row r="3387" customFormat="1" x14ac:dyDescent="0.2"/>
    <row r="3388" customFormat="1" x14ac:dyDescent="0.2"/>
    <row r="3389" customFormat="1" x14ac:dyDescent="0.2"/>
    <row r="3390" customFormat="1" x14ac:dyDescent="0.2"/>
    <row r="3391" customFormat="1" x14ac:dyDescent="0.2"/>
    <row r="3392" customFormat="1" x14ac:dyDescent="0.2"/>
    <row r="3393" customFormat="1" x14ac:dyDescent="0.2"/>
    <row r="3394" customFormat="1" x14ac:dyDescent="0.2"/>
    <row r="3395" customFormat="1" x14ac:dyDescent="0.2"/>
    <row r="3396" customFormat="1" x14ac:dyDescent="0.2"/>
    <row r="3397" customFormat="1" x14ac:dyDescent="0.2"/>
    <row r="3398" customFormat="1" x14ac:dyDescent="0.2"/>
    <row r="3399" customFormat="1" x14ac:dyDescent="0.2"/>
    <row r="3400" customFormat="1" x14ac:dyDescent="0.2"/>
    <row r="3401" customFormat="1" x14ac:dyDescent="0.2"/>
    <row r="3402" customFormat="1" x14ac:dyDescent="0.2"/>
    <row r="3403" customFormat="1" x14ac:dyDescent="0.2"/>
    <row r="3404" customFormat="1" x14ac:dyDescent="0.2"/>
    <row r="3405" customFormat="1" x14ac:dyDescent="0.2"/>
    <row r="3406" customFormat="1" x14ac:dyDescent="0.2"/>
    <row r="3407" customFormat="1" x14ac:dyDescent="0.2"/>
    <row r="3408" customFormat="1" x14ac:dyDescent="0.2"/>
    <row r="3409" customFormat="1" x14ac:dyDescent="0.2"/>
    <row r="3410" customFormat="1" x14ac:dyDescent="0.2"/>
    <row r="3411" customFormat="1" x14ac:dyDescent="0.2"/>
    <row r="3412" customFormat="1" x14ac:dyDescent="0.2"/>
    <row r="3413" customFormat="1" x14ac:dyDescent="0.2"/>
    <row r="3414" customFormat="1" x14ac:dyDescent="0.2"/>
    <row r="3415" customFormat="1" x14ac:dyDescent="0.2"/>
    <row r="3416" customFormat="1" x14ac:dyDescent="0.2"/>
    <row r="3417" customFormat="1" x14ac:dyDescent="0.2"/>
    <row r="3418" customFormat="1" x14ac:dyDescent="0.2"/>
    <row r="3419" customFormat="1" x14ac:dyDescent="0.2"/>
    <row r="3420" customFormat="1" x14ac:dyDescent="0.2"/>
    <row r="3421" customFormat="1" x14ac:dyDescent="0.2"/>
    <row r="3422" customFormat="1" x14ac:dyDescent="0.2"/>
    <row r="3423" customFormat="1" x14ac:dyDescent="0.2"/>
    <row r="3424" customFormat="1" x14ac:dyDescent="0.2"/>
    <row r="3425" customFormat="1" x14ac:dyDescent="0.2"/>
    <row r="3426" customFormat="1" x14ac:dyDescent="0.2"/>
    <row r="3427" customFormat="1" x14ac:dyDescent="0.2"/>
    <row r="3428" customFormat="1" x14ac:dyDescent="0.2"/>
    <row r="3429" customFormat="1" x14ac:dyDescent="0.2"/>
    <row r="3430" customFormat="1" x14ac:dyDescent="0.2"/>
    <row r="3431" customFormat="1" x14ac:dyDescent="0.2"/>
    <row r="3432" customFormat="1" x14ac:dyDescent="0.2"/>
    <row r="3433" customFormat="1" x14ac:dyDescent="0.2"/>
    <row r="3434" customFormat="1" x14ac:dyDescent="0.2"/>
    <row r="3435" customFormat="1" x14ac:dyDescent="0.2"/>
    <row r="3436" customFormat="1" x14ac:dyDescent="0.2"/>
    <row r="3437" customFormat="1" x14ac:dyDescent="0.2"/>
    <row r="3438" customFormat="1" x14ac:dyDescent="0.2"/>
    <row r="3439" customFormat="1" x14ac:dyDescent="0.2"/>
    <row r="3440" customFormat="1" x14ac:dyDescent="0.2"/>
    <row r="3441" customFormat="1" x14ac:dyDescent="0.2"/>
    <row r="3442" customFormat="1" x14ac:dyDescent="0.2"/>
    <row r="3443" customFormat="1" x14ac:dyDescent="0.2"/>
    <row r="3444" customFormat="1" x14ac:dyDescent="0.2"/>
    <row r="3445" customFormat="1" x14ac:dyDescent="0.2"/>
    <row r="3446" customFormat="1" x14ac:dyDescent="0.2"/>
    <row r="3447" customFormat="1" x14ac:dyDescent="0.2"/>
    <row r="3448" customFormat="1" x14ac:dyDescent="0.2"/>
    <row r="3449" customFormat="1" x14ac:dyDescent="0.2"/>
    <row r="3450" customFormat="1" x14ac:dyDescent="0.2"/>
    <row r="3451" customFormat="1" x14ac:dyDescent="0.2"/>
    <row r="3452" customFormat="1" x14ac:dyDescent="0.2"/>
    <row r="3453" customFormat="1" x14ac:dyDescent="0.2"/>
    <row r="3454" customFormat="1" x14ac:dyDescent="0.2"/>
    <row r="3455" customFormat="1" x14ac:dyDescent="0.2"/>
    <row r="3456" customFormat="1" x14ac:dyDescent="0.2"/>
    <row r="3457" customFormat="1" x14ac:dyDescent="0.2"/>
    <row r="3458" customFormat="1" x14ac:dyDescent="0.2"/>
    <row r="3459" customFormat="1" x14ac:dyDescent="0.2"/>
    <row r="3460" customFormat="1" x14ac:dyDescent="0.2"/>
    <row r="3461" customFormat="1" x14ac:dyDescent="0.2"/>
    <row r="3462" customFormat="1" x14ac:dyDescent="0.2"/>
    <row r="3463" customFormat="1" x14ac:dyDescent="0.2"/>
    <row r="3464" customFormat="1" x14ac:dyDescent="0.2"/>
    <row r="3465" customFormat="1" x14ac:dyDescent="0.2"/>
    <row r="3466" customFormat="1" x14ac:dyDescent="0.2"/>
    <row r="3467" customFormat="1" x14ac:dyDescent="0.2"/>
    <row r="3468" customFormat="1" x14ac:dyDescent="0.2"/>
    <row r="3469" customFormat="1" x14ac:dyDescent="0.2"/>
    <row r="3470" customFormat="1" x14ac:dyDescent="0.2"/>
    <row r="3471" customFormat="1" x14ac:dyDescent="0.2"/>
    <row r="3472" customFormat="1" x14ac:dyDescent="0.2"/>
    <row r="3473" customFormat="1" x14ac:dyDescent="0.2"/>
    <row r="3474" customFormat="1" x14ac:dyDescent="0.2"/>
    <row r="3475" customFormat="1" x14ac:dyDescent="0.2"/>
    <row r="3476" customFormat="1" x14ac:dyDescent="0.2"/>
    <row r="3477" customFormat="1" x14ac:dyDescent="0.2"/>
    <row r="3478" customFormat="1" x14ac:dyDescent="0.2"/>
    <row r="3479" customFormat="1" x14ac:dyDescent="0.2"/>
    <row r="3480" customFormat="1" x14ac:dyDescent="0.2"/>
    <row r="3481" customFormat="1" x14ac:dyDescent="0.2"/>
    <row r="3482" customFormat="1" x14ac:dyDescent="0.2"/>
    <row r="3483" customFormat="1" x14ac:dyDescent="0.2"/>
    <row r="3484" customFormat="1" x14ac:dyDescent="0.2"/>
    <row r="3485" customFormat="1" x14ac:dyDescent="0.2"/>
    <row r="3486" customFormat="1" x14ac:dyDescent="0.2"/>
    <row r="3487" customFormat="1" x14ac:dyDescent="0.2"/>
    <row r="3488" customFormat="1" x14ac:dyDescent="0.2"/>
    <row r="3489" customFormat="1" x14ac:dyDescent="0.2"/>
    <row r="3490" customFormat="1" x14ac:dyDescent="0.2"/>
    <row r="3491" customFormat="1" x14ac:dyDescent="0.2"/>
    <row r="3492" customFormat="1" x14ac:dyDescent="0.2"/>
    <row r="3493" customFormat="1" x14ac:dyDescent="0.2"/>
    <row r="3494" customFormat="1" x14ac:dyDescent="0.2"/>
    <row r="3495" customFormat="1" x14ac:dyDescent="0.2"/>
    <row r="3496" customFormat="1" x14ac:dyDescent="0.2"/>
    <row r="3497" customFormat="1" x14ac:dyDescent="0.2"/>
    <row r="3498" customFormat="1" x14ac:dyDescent="0.2"/>
    <row r="3499" customFormat="1" x14ac:dyDescent="0.2"/>
    <row r="3500" customFormat="1" x14ac:dyDescent="0.2"/>
    <row r="3501" customFormat="1" x14ac:dyDescent="0.2"/>
    <row r="3502" customFormat="1" x14ac:dyDescent="0.2"/>
    <row r="3503" customFormat="1" x14ac:dyDescent="0.2"/>
    <row r="3504" customFormat="1" x14ac:dyDescent="0.2"/>
    <row r="3505" customFormat="1" x14ac:dyDescent="0.2"/>
    <row r="3506" customFormat="1" x14ac:dyDescent="0.2"/>
    <row r="3507" customFormat="1" x14ac:dyDescent="0.2"/>
    <row r="3508" customFormat="1" x14ac:dyDescent="0.2"/>
    <row r="3509" customFormat="1" x14ac:dyDescent="0.2"/>
    <row r="3510" customFormat="1" x14ac:dyDescent="0.2"/>
    <row r="3511" customFormat="1" x14ac:dyDescent="0.2"/>
    <row r="3512" customFormat="1" x14ac:dyDescent="0.2"/>
    <row r="3513" customFormat="1" x14ac:dyDescent="0.2"/>
    <row r="3514" customFormat="1" x14ac:dyDescent="0.2"/>
    <row r="3515" customFormat="1" x14ac:dyDescent="0.2"/>
    <row r="3516" customFormat="1" x14ac:dyDescent="0.2"/>
    <row r="3517" customFormat="1" x14ac:dyDescent="0.2"/>
    <row r="3518" customFormat="1" x14ac:dyDescent="0.2"/>
    <row r="3519" customFormat="1" x14ac:dyDescent="0.2"/>
    <row r="3520" customFormat="1" x14ac:dyDescent="0.2"/>
    <row r="3521" customFormat="1" x14ac:dyDescent="0.2"/>
    <row r="3522" customFormat="1" x14ac:dyDescent="0.2"/>
    <row r="3523" customFormat="1" x14ac:dyDescent="0.2"/>
    <row r="3524" customFormat="1" x14ac:dyDescent="0.2"/>
    <row r="3525" customFormat="1" x14ac:dyDescent="0.2"/>
    <row r="3526" customFormat="1" x14ac:dyDescent="0.2"/>
    <row r="3527" customFormat="1" x14ac:dyDescent="0.2"/>
    <row r="3528" customFormat="1" x14ac:dyDescent="0.2"/>
    <row r="3529" customFormat="1" x14ac:dyDescent="0.2"/>
    <row r="3530" customFormat="1" x14ac:dyDescent="0.2"/>
    <row r="3531" customFormat="1" x14ac:dyDescent="0.2"/>
    <row r="3532" customFormat="1" x14ac:dyDescent="0.2"/>
    <row r="3533" customFormat="1" x14ac:dyDescent="0.2"/>
    <row r="3534" customFormat="1" x14ac:dyDescent="0.2"/>
    <row r="3535" customFormat="1" x14ac:dyDescent="0.2"/>
    <row r="3536" customFormat="1" x14ac:dyDescent="0.2"/>
    <row r="3537" customFormat="1" x14ac:dyDescent="0.2"/>
    <row r="3538" customFormat="1" x14ac:dyDescent="0.2"/>
    <row r="3539" customFormat="1" x14ac:dyDescent="0.2"/>
    <row r="3540" customFormat="1" x14ac:dyDescent="0.2"/>
    <row r="3541" customFormat="1" x14ac:dyDescent="0.2"/>
    <row r="3542" customFormat="1" x14ac:dyDescent="0.2"/>
    <row r="3543" customFormat="1" x14ac:dyDescent="0.2"/>
    <row r="3544" customFormat="1" x14ac:dyDescent="0.2"/>
    <row r="3545" customFormat="1" x14ac:dyDescent="0.2"/>
    <row r="3546" customFormat="1" x14ac:dyDescent="0.2"/>
    <row r="3547" customFormat="1" x14ac:dyDescent="0.2"/>
    <row r="3548" customFormat="1" x14ac:dyDescent="0.2"/>
    <row r="3549" customFormat="1" x14ac:dyDescent="0.2"/>
    <row r="3550" customFormat="1" x14ac:dyDescent="0.2"/>
    <row r="3551" customFormat="1" x14ac:dyDescent="0.2"/>
    <row r="3552" customFormat="1" x14ac:dyDescent="0.2"/>
    <row r="3553" customFormat="1" x14ac:dyDescent="0.2"/>
    <row r="3554" customFormat="1" x14ac:dyDescent="0.2"/>
    <row r="3555" customFormat="1" x14ac:dyDescent="0.2"/>
    <row r="3556" customFormat="1" x14ac:dyDescent="0.2"/>
    <row r="3557" customFormat="1" x14ac:dyDescent="0.2"/>
    <row r="3558" customFormat="1" x14ac:dyDescent="0.2"/>
    <row r="3559" customFormat="1" x14ac:dyDescent="0.2"/>
    <row r="3560" customFormat="1" x14ac:dyDescent="0.2"/>
    <row r="3561" customFormat="1" x14ac:dyDescent="0.2"/>
    <row r="3562" customFormat="1" x14ac:dyDescent="0.2"/>
    <row r="3563" customFormat="1" x14ac:dyDescent="0.2"/>
    <row r="3564" customFormat="1" x14ac:dyDescent="0.2"/>
    <row r="3565" customFormat="1" x14ac:dyDescent="0.2"/>
    <row r="3566" customFormat="1" x14ac:dyDescent="0.2"/>
    <row r="3567" customFormat="1" x14ac:dyDescent="0.2"/>
    <row r="3568" customFormat="1" x14ac:dyDescent="0.2"/>
    <row r="3569" customFormat="1" x14ac:dyDescent="0.2"/>
    <row r="3570" customFormat="1" x14ac:dyDescent="0.2"/>
    <row r="3571" customFormat="1" x14ac:dyDescent="0.2"/>
    <row r="3572" customFormat="1" x14ac:dyDescent="0.2"/>
    <row r="3573" customFormat="1" x14ac:dyDescent="0.2"/>
    <row r="3574" customFormat="1" x14ac:dyDescent="0.2"/>
    <row r="3575" customFormat="1" x14ac:dyDescent="0.2"/>
    <row r="3576" customFormat="1" x14ac:dyDescent="0.2"/>
    <row r="3577" customFormat="1" x14ac:dyDescent="0.2"/>
    <row r="3578" customFormat="1" x14ac:dyDescent="0.2"/>
    <row r="3579" customFormat="1" x14ac:dyDescent="0.2"/>
    <row r="3580" customFormat="1" x14ac:dyDescent="0.2"/>
    <row r="3581" customFormat="1" x14ac:dyDescent="0.2"/>
    <row r="3582" customFormat="1" x14ac:dyDescent="0.2"/>
    <row r="3583" customFormat="1" x14ac:dyDescent="0.2"/>
    <row r="3584" customFormat="1" x14ac:dyDescent="0.2"/>
    <row r="3585" customFormat="1" x14ac:dyDescent="0.2"/>
    <row r="3586" customFormat="1" x14ac:dyDescent="0.2"/>
    <row r="3587" customFormat="1" x14ac:dyDescent="0.2"/>
    <row r="3588" customFormat="1" x14ac:dyDescent="0.2"/>
    <row r="3589" customFormat="1" x14ac:dyDescent="0.2"/>
    <row r="3590" customFormat="1" x14ac:dyDescent="0.2"/>
    <row r="3591" customFormat="1" x14ac:dyDescent="0.2"/>
    <row r="3592" customFormat="1" x14ac:dyDescent="0.2"/>
    <row r="3593" customFormat="1" x14ac:dyDescent="0.2"/>
    <row r="3594" customFormat="1" x14ac:dyDescent="0.2"/>
    <row r="3595" customFormat="1" x14ac:dyDescent="0.2"/>
    <row r="3596" customFormat="1" x14ac:dyDescent="0.2"/>
    <row r="3597" customFormat="1" x14ac:dyDescent="0.2"/>
    <row r="3598" customFormat="1" x14ac:dyDescent="0.2"/>
    <row r="3599" customFormat="1" x14ac:dyDescent="0.2"/>
    <row r="3600" customFormat="1" x14ac:dyDescent="0.2"/>
    <row r="3601" customFormat="1" x14ac:dyDescent="0.2"/>
    <row r="3602" customFormat="1" x14ac:dyDescent="0.2"/>
    <row r="3603" customFormat="1" x14ac:dyDescent="0.2"/>
    <row r="3604" customFormat="1" x14ac:dyDescent="0.2"/>
    <row r="3605" customFormat="1" x14ac:dyDescent="0.2"/>
    <row r="3606" customFormat="1" x14ac:dyDescent="0.2"/>
    <row r="3607" customFormat="1" x14ac:dyDescent="0.2"/>
    <row r="3608" customFormat="1" x14ac:dyDescent="0.2"/>
    <row r="3609" customFormat="1" x14ac:dyDescent="0.2"/>
    <row r="3610" customFormat="1" x14ac:dyDescent="0.2"/>
    <row r="3611" customFormat="1" x14ac:dyDescent="0.2"/>
    <row r="3612" customFormat="1" x14ac:dyDescent="0.2"/>
    <row r="3613" customFormat="1" x14ac:dyDescent="0.2"/>
    <row r="3614" customFormat="1" x14ac:dyDescent="0.2"/>
    <row r="3615" customFormat="1" x14ac:dyDescent="0.2"/>
    <row r="3616" customFormat="1" x14ac:dyDescent="0.2"/>
    <row r="3617" customFormat="1" x14ac:dyDescent="0.2"/>
    <row r="3618" customFormat="1" x14ac:dyDescent="0.2"/>
    <row r="3619" customFormat="1" x14ac:dyDescent="0.2"/>
    <row r="3620" customFormat="1" x14ac:dyDescent="0.2"/>
    <row r="3621" customFormat="1" x14ac:dyDescent="0.2"/>
    <row r="3622" customFormat="1" x14ac:dyDescent="0.2"/>
    <row r="3623" customFormat="1" x14ac:dyDescent="0.2"/>
    <row r="3624" customFormat="1" x14ac:dyDescent="0.2"/>
    <row r="3625" customFormat="1" x14ac:dyDescent="0.2"/>
    <row r="3626" customFormat="1" x14ac:dyDescent="0.2"/>
    <row r="3627" customFormat="1" x14ac:dyDescent="0.2"/>
    <row r="3628" customFormat="1" x14ac:dyDescent="0.2"/>
    <row r="3629" customFormat="1" x14ac:dyDescent="0.2"/>
    <row r="3630" customFormat="1" x14ac:dyDescent="0.2"/>
    <row r="3631" customFormat="1" x14ac:dyDescent="0.2"/>
    <row r="3632" customFormat="1" x14ac:dyDescent="0.2"/>
    <row r="3633" customFormat="1" x14ac:dyDescent="0.2"/>
    <row r="3634" customFormat="1" x14ac:dyDescent="0.2"/>
    <row r="3635" customFormat="1" x14ac:dyDescent="0.2"/>
    <row r="3636" customFormat="1" x14ac:dyDescent="0.2"/>
    <row r="3637" customFormat="1" x14ac:dyDescent="0.2"/>
    <row r="3638" customFormat="1" x14ac:dyDescent="0.2"/>
    <row r="3639" customFormat="1" x14ac:dyDescent="0.2"/>
    <row r="3640" customFormat="1" x14ac:dyDescent="0.2"/>
    <row r="3641" customFormat="1" x14ac:dyDescent="0.2"/>
    <row r="3642" customFormat="1" x14ac:dyDescent="0.2"/>
    <row r="3643" customFormat="1" x14ac:dyDescent="0.2"/>
    <row r="3644" customFormat="1" x14ac:dyDescent="0.2"/>
    <row r="3645" customFormat="1" x14ac:dyDescent="0.2"/>
    <row r="3646" customFormat="1" x14ac:dyDescent="0.2"/>
    <row r="3647" customFormat="1" x14ac:dyDescent="0.2"/>
    <row r="3648" customFormat="1" x14ac:dyDescent="0.2"/>
    <row r="3649" customFormat="1" x14ac:dyDescent="0.2"/>
    <row r="3650" customFormat="1" x14ac:dyDescent="0.2"/>
    <row r="3651" customFormat="1" x14ac:dyDescent="0.2"/>
    <row r="3652" customFormat="1" x14ac:dyDescent="0.2"/>
    <row r="3653" customFormat="1" x14ac:dyDescent="0.2"/>
    <row r="3654" customFormat="1" x14ac:dyDescent="0.2"/>
    <row r="3655" customFormat="1" x14ac:dyDescent="0.2"/>
    <row r="3656" customFormat="1" x14ac:dyDescent="0.2"/>
    <row r="3657" customFormat="1" x14ac:dyDescent="0.2"/>
    <row r="3658" customFormat="1" x14ac:dyDescent="0.2"/>
    <row r="3659" customFormat="1" x14ac:dyDescent="0.2"/>
    <row r="3660" customFormat="1" x14ac:dyDescent="0.2"/>
    <row r="3661" customFormat="1" x14ac:dyDescent="0.2"/>
    <row r="3662" customFormat="1" x14ac:dyDescent="0.2"/>
    <row r="3663" customFormat="1" x14ac:dyDescent="0.2"/>
    <row r="3664" customFormat="1" x14ac:dyDescent="0.2"/>
    <row r="3665" customFormat="1" x14ac:dyDescent="0.2"/>
    <row r="3666" customFormat="1" x14ac:dyDescent="0.2"/>
    <row r="3667" customFormat="1" x14ac:dyDescent="0.2"/>
    <row r="3668" customFormat="1" x14ac:dyDescent="0.2"/>
    <row r="3669" customFormat="1" x14ac:dyDescent="0.2"/>
    <row r="3670" customFormat="1" x14ac:dyDescent="0.2"/>
    <row r="3671" customFormat="1" x14ac:dyDescent="0.2"/>
    <row r="3672" customFormat="1" x14ac:dyDescent="0.2"/>
    <row r="3673" customFormat="1" x14ac:dyDescent="0.2"/>
    <row r="3674" customFormat="1" x14ac:dyDescent="0.2"/>
    <row r="3675" customFormat="1" x14ac:dyDescent="0.2"/>
    <row r="3676" customFormat="1" x14ac:dyDescent="0.2"/>
    <row r="3677" customFormat="1" x14ac:dyDescent="0.2"/>
    <row r="3678" customFormat="1" x14ac:dyDescent="0.2"/>
    <row r="3679" customFormat="1" x14ac:dyDescent="0.2"/>
    <row r="3680" customFormat="1" x14ac:dyDescent="0.2"/>
    <row r="3681" customFormat="1" x14ac:dyDescent="0.2"/>
    <row r="3682" customFormat="1" x14ac:dyDescent="0.2"/>
    <row r="3683" customFormat="1" x14ac:dyDescent="0.2"/>
    <row r="3684" customFormat="1" x14ac:dyDescent="0.2"/>
    <row r="3685" customFormat="1" x14ac:dyDescent="0.2"/>
    <row r="3686" customFormat="1" x14ac:dyDescent="0.2"/>
    <row r="3687" customFormat="1" x14ac:dyDescent="0.2"/>
    <row r="3688" customFormat="1" x14ac:dyDescent="0.2"/>
    <row r="3689" customFormat="1" x14ac:dyDescent="0.2"/>
    <row r="3690" customFormat="1" x14ac:dyDescent="0.2"/>
    <row r="3691" customFormat="1" x14ac:dyDescent="0.2"/>
    <row r="3692" customFormat="1" x14ac:dyDescent="0.2"/>
    <row r="3693" customFormat="1" x14ac:dyDescent="0.2"/>
    <row r="3694" customFormat="1" x14ac:dyDescent="0.2"/>
    <row r="3695" customFormat="1" x14ac:dyDescent="0.2"/>
    <row r="3696" customFormat="1" x14ac:dyDescent="0.2"/>
    <row r="3697" customFormat="1" x14ac:dyDescent="0.2"/>
    <row r="3698" customFormat="1" x14ac:dyDescent="0.2"/>
    <row r="3699" customFormat="1" x14ac:dyDescent="0.2"/>
    <row r="3700" customFormat="1" x14ac:dyDescent="0.2"/>
    <row r="3701" customFormat="1" x14ac:dyDescent="0.2"/>
    <row r="3702" customFormat="1" x14ac:dyDescent="0.2"/>
    <row r="3703" customFormat="1" x14ac:dyDescent="0.2"/>
    <row r="3704" customFormat="1" x14ac:dyDescent="0.2"/>
    <row r="3705" customFormat="1" x14ac:dyDescent="0.2"/>
    <row r="3706" customFormat="1" x14ac:dyDescent="0.2"/>
    <row r="3707" customFormat="1" x14ac:dyDescent="0.2"/>
    <row r="3708" customFormat="1" x14ac:dyDescent="0.2"/>
    <row r="3709" customFormat="1" x14ac:dyDescent="0.2"/>
    <row r="3710" customFormat="1" x14ac:dyDescent="0.2"/>
    <row r="3711" customFormat="1" x14ac:dyDescent="0.2"/>
    <row r="3712" customFormat="1" x14ac:dyDescent="0.2"/>
    <row r="3713" customFormat="1" x14ac:dyDescent="0.2"/>
    <row r="3714" customFormat="1" x14ac:dyDescent="0.2"/>
    <row r="3715" customFormat="1" x14ac:dyDescent="0.2"/>
    <row r="3716" customFormat="1" x14ac:dyDescent="0.2"/>
    <row r="3717" customFormat="1" x14ac:dyDescent="0.2"/>
    <row r="3718" customFormat="1" x14ac:dyDescent="0.2"/>
    <row r="3719" customFormat="1" x14ac:dyDescent="0.2"/>
    <row r="3720" customFormat="1" x14ac:dyDescent="0.2"/>
    <row r="3721" customFormat="1" x14ac:dyDescent="0.2"/>
    <row r="3722" customFormat="1" x14ac:dyDescent="0.2"/>
    <row r="3723" customFormat="1" x14ac:dyDescent="0.2"/>
    <row r="3724" customFormat="1" x14ac:dyDescent="0.2"/>
    <row r="3725" customFormat="1" x14ac:dyDescent="0.2"/>
    <row r="3726" customFormat="1" x14ac:dyDescent="0.2"/>
    <row r="3727" customFormat="1" x14ac:dyDescent="0.2"/>
    <row r="3728" customFormat="1" x14ac:dyDescent="0.2"/>
    <row r="3729" customFormat="1" x14ac:dyDescent="0.2"/>
    <row r="3730" customFormat="1" x14ac:dyDescent="0.2"/>
    <row r="3731" customFormat="1" x14ac:dyDescent="0.2"/>
    <row r="3732" customFormat="1" x14ac:dyDescent="0.2"/>
    <row r="3733" customFormat="1" x14ac:dyDescent="0.2"/>
    <row r="3734" customFormat="1" x14ac:dyDescent="0.2"/>
    <row r="3735" customFormat="1" x14ac:dyDescent="0.2"/>
    <row r="3736" customFormat="1" x14ac:dyDescent="0.2"/>
    <row r="3737" customFormat="1" x14ac:dyDescent="0.2"/>
    <row r="3738" customFormat="1" x14ac:dyDescent="0.2"/>
    <row r="3739" customFormat="1" x14ac:dyDescent="0.2"/>
    <row r="3740" customFormat="1" x14ac:dyDescent="0.2"/>
    <row r="3741" customFormat="1" x14ac:dyDescent="0.2"/>
    <row r="3742" customFormat="1" x14ac:dyDescent="0.2"/>
    <row r="3743" customFormat="1" x14ac:dyDescent="0.2"/>
    <row r="3744" customFormat="1" x14ac:dyDescent="0.2"/>
    <row r="3745" customFormat="1" x14ac:dyDescent="0.2"/>
    <row r="3746" customFormat="1" x14ac:dyDescent="0.2"/>
    <row r="3747" customFormat="1" x14ac:dyDescent="0.2"/>
    <row r="3748" customFormat="1" x14ac:dyDescent="0.2"/>
    <row r="3749" customFormat="1" x14ac:dyDescent="0.2"/>
    <row r="3750" customFormat="1" x14ac:dyDescent="0.2"/>
    <row r="3751" customFormat="1" x14ac:dyDescent="0.2"/>
    <row r="3752" customFormat="1" x14ac:dyDescent="0.2"/>
    <row r="3753" customFormat="1" x14ac:dyDescent="0.2"/>
    <row r="3754" customFormat="1" x14ac:dyDescent="0.2"/>
    <row r="3755" customFormat="1" x14ac:dyDescent="0.2"/>
    <row r="3756" customFormat="1" x14ac:dyDescent="0.2"/>
    <row r="3757" customFormat="1" x14ac:dyDescent="0.2"/>
    <row r="3758" customFormat="1" x14ac:dyDescent="0.2"/>
    <row r="3759" customFormat="1" x14ac:dyDescent="0.2"/>
    <row r="3760" customFormat="1" x14ac:dyDescent="0.2"/>
    <row r="3761" customFormat="1" x14ac:dyDescent="0.2"/>
    <row r="3762" customFormat="1" x14ac:dyDescent="0.2"/>
    <row r="3763" customFormat="1" x14ac:dyDescent="0.2"/>
    <row r="3764" customFormat="1" x14ac:dyDescent="0.2"/>
    <row r="3765" customFormat="1" x14ac:dyDescent="0.2"/>
    <row r="3766" customFormat="1" x14ac:dyDescent="0.2"/>
    <row r="3767" customFormat="1" x14ac:dyDescent="0.2"/>
    <row r="3768" customFormat="1" x14ac:dyDescent="0.2"/>
    <row r="3769" customFormat="1" x14ac:dyDescent="0.2"/>
    <row r="3770" customFormat="1" x14ac:dyDescent="0.2"/>
    <row r="3771" customFormat="1" x14ac:dyDescent="0.2"/>
    <row r="3772" customFormat="1" x14ac:dyDescent="0.2"/>
    <row r="3773" customFormat="1" x14ac:dyDescent="0.2"/>
    <row r="3774" customFormat="1" x14ac:dyDescent="0.2"/>
    <row r="3775" customFormat="1" x14ac:dyDescent="0.2"/>
    <row r="3776" customFormat="1" x14ac:dyDescent="0.2"/>
    <row r="3777" customFormat="1" x14ac:dyDescent="0.2"/>
    <row r="3778" customFormat="1" x14ac:dyDescent="0.2"/>
    <row r="3779" customFormat="1" x14ac:dyDescent="0.2"/>
    <row r="3780" customFormat="1" x14ac:dyDescent="0.2"/>
    <row r="3781" customFormat="1" x14ac:dyDescent="0.2"/>
    <row r="3782" customFormat="1" x14ac:dyDescent="0.2"/>
    <row r="3783" customFormat="1" x14ac:dyDescent="0.2"/>
    <row r="3784" customFormat="1" x14ac:dyDescent="0.2"/>
    <row r="3785" customFormat="1" x14ac:dyDescent="0.2"/>
    <row r="3786" customFormat="1" x14ac:dyDescent="0.2"/>
    <row r="3787" customFormat="1" x14ac:dyDescent="0.2"/>
    <row r="3788" customFormat="1" x14ac:dyDescent="0.2"/>
    <row r="3789" customFormat="1" x14ac:dyDescent="0.2"/>
    <row r="3790" customFormat="1" x14ac:dyDescent="0.2"/>
    <row r="3791" customFormat="1" x14ac:dyDescent="0.2"/>
    <row r="3792" customFormat="1" x14ac:dyDescent="0.2"/>
    <row r="3793" customFormat="1" x14ac:dyDescent="0.2"/>
    <row r="3794" customFormat="1" x14ac:dyDescent="0.2"/>
    <row r="3795" customFormat="1" x14ac:dyDescent="0.2"/>
    <row r="3796" customFormat="1" x14ac:dyDescent="0.2"/>
    <row r="3797" customFormat="1" x14ac:dyDescent="0.2"/>
    <row r="3798" customFormat="1" x14ac:dyDescent="0.2"/>
    <row r="3799" customFormat="1" x14ac:dyDescent="0.2"/>
    <row r="3800" customFormat="1" x14ac:dyDescent="0.2"/>
    <row r="3801" customFormat="1" x14ac:dyDescent="0.2"/>
    <row r="3802" customFormat="1" x14ac:dyDescent="0.2"/>
    <row r="3803" customFormat="1" x14ac:dyDescent="0.2"/>
    <row r="3804" customFormat="1" x14ac:dyDescent="0.2"/>
    <row r="3805" customFormat="1" x14ac:dyDescent="0.2"/>
    <row r="3806" customFormat="1" x14ac:dyDescent="0.2"/>
    <row r="3807" customFormat="1" x14ac:dyDescent="0.2"/>
    <row r="3808" customFormat="1" x14ac:dyDescent="0.2"/>
    <row r="3809" customFormat="1" x14ac:dyDescent="0.2"/>
    <row r="3810" customFormat="1" x14ac:dyDescent="0.2"/>
    <row r="3811" customFormat="1" x14ac:dyDescent="0.2"/>
    <row r="3812" customFormat="1" x14ac:dyDescent="0.2"/>
    <row r="3813" customFormat="1" x14ac:dyDescent="0.2"/>
    <row r="3814" customFormat="1" x14ac:dyDescent="0.2"/>
    <row r="3815" customFormat="1" x14ac:dyDescent="0.2"/>
    <row r="3816" customFormat="1" x14ac:dyDescent="0.2"/>
    <row r="3817" customFormat="1" x14ac:dyDescent="0.2"/>
    <row r="3818" customFormat="1" x14ac:dyDescent="0.2"/>
    <row r="3819" customFormat="1" x14ac:dyDescent="0.2"/>
    <row r="3820" customFormat="1" x14ac:dyDescent="0.2"/>
    <row r="3821" customFormat="1" x14ac:dyDescent="0.2"/>
    <row r="3822" customFormat="1" x14ac:dyDescent="0.2"/>
    <row r="3823" customFormat="1" x14ac:dyDescent="0.2"/>
    <row r="3824" customFormat="1" x14ac:dyDescent="0.2"/>
    <row r="3825" customFormat="1" x14ac:dyDescent="0.2"/>
    <row r="3826" customFormat="1" x14ac:dyDescent="0.2"/>
    <row r="3827" customFormat="1" x14ac:dyDescent="0.2"/>
    <row r="3828" customFormat="1" x14ac:dyDescent="0.2"/>
    <row r="3829" customFormat="1" x14ac:dyDescent="0.2"/>
    <row r="3830" customFormat="1" x14ac:dyDescent="0.2"/>
    <row r="3831" customFormat="1" x14ac:dyDescent="0.2"/>
    <row r="3832" customFormat="1" x14ac:dyDescent="0.2"/>
    <row r="3833" customFormat="1" x14ac:dyDescent="0.2"/>
    <row r="3834" customFormat="1" x14ac:dyDescent="0.2"/>
    <row r="3835" customFormat="1" x14ac:dyDescent="0.2"/>
    <row r="3836" customFormat="1" x14ac:dyDescent="0.2"/>
    <row r="3837" customFormat="1" x14ac:dyDescent="0.2"/>
    <row r="3838" customFormat="1" x14ac:dyDescent="0.2"/>
    <row r="3839" customFormat="1" x14ac:dyDescent="0.2"/>
    <row r="3840" customFormat="1" x14ac:dyDescent="0.2"/>
    <row r="3841" customFormat="1" x14ac:dyDescent="0.2"/>
    <row r="3842" customFormat="1" x14ac:dyDescent="0.2"/>
    <row r="3843" customFormat="1" x14ac:dyDescent="0.2"/>
    <row r="3844" customFormat="1" x14ac:dyDescent="0.2"/>
    <row r="3845" customFormat="1" x14ac:dyDescent="0.2"/>
    <row r="3846" customFormat="1" x14ac:dyDescent="0.2"/>
    <row r="3847" customFormat="1" x14ac:dyDescent="0.2"/>
    <row r="3848" customFormat="1" x14ac:dyDescent="0.2"/>
    <row r="3849" customFormat="1" x14ac:dyDescent="0.2"/>
    <row r="3850" customFormat="1" x14ac:dyDescent="0.2"/>
    <row r="3851" customFormat="1" x14ac:dyDescent="0.2"/>
    <row r="3852" customFormat="1" x14ac:dyDescent="0.2"/>
    <row r="3853" customFormat="1" x14ac:dyDescent="0.2"/>
    <row r="3854" customFormat="1" x14ac:dyDescent="0.2"/>
    <row r="3855" customFormat="1" x14ac:dyDescent="0.2"/>
    <row r="3856" customFormat="1" x14ac:dyDescent="0.2"/>
    <row r="3857" customFormat="1" x14ac:dyDescent="0.2"/>
    <row r="3858" customFormat="1" x14ac:dyDescent="0.2"/>
    <row r="3859" customFormat="1" x14ac:dyDescent="0.2"/>
    <row r="3860" customFormat="1" x14ac:dyDescent="0.2"/>
    <row r="3861" customFormat="1" x14ac:dyDescent="0.2"/>
    <row r="3862" customFormat="1" x14ac:dyDescent="0.2"/>
    <row r="3863" customFormat="1" x14ac:dyDescent="0.2"/>
    <row r="3864" customFormat="1" x14ac:dyDescent="0.2"/>
    <row r="3865" customFormat="1" x14ac:dyDescent="0.2"/>
    <row r="3866" customFormat="1" x14ac:dyDescent="0.2"/>
    <row r="3867" customFormat="1" x14ac:dyDescent="0.2"/>
    <row r="3868" customFormat="1" x14ac:dyDescent="0.2"/>
    <row r="3869" customFormat="1" x14ac:dyDescent="0.2"/>
    <row r="3870" customFormat="1" x14ac:dyDescent="0.2"/>
    <row r="3871" customFormat="1" x14ac:dyDescent="0.2"/>
    <row r="3872" customFormat="1" x14ac:dyDescent="0.2"/>
    <row r="3873" customFormat="1" x14ac:dyDescent="0.2"/>
    <row r="3874" customFormat="1" x14ac:dyDescent="0.2"/>
    <row r="3875" customFormat="1" x14ac:dyDescent="0.2"/>
    <row r="3876" customFormat="1" x14ac:dyDescent="0.2"/>
    <row r="3877" customFormat="1" x14ac:dyDescent="0.2"/>
    <row r="3878" customFormat="1" x14ac:dyDescent="0.2"/>
    <row r="3879" customFormat="1" x14ac:dyDescent="0.2"/>
    <row r="3880" customFormat="1" x14ac:dyDescent="0.2"/>
    <row r="3881" customFormat="1" x14ac:dyDescent="0.2"/>
    <row r="3882" customFormat="1" x14ac:dyDescent="0.2"/>
    <row r="3883" customFormat="1" x14ac:dyDescent="0.2"/>
    <row r="3884" customFormat="1" x14ac:dyDescent="0.2"/>
    <row r="3885" customFormat="1" x14ac:dyDescent="0.2"/>
    <row r="3886" customFormat="1" x14ac:dyDescent="0.2"/>
    <row r="3887" customFormat="1" x14ac:dyDescent="0.2"/>
    <row r="3888" customFormat="1" x14ac:dyDescent="0.2"/>
    <row r="3889" customFormat="1" x14ac:dyDescent="0.2"/>
    <row r="3890" customFormat="1" x14ac:dyDescent="0.2"/>
    <row r="3891" customFormat="1" x14ac:dyDescent="0.2"/>
    <row r="3892" customFormat="1" x14ac:dyDescent="0.2"/>
    <row r="3893" customFormat="1" x14ac:dyDescent="0.2"/>
    <row r="3894" customFormat="1" x14ac:dyDescent="0.2"/>
    <row r="3895" customFormat="1" x14ac:dyDescent="0.2"/>
    <row r="3896" customFormat="1" x14ac:dyDescent="0.2"/>
    <row r="3897" customFormat="1" x14ac:dyDescent="0.2"/>
    <row r="3898" customFormat="1" x14ac:dyDescent="0.2"/>
    <row r="3899" customFormat="1" x14ac:dyDescent="0.2"/>
    <row r="3900" customFormat="1" x14ac:dyDescent="0.2"/>
    <row r="3901" customFormat="1" x14ac:dyDescent="0.2"/>
    <row r="3902" customFormat="1" x14ac:dyDescent="0.2"/>
    <row r="3903" customFormat="1" x14ac:dyDescent="0.2"/>
    <row r="3904" customFormat="1" x14ac:dyDescent="0.2"/>
    <row r="3905" customFormat="1" x14ac:dyDescent="0.2"/>
    <row r="3906" customFormat="1" x14ac:dyDescent="0.2"/>
    <row r="3907" customFormat="1" x14ac:dyDescent="0.2"/>
    <row r="3908" customFormat="1" x14ac:dyDescent="0.2"/>
    <row r="3909" customFormat="1" x14ac:dyDescent="0.2"/>
    <row r="3910" customFormat="1" x14ac:dyDescent="0.2"/>
    <row r="3911" customFormat="1" x14ac:dyDescent="0.2"/>
    <row r="3912" customFormat="1" x14ac:dyDescent="0.2"/>
    <row r="3913" customFormat="1" x14ac:dyDescent="0.2"/>
    <row r="3914" customFormat="1" x14ac:dyDescent="0.2"/>
    <row r="3915" customFormat="1" x14ac:dyDescent="0.2"/>
    <row r="3916" customFormat="1" x14ac:dyDescent="0.2"/>
    <row r="3917" customFormat="1" x14ac:dyDescent="0.2"/>
    <row r="3918" customFormat="1" x14ac:dyDescent="0.2"/>
    <row r="3919" customFormat="1" x14ac:dyDescent="0.2"/>
    <row r="3920" customFormat="1" x14ac:dyDescent="0.2"/>
    <row r="3921" customFormat="1" x14ac:dyDescent="0.2"/>
    <row r="3922" customFormat="1" x14ac:dyDescent="0.2"/>
    <row r="3923" customFormat="1" x14ac:dyDescent="0.2"/>
    <row r="3924" customFormat="1" x14ac:dyDescent="0.2"/>
    <row r="3925" customFormat="1" x14ac:dyDescent="0.2"/>
    <row r="3926" customFormat="1" x14ac:dyDescent="0.2"/>
    <row r="3927" customFormat="1" x14ac:dyDescent="0.2"/>
    <row r="3928" customFormat="1" x14ac:dyDescent="0.2"/>
    <row r="3929" customFormat="1" x14ac:dyDescent="0.2"/>
    <row r="3930" customFormat="1" x14ac:dyDescent="0.2"/>
    <row r="3931" customFormat="1" x14ac:dyDescent="0.2"/>
    <row r="3932" customFormat="1" x14ac:dyDescent="0.2"/>
    <row r="3933" customFormat="1" x14ac:dyDescent="0.2"/>
    <row r="3934" customFormat="1" x14ac:dyDescent="0.2"/>
    <row r="3935" customFormat="1" x14ac:dyDescent="0.2"/>
    <row r="3936" customFormat="1" x14ac:dyDescent="0.2"/>
    <row r="3937" customFormat="1" x14ac:dyDescent="0.2"/>
    <row r="3938" customFormat="1" x14ac:dyDescent="0.2"/>
    <row r="3939" customFormat="1" x14ac:dyDescent="0.2"/>
    <row r="3940" customFormat="1" x14ac:dyDescent="0.2"/>
    <row r="3941" customFormat="1" x14ac:dyDescent="0.2"/>
    <row r="3942" customFormat="1" x14ac:dyDescent="0.2"/>
    <row r="3943" customFormat="1" x14ac:dyDescent="0.2"/>
    <row r="3944" customFormat="1" x14ac:dyDescent="0.2"/>
    <row r="3945" customFormat="1" x14ac:dyDescent="0.2"/>
    <row r="3946" customFormat="1" x14ac:dyDescent="0.2"/>
    <row r="3947" customFormat="1" x14ac:dyDescent="0.2"/>
    <row r="3948" customFormat="1" x14ac:dyDescent="0.2"/>
    <row r="3949" customFormat="1" x14ac:dyDescent="0.2"/>
    <row r="3950" customFormat="1" x14ac:dyDescent="0.2"/>
    <row r="3951" customFormat="1" x14ac:dyDescent="0.2"/>
    <row r="3952" customFormat="1" x14ac:dyDescent="0.2"/>
    <row r="3953" customFormat="1" x14ac:dyDescent="0.2"/>
    <row r="3954" customFormat="1" x14ac:dyDescent="0.2"/>
    <row r="3955" customFormat="1" x14ac:dyDescent="0.2"/>
    <row r="3956" customFormat="1" x14ac:dyDescent="0.2"/>
    <row r="3957" customFormat="1" x14ac:dyDescent="0.2"/>
    <row r="3958" customFormat="1" x14ac:dyDescent="0.2"/>
    <row r="3959" customFormat="1" x14ac:dyDescent="0.2"/>
    <row r="3960" customFormat="1" x14ac:dyDescent="0.2"/>
    <row r="3961" customFormat="1" x14ac:dyDescent="0.2"/>
    <row r="3962" customFormat="1" x14ac:dyDescent="0.2"/>
    <row r="3963" customFormat="1" x14ac:dyDescent="0.2"/>
    <row r="3964" customFormat="1" x14ac:dyDescent="0.2"/>
    <row r="3965" customFormat="1" x14ac:dyDescent="0.2"/>
    <row r="3966" customFormat="1" x14ac:dyDescent="0.2"/>
    <row r="3967" customFormat="1" x14ac:dyDescent="0.2"/>
    <row r="3968" customFormat="1" x14ac:dyDescent="0.2"/>
    <row r="3969" customFormat="1" x14ac:dyDescent="0.2"/>
    <row r="3970" customFormat="1" x14ac:dyDescent="0.2"/>
    <row r="3971" customFormat="1" x14ac:dyDescent="0.2"/>
    <row r="3972" customFormat="1" x14ac:dyDescent="0.2"/>
    <row r="3973" customFormat="1" x14ac:dyDescent="0.2"/>
    <row r="3974" customFormat="1" x14ac:dyDescent="0.2"/>
    <row r="3975" customFormat="1" x14ac:dyDescent="0.2"/>
    <row r="3976" customFormat="1" x14ac:dyDescent="0.2"/>
    <row r="3977" customFormat="1" x14ac:dyDescent="0.2"/>
    <row r="3978" customFormat="1" x14ac:dyDescent="0.2"/>
    <row r="3979" customFormat="1" x14ac:dyDescent="0.2"/>
    <row r="3980" customFormat="1" x14ac:dyDescent="0.2"/>
    <row r="3981" customFormat="1" x14ac:dyDescent="0.2"/>
    <row r="3982" customFormat="1" x14ac:dyDescent="0.2"/>
    <row r="3983" customFormat="1" x14ac:dyDescent="0.2"/>
    <row r="3984" customFormat="1" x14ac:dyDescent="0.2"/>
    <row r="3985" customFormat="1" x14ac:dyDescent="0.2"/>
    <row r="3986" customFormat="1" x14ac:dyDescent="0.2"/>
    <row r="3987" customFormat="1" x14ac:dyDescent="0.2"/>
    <row r="3988" customFormat="1" x14ac:dyDescent="0.2"/>
    <row r="3989" customFormat="1" x14ac:dyDescent="0.2"/>
    <row r="3990" customFormat="1" x14ac:dyDescent="0.2"/>
    <row r="3991" customFormat="1" x14ac:dyDescent="0.2"/>
    <row r="3992" customFormat="1" x14ac:dyDescent="0.2"/>
    <row r="3993" customFormat="1" x14ac:dyDescent="0.2"/>
    <row r="3994" customFormat="1" x14ac:dyDescent="0.2"/>
    <row r="3995" customFormat="1" x14ac:dyDescent="0.2"/>
    <row r="3996" customFormat="1" x14ac:dyDescent="0.2"/>
    <row r="3997" customFormat="1" x14ac:dyDescent="0.2"/>
    <row r="3998" customFormat="1" x14ac:dyDescent="0.2"/>
    <row r="3999" customFormat="1" x14ac:dyDescent="0.2"/>
    <row r="4000" customFormat="1" x14ac:dyDescent="0.2"/>
    <row r="4001" customFormat="1" x14ac:dyDescent="0.2"/>
    <row r="4002" customFormat="1" x14ac:dyDescent="0.2"/>
    <row r="4003" customFormat="1" x14ac:dyDescent="0.2"/>
    <row r="4004" customFormat="1" x14ac:dyDescent="0.2"/>
    <row r="4005" customFormat="1" x14ac:dyDescent="0.2"/>
    <row r="4006" customFormat="1" x14ac:dyDescent="0.2"/>
    <row r="4007" customFormat="1" x14ac:dyDescent="0.2"/>
    <row r="4008" customFormat="1" x14ac:dyDescent="0.2"/>
    <row r="4009" customFormat="1" x14ac:dyDescent="0.2"/>
    <row r="4010" customFormat="1" x14ac:dyDescent="0.2"/>
    <row r="4011" customFormat="1" x14ac:dyDescent="0.2"/>
    <row r="4012" customFormat="1" x14ac:dyDescent="0.2"/>
    <row r="4013" customFormat="1" x14ac:dyDescent="0.2"/>
    <row r="4014" customFormat="1" x14ac:dyDescent="0.2"/>
    <row r="4015" customFormat="1" x14ac:dyDescent="0.2"/>
    <row r="4016" customFormat="1" x14ac:dyDescent="0.2"/>
    <row r="4017" customFormat="1" x14ac:dyDescent="0.2"/>
    <row r="4018" customFormat="1" x14ac:dyDescent="0.2"/>
    <row r="4019" customFormat="1" x14ac:dyDescent="0.2"/>
    <row r="4020" customFormat="1" x14ac:dyDescent="0.2"/>
    <row r="4021" customFormat="1" x14ac:dyDescent="0.2"/>
    <row r="4022" customFormat="1" x14ac:dyDescent="0.2"/>
    <row r="4023" customFormat="1" x14ac:dyDescent="0.2"/>
    <row r="4024" customFormat="1" x14ac:dyDescent="0.2"/>
    <row r="4025" customFormat="1" x14ac:dyDescent="0.2"/>
    <row r="4026" customFormat="1" x14ac:dyDescent="0.2"/>
    <row r="4027" customFormat="1" x14ac:dyDescent="0.2"/>
    <row r="4028" customFormat="1" x14ac:dyDescent="0.2"/>
    <row r="4029" customFormat="1" x14ac:dyDescent="0.2"/>
    <row r="4030" customFormat="1" x14ac:dyDescent="0.2"/>
    <row r="4031" customFormat="1" x14ac:dyDescent="0.2"/>
    <row r="4032" customFormat="1" x14ac:dyDescent="0.2"/>
    <row r="4033" customFormat="1" x14ac:dyDescent="0.2"/>
    <row r="4034" customFormat="1" x14ac:dyDescent="0.2"/>
    <row r="4035" customFormat="1" x14ac:dyDescent="0.2"/>
    <row r="4036" customFormat="1" x14ac:dyDescent="0.2"/>
    <row r="4037" customFormat="1" x14ac:dyDescent="0.2"/>
    <row r="4038" customFormat="1" x14ac:dyDescent="0.2"/>
    <row r="4039" customFormat="1" x14ac:dyDescent="0.2"/>
    <row r="4040" customFormat="1" x14ac:dyDescent="0.2"/>
    <row r="4041" customFormat="1" x14ac:dyDescent="0.2"/>
    <row r="4042" customFormat="1" x14ac:dyDescent="0.2"/>
    <row r="4043" customFormat="1" x14ac:dyDescent="0.2"/>
    <row r="4044" customFormat="1" x14ac:dyDescent="0.2"/>
    <row r="4045" customFormat="1" x14ac:dyDescent="0.2"/>
    <row r="4046" customFormat="1" x14ac:dyDescent="0.2"/>
    <row r="4047" customFormat="1" x14ac:dyDescent="0.2"/>
    <row r="4048" customFormat="1" x14ac:dyDescent="0.2"/>
    <row r="4049" customFormat="1" x14ac:dyDescent="0.2"/>
    <row r="4050" customFormat="1" x14ac:dyDescent="0.2"/>
    <row r="4051" customFormat="1" x14ac:dyDescent="0.2"/>
    <row r="4052" customFormat="1" x14ac:dyDescent="0.2"/>
    <row r="4053" customFormat="1" x14ac:dyDescent="0.2"/>
    <row r="4054" customFormat="1" x14ac:dyDescent="0.2"/>
    <row r="4055" customFormat="1" x14ac:dyDescent="0.2"/>
    <row r="4056" customFormat="1" x14ac:dyDescent="0.2"/>
    <row r="4057" customFormat="1" x14ac:dyDescent="0.2"/>
    <row r="4058" customFormat="1" x14ac:dyDescent="0.2"/>
    <row r="4059" customFormat="1" x14ac:dyDescent="0.2"/>
    <row r="4060" customFormat="1" x14ac:dyDescent="0.2"/>
    <row r="4061" customFormat="1" x14ac:dyDescent="0.2"/>
    <row r="4062" customFormat="1" x14ac:dyDescent="0.2"/>
    <row r="4063" customFormat="1" x14ac:dyDescent="0.2"/>
    <row r="4064" customFormat="1" x14ac:dyDescent="0.2"/>
    <row r="4065" customFormat="1" x14ac:dyDescent="0.2"/>
    <row r="4066" customFormat="1" x14ac:dyDescent="0.2"/>
    <row r="4067" customFormat="1" x14ac:dyDescent="0.2"/>
    <row r="4068" customFormat="1" x14ac:dyDescent="0.2"/>
    <row r="4069" customFormat="1" x14ac:dyDescent="0.2"/>
    <row r="4070" customFormat="1" x14ac:dyDescent="0.2"/>
    <row r="4071" customFormat="1" x14ac:dyDescent="0.2"/>
    <row r="4072" customFormat="1" x14ac:dyDescent="0.2"/>
    <row r="4073" customFormat="1" x14ac:dyDescent="0.2"/>
    <row r="4074" customFormat="1" x14ac:dyDescent="0.2"/>
    <row r="4075" customFormat="1" x14ac:dyDescent="0.2"/>
    <row r="4076" customFormat="1" x14ac:dyDescent="0.2"/>
    <row r="4077" customFormat="1" x14ac:dyDescent="0.2"/>
    <row r="4078" customFormat="1" x14ac:dyDescent="0.2"/>
    <row r="4079" customFormat="1" x14ac:dyDescent="0.2"/>
    <row r="4080" customFormat="1" x14ac:dyDescent="0.2"/>
    <row r="4081" customFormat="1" x14ac:dyDescent="0.2"/>
    <row r="4082" customFormat="1" x14ac:dyDescent="0.2"/>
    <row r="4083" customFormat="1" x14ac:dyDescent="0.2"/>
    <row r="4084" customFormat="1" x14ac:dyDescent="0.2"/>
    <row r="4085" customFormat="1" x14ac:dyDescent="0.2"/>
    <row r="4086" customFormat="1" x14ac:dyDescent="0.2"/>
    <row r="4087" customFormat="1" x14ac:dyDescent="0.2"/>
    <row r="4088" customFormat="1" x14ac:dyDescent="0.2"/>
    <row r="4089" customFormat="1" x14ac:dyDescent="0.2"/>
    <row r="4090" customFormat="1" x14ac:dyDescent="0.2"/>
    <row r="4091" customFormat="1" x14ac:dyDescent="0.2"/>
    <row r="4092" customFormat="1" x14ac:dyDescent="0.2"/>
    <row r="4093" customFormat="1" x14ac:dyDescent="0.2"/>
    <row r="4094" customFormat="1" x14ac:dyDescent="0.2"/>
    <row r="4095" customFormat="1" x14ac:dyDescent="0.2"/>
    <row r="4096" customFormat="1" x14ac:dyDescent="0.2"/>
    <row r="4097" customFormat="1" x14ac:dyDescent="0.2"/>
    <row r="4098" customFormat="1" x14ac:dyDescent="0.2"/>
    <row r="4099" customFormat="1" x14ac:dyDescent="0.2"/>
    <row r="4100" customFormat="1" x14ac:dyDescent="0.2"/>
    <row r="4101" customFormat="1" x14ac:dyDescent="0.2"/>
    <row r="4102" customFormat="1" x14ac:dyDescent="0.2"/>
    <row r="4103" customFormat="1" x14ac:dyDescent="0.2"/>
    <row r="4104" customFormat="1" x14ac:dyDescent="0.2"/>
    <row r="4105" customFormat="1" x14ac:dyDescent="0.2"/>
    <row r="4106" customFormat="1" x14ac:dyDescent="0.2"/>
    <row r="4107" customFormat="1" x14ac:dyDescent="0.2"/>
    <row r="4108" customFormat="1" x14ac:dyDescent="0.2"/>
    <row r="4109" customFormat="1" x14ac:dyDescent="0.2"/>
    <row r="4110" customFormat="1" x14ac:dyDescent="0.2"/>
    <row r="4111" customFormat="1" x14ac:dyDescent="0.2"/>
    <row r="4112" customFormat="1" x14ac:dyDescent="0.2"/>
    <row r="4113" customFormat="1" x14ac:dyDescent="0.2"/>
    <row r="4114" customFormat="1" x14ac:dyDescent="0.2"/>
    <row r="4115" customFormat="1" x14ac:dyDescent="0.2"/>
    <row r="4116" customFormat="1" x14ac:dyDescent="0.2"/>
    <row r="4117" customFormat="1" x14ac:dyDescent="0.2"/>
    <row r="4118" customFormat="1" x14ac:dyDescent="0.2"/>
    <row r="4119" customFormat="1" x14ac:dyDescent="0.2"/>
    <row r="4120" customFormat="1" x14ac:dyDescent="0.2"/>
    <row r="4121" customFormat="1" x14ac:dyDescent="0.2"/>
    <row r="4122" customFormat="1" x14ac:dyDescent="0.2"/>
    <row r="4123" customFormat="1" x14ac:dyDescent="0.2"/>
    <row r="4124" customFormat="1" x14ac:dyDescent="0.2"/>
    <row r="4125" customFormat="1" x14ac:dyDescent="0.2"/>
    <row r="4126" customFormat="1" x14ac:dyDescent="0.2"/>
    <row r="4127" customFormat="1" x14ac:dyDescent="0.2"/>
    <row r="4128" customFormat="1" x14ac:dyDescent="0.2"/>
    <row r="4129" customFormat="1" x14ac:dyDescent="0.2"/>
    <row r="4130" customFormat="1" x14ac:dyDescent="0.2"/>
    <row r="4131" customFormat="1" x14ac:dyDescent="0.2"/>
    <row r="4132" customFormat="1" x14ac:dyDescent="0.2"/>
    <row r="4133" customFormat="1" x14ac:dyDescent="0.2"/>
    <row r="4134" customFormat="1" x14ac:dyDescent="0.2"/>
    <row r="4135" customFormat="1" x14ac:dyDescent="0.2"/>
    <row r="4136" customFormat="1" x14ac:dyDescent="0.2"/>
    <row r="4137" customFormat="1" x14ac:dyDescent="0.2"/>
    <row r="4138" customFormat="1" x14ac:dyDescent="0.2"/>
    <row r="4139" customFormat="1" x14ac:dyDescent="0.2"/>
    <row r="4140" customFormat="1" x14ac:dyDescent="0.2"/>
    <row r="4141" customFormat="1" x14ac:dyDescent="0.2"/>
    <row r="4142" customFormat="1" x14ac:dyDescent="0.2"/>
    <row r="4143" customFormat="1" x14ac:dyDescent="0.2"/>
    <row r="4144" customFormat="1" x14ac:dyDescent="0.2"/>
    <row r="4145" customFormat="1" x14ac:dyDescent="0.2"/>
    <row r="4146" customFormat="1" x14ac:dyDescent="0.2"/>
    <row r="4147" customFormat="1" x14ac:dyDescent="0.2"/>
    <row r="4148" customFormat="1" x14ac:dyDescent="0.2"/>
    <row r="4149" customFormat="1" x14ac:dyDescent="0.2"/>
    <row r="4150" customFormat="1" x14ac:dyDescent="0.2"/>
    <row r="4151" customFormat="1" x14ac:dyDescent="0.2"/>
    <row r="4152" customFormat="1" x14ac:dyDescent="0.2"/>
    <row r="4153" customFormat="1" x14ac:dyDescent="0.2"/>
    <row r="4154" customFormat="1" x14ac:dyDescent="0.2"/>
    <row r="4155" customFormat="1" x14ac:dyDescent="0.2"/>
    <row r="4156" customFormat="1" x14ac:dyDescent="0.2"/>
    <row r="4157" customFormat="1" x14ac:dyDescent="0.2"/>
    <row r="4158" customFormat="1" x14ac:dyDescent="0.2"/>
    <row r="4159" customFormat="1" x14ac:dyDescent="0.2"/>
    <row r="4160" customFormat="1" x14ac:dyDescent="0.2"/>
    <row r="4161" customFormat="1" x14ac:dyDescent="0.2"/>
    <row r="4162" customFormat="1" x14ac:dyDescent="0.2"/>
    <row r="4163" customFormat="1" x14ac:dyDescent="0.2"/>
    <row r="4164" customFormat="1" x14ac:dyDescent="0.2"/>
    <row r="4165" customFormat="1" x14ac:dyDescent="0.2"/>
    <row r="4166" customFormat="1" x14ac:dyDescent="0.2"/>
    <row r="4167" customFormat="1" x14ac:dyDescent="0.2"/>
    <row r="4168" customFormat="1" x14ac:dyDescent="0.2"/>
    <row r="4169" customFormat="1" x14ac:dyDescent="0.2"/>
    <row r="4170" customFormat="1" x14ac:dyDescent="0.2"/>
    <row r="4171" customFormat="1" x14ac:dyDescent="0.2"/>
    <row r="4172" customFormat="1" x14ac:dyDescent="0.2"/>
    <row r="4173" customFormat="1" x14ac:dyDescent="0.2"/>
    <row r="4174" customFormat="1" x14ac:dyDescent="0.2"/>
    <row r="4175" customFormat="1" x14ac:dyDescent="0.2"/>
    <row r="4176" customFormat="1" x14ac:dyDescent="0.2"/>
    <row r="4177" customFormat="1" x14ac:dyDescent="0.2"/>
    <row r="4178" customFormat="1" x14ac:dyDescent="0.2"/>
    <row r="4179" customFormat="1" x14ac:dyDescent="0.2"/>
    <row r="4180" customFormat="1" x14ac:dyDescent="0.2"/>
    <row r="4181" customFormat="1" x14ac:dyDescent="0.2"/>
    <row r="4182" customFormat="1" x14ac:dyDescent="0.2"/>
    <row r="4183" customFormat="1" x14ac:dyDescent="0.2"/>
    <row r="4184" customFormat="1" x14ac:dyDescent="0.2"/>
    <row r="4185" customFormat="1" x14ac:dyDescent="0.2"/>
    <row r="4186" customFormat="1" x14ac:dyDescent="0.2"/>
    <row r="4187" customFormat="1" x14ac:dyDescent="0.2"/>
    <row r="4188" customFormat="1" x14ac:dyDescent="0.2"/>
    <row r="4189" customFormat="1" x14ac:dyDescent="0.2"/>
    <row r="4190" customFormat="1" x14ac:dyDescent="0.2"/>
    <row r="4191" customFormat="1" x14ac:dyDescent="0.2"/>
    <row r="4192" customFormat="1" x14ac:dyDescent="0.2"/>
    <row r="4193" customFormat="1" x14ac:dyDescent="0.2"/>
    <row r="4194" customFormat="1" x14ac:dyDescent="0.2"/>
    <row r="4195" customFormat="1" x14ac:dyDescent="0.2"/>
    <row r="4196" customFormat="1" x14ac:dyDescent="0.2"/>
    <row r="4197" customFormat="1" x14ac:dyDescent="0.2"/>
    <row r="4198" customFormat="1" x14ac:dyDescent="0.2"/>
    <row r="4199" customFormat="1" x14ac:dyDescent="0.2"/>
    <row r="4200" customFormat="1" x14ac:dyDescent="0.2"/>
    <row r="4201" customFormat="1" x14ac:dyDescent="0.2"/>
    <row r="4202" customFormat="1" x14ac:dyDescent="0.2"/>
    <row r="4203" customFormat="1" x14ac:dyDescent="0.2"/>
    <row r="4204" customFormat="1" x14ac:dyDescent="0.2"/>
    <row r="4205" customFormat="1" x14ac:dyDescent="0.2"/>
    <row r="4206" customFormat="1" x14ac:dyDescent="0.2"/>
    <row r="4207" customFormat="1" x14ac:dyDescent="0.2"/>
    <row r="4208" customFormat="1" x14ac:dyDescent="0.2"/>
    <row r="4209" customFormat="1" x14ac:dyDescent="0.2"/>
    <row r="4210" customFormat="1" x14ac:dyDescent="0.2"/>
    <row r="4211" customFormat="1" x14ac:dyDescent="0.2"/>
    <row r="4212" customFormat="1" x14ac:dyDescent="0.2"/>
    <row r="4213" customFormat="1" x14ac:dyDescent="0.2"/>
    <row r="4214" customFormat="1" x14ac:dyDescent="0.2"/>
    <row r="4215" customFormat="1" x14ac:dyDescent="0.2"/>
    <row r="4216" customFormat="1" x14ac:dyDescent="0.2"/>
    <row r="4217" customFormat="1" x14ac:dyDescent="0.2"/>
    <row r="4218" customFormat="1" x14ac:dyDescent="0.2"/>
    <row r="4219" customFormat="1" x14ac:dyDescent="0.2"/>
    <row r="4220" customFormat="1" x14ac:dyDescent="0.2"/>
    <row r="4221" customFormat="1" x14ac:dyDescent="0.2"/>
    <row r="4222" customFormat="1" x14ac:dyDescent="0.2"/>
    <row r="4223" customFormat="1" x14ac:dyDescent="0.2"/>
    <row r="4224" customFormat="1" x14ac:dyDescent="0.2"/>
    <row r="4225" customFormat="1" x14ac:dyDescent="0.2"/>
    <row r="4226" customFormat="1" x14ac:dyDescent="0.2"/>
    <row r="4227" customFormat="1" x14ac:dyDescent="0.2"/>
    <row r="4228" customFormat="1" x14ac:dyDescent="0.2"/>
    <row r="4229" customFormat="1" x14ac:dyDescent="0.2"/>
    <row r="4230" customFormat="1" x14ac:dyDescent="0.2"/>
    <row r="4231" customFormat="1" x14ac:dyDescent="0.2"/>
    <row r="4232" customFormat="1" x14ac:dyDescent="0.2"/>
    <row r="4233" customFormat="1" x14ac:dyDescent="0.2"/>
    <row r="4234" customFormat="1" x14ac:dyDescent="0.2"/>
    <row r="4235" customFormat="1" x14ac:dyDescent="0.2"/>
    <row r="4236" customFormat="1" x14ac:dyDescent="0.2"/>
    <row r="4237" customFormat="1" x14ac:dyDescent="0.2"/>
    <row r="4238" customFormat="1" x14ac:dyDescent="0.2"/>
    <row r="4239" customFormat="1" x14ac:dyDescent="0.2"/>
    <row r="4240" customFormat="1" x14ac:dyDescent="0.2"/>
    <row r="4241" customFormat="1" x14ac:dyDescent="0.2"/>
    <row r="4242" customFormat="1" x14ac:dyDescent="0.2"/>
    <row r="4243" customFormat="1" x14ac:dyDescent="0.2"/>
    <row r="4244" customFormat="1" x14ac:dyDescent="0.2"/>
    <row r="4245" customFormat="1" x14ac:dyDescent="0.2"/>
    <row r="4246" customFormat="1" x14ac:dyDescent="0.2"/>
    <row r="4247" customFormat="1" x14ac:dyDescent="0.2"/>
    <row r="4248" customFormat="1" x14ac:dyDescent="0.2"/>
    <row r="4249" customFormat="1" x14ac:dyDescent="0.2"/>
    <row r="4250" customFormat="1" x14ac:dyDescent="0.2"/>
    <row r="4251" customFormat="1" x14ac:dyDescent="0.2"/>
    <row r="4252" customFormat="1" x14ac:dyDescent="0.2"/>
    <row r="4253" customFormat="1" x14ac:dyDescent="0.2"/>
    <row r="4254" customFormat="1" x14ac:dyDescent="0.2"/>
    <row r="4255" customFormat="1" x14ac:dyDescent="0.2"/>
    <row r="4256" customFormat="1" x14ac:dyDescent="0.2"/>
    <row r="4257" customFormat="1" x14ac:dyDescent="0.2"/>
    <row r="4258" customFormat="1" x14ac:dyDescent="0.2"/>
    <row r="4259" customFormat="1" x14ac:dyDescent="0.2"/>
    <row r="4260" customFormat="1" x14ac:dyDescent="0.2"/>
    <row r="4261" customFormat="1" x14ac:dyDescent="0.2"/>
    <row r="4262" customFormat="1" x14ac:dyDescent="0.2"/>
    <row r="4263" customFormat="1" x14ac:dyDescent="0.2"/>
    <row r="4264" customFormat="1" x14ac:dyDescent="0.2"/>
    <row r="4265" customFormat="1" x14ac:dyDescent="0.2"/>
    <row r="4266" customFormat="1" x14ac:dyDescent="0.2"/>
    <row r="4267" customFormat="1" x14ac:dyDescent="0.2"/>
    <row r="4268" customFormat="1" x14ac:dyDescent="0.2"/>
    <row r="4269" customFormat="1" x14ac:dyDescent="0.2"/>
    <row r="4270" customFormat="1" x14ac:dyDescent="0.2"/>
    <row r="4271" customFormat="1" x14ac:dyDescent="0.2"/>
    <row r="4272" customFormat="1" x14ac:dyDescent="0.2"/>
    <row r="4273" customFormat="1" x14ac:dyDescent="0.2"/>
    <row r="4274" customFormat="1" x14ac:dyDescent="0.2"/>
    <row r="4275" customFormat="1" x14ac:dyDescent="0.2"/>
    <row r="4276" customFormat="1" x14ac:dyDescent="0.2"/>
    <row r="4277" customFormat="1" x14ac:dyDescent="0.2"/>
    <row r="4278" customFormat="1" x14ac:dyDescent="0.2"/>
    <row r="4279" customFormat="1" x14ac:dyDescent="0.2"/>
    <row r="4280" customFormat="1" x14ac:dyDescent="0.2"/>
    <row r="4281" customFormat="1" x14ac:dyDescent="0.2"/>
    <row r="4282" customFormat="1" x14ac:dyDescent="0.2"/>
    <row r="4283" customFormat="1" x14ac:dyDescent="0.2"/>
    <row r="4284" customFormat="1" x14ac:dyDescent="0.2"/>
    <row r="4285" customFormat="1" x14ac:dyDescent="0.2"/>
    <row r="4286" customFormat="1" x14ac:dyDescent="0.2"/>
    <row r="4287" customFormat="1" x14ac:dyDescent="0.2"/>
    <row r="4288" customFormat="1" x14ac:dyDescent="0.2"/>
    <row r="4289" customFormat="1" x14ac:dyDescent="0.2"/>
    <row r="4290" customFormat="1" x14ac:dyDescent="0.2"/>
    <row r="4291" customFormat="1" x14ac:dyDescent="0.2"/>
    <row r="4292" customFormat="1" x14ac:dyDescent="0.2"/>
    <row r="4293" customFormat="1" x14ac:dyDescent="0.2"/>
    <row r="4294" customFormat="1" x14ac:dyDescent="0.2"/>
    <row r="4295" customFormat="1" x14ac:dyDescent="0.2"/>
    <row r="4296" customFormat="1" x14ac:dyDescent="0.2"/>
    <row r="4297" customFormat="1" x14ac:dyDescent="0.2"/>
    <row r="4298" customFormat="1" x14ac:dyDescent="0.2"/>
    <row r="4299" customFormat="1" x14ac:dyDescent="0.2"/>
    <row r="4300" customFormat="1" x14ac:dyDescent="0.2"/>
    <row r="4301" customFormat="1" x14ac:dyDescent="0.2"/>
    <row r="4302" customFormat="1" x14ac:dyDescent="0.2"/>
    <row r="4303" customFormat="1" x14ac:dyDescent="0.2"/>
    <row r="4304" customFormat="1" x14ac:dyDescent="0.2"/>
    <row r="4305" customFormat="1" x14ac:dyDescent="0.2"/>
    <row r="4306" customFormat="1" x14ac:dyDescent="0.2"/>
    <row r="4307" customFormat="1" x14ac:dyDescent="0.2"/>
    <row r="4308" customFormat="1" x14ac:dyDescent="0.2"/>
    <row r="4309" customFormat="1" x14ac:dyDescent="0.2"/>
    <row r="4310" customFormat="1" x14ac:dyDescent="0.2"/>
    <row r="4311" customFormat="1" x14ac:dyDescent="0.2"/>
    <row r="4312" customFormat="1" x14ac:dyDescent="0.2"/>
    <row r="4313" customFormat="1" x14ac:dyDescent="0.2"/>
    <row r="4314" customFormat="1" x14ac:dyDescent="0.2"/>
    <row r="4315" customFormat="1" x14ac:dyDescent="0.2"/>
    <row r="4316" customFormat="1" x14ac:dyDescent="0.2"/>
    <row r="4317" customFormat="1" x14ac:dyDescent="0.2"/>
    <row r="4318" customFormat="1" x14ac:dyDescent="0.2"/>
    <row r="4319" customFormat="1" x14ac:dyDescent="0.2"/>
    <row r="4320" customFormat="1" x14ac:dyDescent="0.2"/>
    <row r="4321" customFormat="1" x14ac:dyDescent="0.2"/>
    <row r="4322" customFormat="1" x14ac:dyDescent="0.2"/>
    <row r="4323" customFormat="1" x14ac:dyDescent="0.2"/>
    <row r="4324" customFormat="1" x14ac:dyDescent="0.2"/>
    <row r="4325" customFormat="1" x14ac:dyDescent="0.2"/>
    <row r="4326" customFormat="1" x14ac:dyDescent="0.2"/>
    <row r="4327" customFormat="1" x14ac:dyDescent="0.2"/>
    <row r="4328" customFormat="1" x14ac:dyDescent="0.2"/>
    <row r="4329" customFormat="1" x14ac:dyDescent="0.2"/>
    <row r="4330" customFormat="1" x14ac:dyDescent="0.2"/>
    <row r="4331" customFormat="1" x14ac:dyDescent="0.2"/>
    <row r="4332" customFormat="1" x14ac:dyDescent="0.2"/>
    <row r="4333" customFormat="1" x14ac:dyDescent="0.2"/>
    <row r="4334" customFormat="1" x14ac:dyDescent="0.2"/>
    <row r="4335" customFormat="1" x14ac:dyDescent="0.2"/>
    <row r="4336" customFormat="1" x14ac:dyDescent="0.2"/>
    <row r="4337" customFormat="1" x14ac:dyDescent="0.2"/>
    <row r="4338" customFormat="1" x14ac:dyDescent="0.2"/>
    <row r="4339" customFormat="1" x14ac:dyDescent="0.2"/>
    <row r="4340" customFormat="1" x14ac:dyDescent="0.2"/>
    <row r="4341" customFormat="1" x14ac:dyDescent="0.2"/>
    <row r="4342" customFormat="1" x14ac:dyDescent="0.2"/>
    <row r="4343" customFormat="1" x14ac:dyDescent="0.2"/>
    <row r="4344" customFormat="1" x14ac:dyDescent="0.2"/>
    <row r="4345" customFormat="1" x14ac:dyDescent="0.2"/>
    <row r="4346" customFormat="1" x14ac:dyDescent="0.2"/>
    <row r="4347" customFormat="1" x14ac:dyDescent="0.2"/>
    <row r="4348" customFormat="1" x14ac:dyDescent="0.2"/>
    <row r="4349" customFormat="1" x14ac:dyDescent="0.2"/>
    <row r="4350" customFormat="1" x14ac:dyDescent="0.2"/>
    <row r="4351" customFormat="1" x14ac:dyDescent="0.2"/>
    <row r="4352" customFormat="1" x14ac:dyDescent="0.2"/>
    <row r="4353" customFormat="1" x14ac:dyDescent="0.2"/>
    <row r="4354" customFormat="1" x14ac:dyDescent="0.2"/>
    <row r="4355" customFormat="1" x14ac:dyDescent="0.2"/>
    <row r="4356" customFormat="1" x14ac:dyDescent="0.2"/>
    <row r="4357" customFormat="1" x14ac:dyDescent="0.2"/>
    <row r="4358" customFormat="1" x14ac:dyDescent="0.2"/>
    <row r="4359" customFormat="1" x14ac:dyDescent="0.2"/>
    <row r="4360" customFormat="1" x14ac:dyDescent="0.2"/>
    <row r="4361" customFormat="1" x14ac:dyDescent="0.2"/>
    <row r="4362" customFormat="1" x14ac:dyDescent="0.2"/>
    <row r="4363" customFormat="1" x14ac:dyDescent="0.2"/>
    <row r="4364" customFormat="1" x14ac:dyDescent="0.2"/>
    <row r="4365" customFormat="1" x14ac:dyDescent="0.2"/>
    <row r="4366" customFormat="1" x14ac:dyDescent="0.2"/>
    <row r="4367" customFormat="1" x14ac:dyDescent="0.2"/>
    <row r="4368" customFormat="1" x14ac:dyDescent="0.2"/>
    <row r="4369" customFormat="1" x14ac:dyDescent="0.2"/>
    <row r="4370" customFormat="1" x14ac:dyDescent="0.2"/>
    <row r="4371" customFormat="1" x14ac:dyDescent="0.2"/>
    <row r="4372" customFormat="1" x14ac:dyDescent="0.2"/>
    <row r="4373" customFormat="1" x14ac:dyDescent="0.2"/>
    <row r="4374" customFormat="1" x14ac:dyDescent="0.2"/>
    <row r="4375" customFormat="1" x14ac:dyDescent="0.2"/>
    <row r="4376" customFormat="1" x14ac:dyDescent="0.2"/>
    <row r="4377" customFormat="1" x14ac:dyDescent="0.2"/>
    <row r="4378" customFormat="1" x14ac:dyDescent="0.2"/>
    <row r="4379" customFormat="1" x14ac:dyDescent="0.2"/>
    <row r="4380" customFormat="1" x14ac:dyDescent="0.2"/>
    <row r="4381" customFormat="1" x14ac:dyDescent="0.2"/>
    <row r="4382" customFormat="1" x14ac:dyDescent="0.2"/>
    <row r="4383" customFormat="1" x14ac:dyDescent="0.2"/>
    <row r="4384" customFormat="1" x14ac:dyDescent="0.2"/>
    <row r="4385" customFormat="1" x14ac:dyDescent="0.2"/>
    <row r="4386" customFormat="1" x14ac:dyDescent="0.2"/>
    <row r="4387" customFormat="1" x14ac:dyDescent="0.2"/>
    <row r="4388" customFormat="1" x14ac:dyDescent="0.2"/>
    <row r="4389" customFormat="1" x14ac:dyDescent="0.2"/>
    <row r="4390" customFormat="1" x14ac:dyDescent="0.2"/>
    <row r="4391" customFormat="1" x14ac:dyDescent="0.2"/>
    <row r="4392" customFormat="1" x14ac:dyDescent="0.2"/>
    <row r="4393" customFormat="1" x14ac:dyDescent="0.2"/>
    <row r="4394" customFormat="1" x14ac:dyDescent="0.2"/>
    <row r="4395" customFormat="1" x14ac:dyDescent="0.2"/>
    <row r="4396" customFormat="1" x14ac:dyDescent="0.2"/>
    <row r="4397" customFormat="1" x14ac:dyDescent="0.2"/>
    <row r="4398" customFormat="1" x14ac:dyDescent="0.2"/>
    <row r="4399" customFormat="1" x14ac:dyDescent="0.2"/>
    <row r="4400" customFormat="1" x14ac:dyDescent="0.2"/>
    <row r="4401" customFormat="1" x14ac:dyDescent="0.2"/>
    <row r="4402" customFormat="1" x14ac:dyDescent="0.2"/>
    <row r="4403" customFormat="1" x14ac:dyDescent="0.2"/>
    <row r="4404" customFormat="1" x14ac:dyDescent="0.2"/>
    <row r="4405" customFormat="1" x14ac:dyDescent="0.2"/>
    <row r="4406" customFormat="1" x14ac:dyDescent="0.2"/>
    <row r="4407" customFormat="1" x14ac:dyDescent="0.2"/>
    <row r="4408" customFormat="1" x14ac:dyDescent="0.2"/>
    <row r="4409" customFormat="1" x14ac:dyDescent="0.2"/>
    <row r="4410" customFormat="1" x14ac:dyDescent="0.2"/>
    <row r="4411" customFormat="1" x14ac:dyDescent="0.2"/>
    <row r="4412" customFormat="1" x14ac:dyDescent="0.2"/>
    <row r="4413" customFormat="1" x14ac:dyDescent="0.2"/>
    <row r="4414" customFormat="1" x14ac:dyDescent="0.2"/>
    <row r="4415" customFormat="1" x14ac:dyDescent="0.2"/>
    <row r="4416" customFormat="1" x14ac:dyDescent="0.2"/>
    <row r="4417" customFormat="1" x14ac:dyDescent="0.2"/>
    <row r="4418" customFormat="1" x14ac:dyDescent="0.2"/>
    <row r="4419" customFormat="1" x14ac:dyDescent="0.2"/>
    <row r="4420" customFormat="1" x14ac:dyDescent="0.2"/>
    <row r="4421" customFormat="1" x14ac:dyDescent="0.2"/>
    <row r="4422" customFormat="1" x14ac:dyDescent="0.2"/>
    <row r="4423" customFormat="1" x14ac:dyDescent="0.2"/>
    <row r="4424" customFormat="1" x14ac:dyDescent="0.2"/>
    <row r="4425" customFormat="1" x14ac:dyDescent="0.2"/>
    <row r="4426" customFormat="1" x14ac:dyDescent="0.2"/>
    <row r="4427" customFormat="1" x14ac:dyDescent="0.2"/>
    <row r="4428" customFormat="1" x14ac:dyDescent="0.2"/>
    <row r="4429" customFormat="1" x14ac:dyDescent="0.2"/>
    <row r="4430" customFormat="1" x14ac:dyDescent="0.2"/>
    <row r="4431" customFormat="1" x14ac:dyDescent="0.2"/>
    <row r="4432" customFormat="1" x14ac:dyDescent="0.2"/>
    <row r="4433" customFormat="1" x14ac:dyDescent="0.2"/>
    <row r="4434" customFormat="1" x14ac:dyDescent="0.2"/>
    <row r="4435" customFormat="1" x14ac:dyDescent="0.2"/>
    <row r="4436" customFormat="1" x14ac:dyDescent="0.2"/>
    <row r="4437" customFormat="1" x14ac:dyDescent="0.2"/>
    <row r="4438" customFormat="1" x14ac:dyDescent="0.2"/>
    <row r="4439" customFormat="1" x14ac:dyDescent="0.2"/>
    <row r="4440" customFormat="1" x14ac:dyDescent="0.2"/>
    <row r="4441" customFormat="1" x14ac:dyDescent="0.2"/>
    <row r="4442" customFormat="1" x14ac:dyDescent="0.2"/>
    <row r="4443" customFormat="1" x14ac:dyDescent="0.2"/>
    <row r="4444" customFormat="1" x14ac:dyDescent="0.2"/>
    <row r="4445" customFormat="1" x14ac:dyDescent="0.2"/>
    <row r="4446" customFormat="1" x14ac:dyDescent="0.2"/>
    <row r="4447" customFormat="1" x14ac:dyDescent="0.2"/>
    <row r="4448" customFormat="1" x14ac:dyDescent="0.2"/>
    <row r="4449" customFormat="1" x14ac:dyDescent="0.2"/>
    <row r="4450" customFormat="1" x14ac:dyDescent="0.2"/>
    <row r="4451" customFormat="1" x14ac:dyDescent="0.2"/>
    <row r="4452" customFormat="1" x14ac:dyDescent="0.2"/>
    <row r="4453" customFormat="1" x14ac:dyDescent="0.2"/>
    <row r="4454" customFormat="1" x14ac:dyDescent="0.2"/>
    <row r="4455" customFormat="1" x14ac:dyDescent="0.2"/>
    <row r="4456" customFormat="1" x14ac:dyDescent="0.2"/>
    <row r="4457" customFormat="1" x14ac:dyDescent="0.2"/>
    <row r="4458" customFormat="1" x14ac:dyDescent="0.2"/>
    <row r="4459" customFormat="1" x14ac:dyDescent="0.2"/>
    <row r="4460" customFormat="1" x14ac:dyDescent="0.2"/>
    <row r="4461" customFormat="1" x14ac:dyDescent="0.2"/>
    <row r="4462" customFormat="1" x14ac:dyDescent="0.2"/>
    <row r="4463" customFormat="1" x14ac:dyDescent="0.2"/>
    <row r="4464" customFormat="1" x14ac:dyDescent="0.2"/>
    <row r="4465" customFormat="1" x14ac:dyDescent="0.2"/>
    <row r="4466" customFormat="1" x14ac:dyDescent="0.2"/>
    <row r="4467" customFormat="1" x14ac:dyDescent="0.2"/>
    <row r="4468" customFormat="1" x14ac:dyDescent="0.2"/>
    <row r="4469" customFormat="1" x14ac:dyDescent="0.2"/>
    <row r="4470" customFormat="1" x14ac:dyDescent="0.2"/>
    <row r="4471" customFormat="1" x14ac:dyDescent="0.2"/>
    <row r="4472" customFormat="1" x14ac:dyDescent="0.2"/>
    <row r="4473" customFormat="1" x14ac:dyDescent="0.2"/>
    <row r="4474" customFormat="1" x14ac:dyDescent="0.2"/>
    <row r="4475" customFormat="1" x14ac:dyDescent="0.2"/>
    <row r="4476" customFormat="1" x14ac:dyDescent="0.2"/>
    <row r="4477" customFormat="1" x14ac:dyDescent="0.2"/>
    <row r="4478" customFormat="1" x14ac:dyDescent="0.2"/>
    <row r="4479" customFormat="1" x14ac:dyDescent="0.2"/>
    <row r="4480" customFormat="1" x14ac:dyDescent="0.2"/>
    <row r="4481" customFormat="1" x14ac:dyDescent="0.2"/>
    <row r="4482" customFormat="1" x14ac:dyDescent="0.2"/>
    <row r="4483" customFormat="1" x14ac:dyDescent="0.2"/>
    <row r="4484" customFormat="1" x14ac:dyDescent="0.2"/>
    <row r="4485" customFormat="1" x14ac:dyDescent="0.2"/>
    <row r="4486" customFormat="1" x14ac:dyDescent="0.2"/>
    <row r="4487" customFormat="1" x14ac:dyDescent="0.2"/>
    <row r="4488" customFormat="1" x14ac:dyDescent="0.2"/>
    <row r="4489" customFormat="1" x14ac:dyDescent="0.2"/>
    <row r="4490" customFormat="1" x14ac:dyDescent="0.2"/>
    <row r="4491" customFormat="1" x14ac:dyDescent="0.2"/>
    <row r="4492" customFormat="1" x14ac:dyDescent="0.2"/>
    <row r="4493" customFormat="1" x14ac:dyDescent="0.2"/>
    <row r="4494" customFormat="1" x14ac:dyDescent="0.2"/>
    <row r="4495" customFormat="1" x14ac:dyDescent="0.2"/>
    <row r="4496" customFormat="1" x14ac:dyDescent="0.2"/>
    <row r="4497" customFormat="1" x14ac:dyDescent="0.2"/>
    <row r="4498" customFormat="1" x14ac:dyDescent="0.2"/>
    <row r="4499" customFormat="1" x14ac:dyDescent="0.2"/>
    <row r="4500" customFormat="1" x14ac:dyDescent="0.2"/>
    <row r="4501" customFormat="1" x14ac:dyDescent="0.2"/>
    <row r="4502" customFormat="1" x14ac:dyDescent="0.2"/>
    <row r="4503" customFormat="1" x14ac:dyDescent="0.2"/>
    <row r="4504" customFormat="1" x14ac:dyDescent="0.2"/>
    <row r="4505" customFormat="1" x14ac:dyDescent="0.2"/>
    <row r="4506" customFormat="1" x14ac:dyDescent="0.2"/>
    <row r="4507" customFormat="1" x14ac:dyDescent="0.2"/>
    <row r="4508" customFormat="1" x14ac:dyDescent="0.2"/>
    <row r="4509" customFormat="1" x14ac:dyDescent="0.2"/>
    <row r="4510" customFormat="1" x14ac:dyDescent="0.2"/>
    <row r="4511" customFormat="1" x14ac:dyDescent="0.2"/>
    <row r="4512" customFormat="1" x14ac:dyDescent="0.2"/>
    <row r="4513" customFormat="1" x14ac:dyDescent="0.2"/>
    <row r="4514" customFormat="1" x14ac:dyDescent="0.2"/>
    <row r="4515" customFormat="1" x14ac:dyDescent="0.2"/>
    <row r="4516" customFormat="1" x14ac:dyDescent="0.2"/>
    <row r="4517" customFormat="1" x14ac:dyDescent="0.2"/>
    <row r="4518" customFormat="1" x14ac:dyDescent="0.2"/>
    <row r="4519" customFormat="1" x14ac:dyDescent="0.2"/>
    <row r="4520" customFormat="1" x14ac:dyDescent="0.2"/>
    <row r="4521" customFormat="1" x14ac:dyDescent="0.2"/>
    <row r="4522" customFormat="1" x14ac:dyDescent="0.2"/>
    <row r="4523" customFormat="1" x14ac:dyDescent="0.2"/>
    <row r="4524" customFormat="1" x14ac:dyDescent="0.2"/>
    <row r="4525" customFormat="1" x14ac:dyDescent="0.2"/>
    <row r="4526" customFormat="1" x14ac:dyDescent="0.2"/>
    <row r="4527" customFormat="1" x14ac:dyDescent="0.2"/>
    <row r="4528" customFormat="1" x14ac:dyDescent="0.2"/>
    <row r="4529" customFormat="1" x14ac:dyDescent="0.2"/>
    <row r="4530" customFormat="1" x14ac:dyDescent="0.2"/>
    <row r="4531" customFormat="1" x14ac:dyDescent="0.2"/>
    <row r="4532" customFormat="1" x14ac:dyDescent="0.2"/>
    <row r="4533" customFormat="1" x14ac:dyDescent="0.2"/>
    <row r="4534" customFormat="1" x14ac:dyDescent="0.2"/>
    <row r="4535" customFormat="1" x14ac:dyDescent="0.2"/>
    <row r="4536" customFormat="1" x14ac:dyDescent="0.2"/>
    <row r="4537" customFormat="1" x14ac:dyDescent="0.2"/>
    <row r="4538" customFormat="1" x14ac:dyDescent="0.2"/>
    <row r="4539" customFormat="1" x14ac:dyDescent="0.2"/>
    <row r="4540" customFormat="1" x14ac:dyDescent="0.2"/>
    <row r="4541" customFormat="1" x14ac:dyDescent="0.2"/>
    <row r="4542" customFormat="1" x14ac:dyDescent="0.2"/>
    <row r="4543" customFormat="1" x14ac:dyDescent="0.2"/>
    <row r="4544" customFormat="1" x14ac:dyDescent="0.2"/>
    <row r="4545" customFormat="1" x14ac:dyDescent="0.2"/>
    <row r="4546" customFormat="1" x14ac:dyDescent="0.2"/>
    <row r="4547" customFormat="1" x14ac:dyDescent="0.2"/>
    <row r="4548" customFormat="1" x14ac:dyDescent="0.2"/>
    <row r="4549" customFormat="1" x14ac:dyDescent="0.2"/>
    <row r="4550" customFormat="1" x14ac:dyDescent="0.2"/>
    <row r="4551" customFormat="1" x14ac:dyDescent="0.2"/>
    <row r="4552" customFormat="1" x14ac:dyDescent="0.2"/>
    <row r="4553" customFormat="1" x14ac:dyDescent="0.2"/>
    <row r="4554" customFormat="1" x14ac:dyDescent="0.2"/>
    <row r="4555" customFormat="1" x14ac:dyDescent="0.2"/>
    <row r="4556" customFormat="1" x14ac:dyDescent="0.2"/>
    <row r="4557" customFormat="1" x14ac:dyDescent="0.2"/>
    <row r="4558" customFormat="1" x14ac:dyDescent="0.2"/>
    <row r="4559" customFormat="1" x14ac:dyDescent="0.2"/>
    <row r="4560" customFormat="1" x14ac:dyDescent="0.2"/>
    <row r="4561" customFormat="1" x14ac:dyDescent="0.2"/>
    <row r="4562" customFormat="1" x14ac:dyDescent="0.2"/>
    <row r="4563" customFormat="1" x14ac:dyDescent="0.2"/>
    <row r="4564" customFormat="1" x14ac:dyDescent="0.2"/>
    <row r="4565" customFormat="1" x14ac:dyDescent="0.2"/>
    <row r="4566" customFormat="1" x14ac:dyDescent="0.2"/>
    <row r="4567" customFormat="1" x14ac:dyDescent="0.2"/>
    <row r="4568" customFormat="1" x14ac:dyDescent="0.2"/>
    <row r="4569" customFormat="1" x14ac:dyDescent="0.2"/>
    <row r="4570" customFormat="1" x14ac:dyDescent="0.2"/>
    <row r="4571" customFormat="1" x14ac:dyDescent="0.2"/>
    <row r="4572" customFormat="1" x14ac:dyDescent="0.2"/>
    <row r="4573" customFormat="1" x14ac:dyDescent="0.2"/>
    <row r="4574" customFormat="1" x14ac:dyDescent="0.2"/>
    <row r="4575" customFormat="1" x14ac:dyDescent="0.2"/>
    <row r="4576" customFormat="1" x14ac:dyDescent="0.2"/>
    <row r="4577" customFormat="1" x14ac:dyDescent="0.2"/>
    <row r="4578" customFormat="1" x14ac:dyDescent="0.2"/>
    <row r="4579" customFormat="1" x14ac:dyDescent="0.2"/>
    <row r="4580" customFormat="1" x14ac:dyDescent="0.2"/>
    <row r="4581" customFormat="1" x14ac:dyDescent="0.2"/>
    <row r="4582" customFormat="1" x14ac:dyDescent="0.2"/>
    <row r="4583" customFormat="1" x14ac:dyDescent="0.2"/>
    <row r="4584" customFormat="1" x14ac:dyDescent="0.2"/>
    <row r="4585" customFormat="1" x14ac:dyDescent="0.2"/>
    <row r="4586" customFormat="1" x14ac:dyDescent="0.2"/>
    <row r="4587" customFormat="1" x14ac:dyDescent="0.2"/>
    <row r="4588" customFormat="1" x14ac:dyDescent="0.2"/>
    <row r="4589" customFormat="1" x14ac:dyDescent="0.2"/>
    <row r="4590" customFormat="1" x14ac:dyDescent="0.2"/>
    <row r="4591" customFormat="1" x14ac:dyDescent="0.2"/>
    <row r="4592" customFormat="1" x14ac:dyDescent="0.2"/>
    <row r="4593" customFormat="1" x14ac:dyDescent="0.2"/>
    <row r="4594" customFormat="1" x14ac:dyDescent="0.2"/>
    <row r="4595" customFormat="1" x14ac:dyDescent="0.2"/>
    <row r="4596" customFormat="1" x14ac:dyDescent="0.2"/>
    <row r="4597" customFormat="1" x14ac:dyDescent="0.2"/>
    <row r="4598" customFormat="1" x14ac:dyDescent="0.2"/>
    <row r="4599" customFormat="1" x14ac:dyDescent="0.2"/>
    <row r="4600" customFormat="1" x14ac:dyDescent="0.2"/>
    <row r="4601" customFormat="1" x14ac:dyDescent="0.2"/>
    <row r="4602" customFormat="1" x14ac:dyDescent="0.2"/>
    <row r="4603" customFormat="1" x14ac:dyDescent="0.2"/>
    <row r="4604" customFormat="1" x14ac:dyDescent="0.2"/>
    <row r="4605" customFormat="1" x14ac:dyDescent="0.2"/>
    <row r="4606" customFormat="1" x14ac:dyDescent="0.2"/>
    <row r="4607" customFormat="1" x14ac:dyDescent="0.2"/>
    <row r="4608" customFormat="1" x14ac:dyDescent="0.2"/>
    <row r="4609" customFormat="1" x14ac:dyDescent="0.2"/>
    <row r="4610" customFormat="1" x14ac:dyDescent="0.2"/>
    <row r="4611" customFormat="1" x14ac:dyDescent="0.2"/>
    <row r="4612" customFormat="1" x14ac:dyDescent="0.2"/>
    <row r="4613" customFormat="1" x14ac:dyDescent="0.2"/>
    <row r="4614" customFormat="1" x14ac:dyDescent="0.2"/>
    <row r="4615" customFormat="1" x14ac:dyDescent="0.2"/>
    <row r="4616" customFormat="1" x14ac:dyDescent="0.2"/>
    <row r="4617" customFormat="1" x14ac:dyDescent="0.2"/>
    <row r="4618" customFormat="1" x14ac:dyDescent="0.2"/>
    <row r="4619" customFormat="1" x14ac:dyDescent="0.2"/>
    <row r="4620" customFormat="1" x14ac:dyDescent="0.2"/>
    <row r="4621" customFormat="1" x14ac:dyDescent="0.2"/>
    <row r="4622" customFormat="1" x14ac:dyDescent="0.2"/>
    <row r="4623" customFormat="1" x14ac:dyDescent="0.2"/>
    <row r="4624" customFormat="1" x14ac:dyDescent="0.2"/>
    <row r="4625" customFormat="1" x14ac:dyDescent="0.2"/>
    <row r="4626" customFormat="1" x14ac:dyDescent="0.2"/>
    <row r="4627" customFormat="1" x14ac:dyDescent="0.2"/>
    <row r="4628" customFormat="1" x14ac:dyDescent="0.2"/>
    <row r="4629" customFormat="1" x14ac:dyDescent="0.2"/>
    <row r="4630" customFormat="1" x14ac:dyDescent="0.2"/>
    <row r="4631" customFormat="1" x14ac:dyDescent="0.2"/>
    <row r="4632" customFormat="1" x14ac:dyDescent="0.2"/>
    <row r="4633" customFormat="1" x14ac:dyDescent="0.2"/>
    <row r="4634" customFormat="1" x14ac:dyDescent="0.2"/>
    <row r="4635" customFormat="1" x14ac:dyDescent="0.2"/>
    <row r="4636" customFormat="1" x14ac:dyDescent="0.2"/>
    <row r="4637" customFormat="1" x14ac:dyDescent="0.2"/>
    <row r="4638" customFormat="1" x14ac:dyDescent="0.2"/>
    <row r="4639" customFormat="1" x14ac:dyDescent="0.2"/>
    <row r="4640" customFormat="1" x14ac:dyDescent="0.2"/>
    <row r="4641" customFormat="1" x14ac:dyDescent="0.2"/>
    <row r="4642" customFormat="1" x14ac:dyDescent="0.2"/>
    <row r="4643" customFormat="1" x14ac:dyDescent="0.2"/>
    <row r="4644" customFormat="1" x14ac:dyDescent="0.2"/>
    <row r="4645" customFormat="1" x14ac:dyDescent="0.2"/>
    <row r="4646" customFormat="1" x14ac:dyDescent="0.2"/>
    <row r="4647" customFormat="1" x14ac:dyDescent="0.2"/>
    <row r="4648" customFormat="1" x14ac:dyDescent="0.2"/>
    <row r="4649" customFormat="1" x14ac:dyDescent="0.2"/>
    <row r="4650" customFormat="1" x14ac:dyDescent="0.2"/>
    <row r="4651" customFormat="1" x14ac:dyDescent="0.2"/>
    <row r="4652" customFormat="1" x14ac:dyDescent="0.2"/>
    <row r="4653" customFormat="1" x14ac:dyDescent="0.2"/>
    <row r="4654" customFormat="1" x14ac:dyDescent="0.2"/>
    <row r="4655" customFormat="1" x14ac:dyDescent="0.2"/>
    <row r="4656" customFormat="1" x14ac:dyDescent="0.2"/>
    <row r="4657" customFormat="1" x14ac:dyDescent="0.2"/>
    <row r="4658" customFormat="1" x14ac:dyDescent="0.2"/>
    <row r="4659" customFormat="1" x14ac:dyDescent="0.2"/>
    <row r="4660" customFormat="1" x14ac:dyDescent="0.2"/>
    <row r="4661" customFormat="1" x14ac:dyDescent="0.2"/>
    <row r="4662" customFormat="1" x14ac:dyDescent="0.2"/>
    <row r="4663" customFormat="1" x14ac:dyDescent="0.2"/>
    <row r="4664" customFormat="1" x14ac:dyDescent="0.2"/>
    <row r="4665" customFormat="1" x14ac:dyDescent="0.2"/>
    <row r="4666" customFormat="1" x14ac:dyDescent="0.2"/>
    <row r="4667" customFormat="1" x14ac:dyDescent="0.2"/>
    <row r="4668" customFormat="1" x14ac:dyDescent="0.2"/>
    <row r="4669" customFormat="1" x14ac:dyDescent="0.2"/>
    <row r="4670" customFormat="1" x14ac:dyDescent="0.2"/>
    <row r="4671" customFormat="1" x14ac:dyDescent="0.2"/>
    <row r="4672" customFormat="1" x14ac:dyDescent="0.2"/>
    <row r="4673" customFormat="1" x14ac:dyDescent="0.2"/>
    <row r="4674" customFormat="1" x14ac:dyDescent="0.2"/>
    <row r="4675" customFormat="1" x14ac:dyDescent="0.2"/>
    <row r="4676" customFormat="1" x14ac:dyDescent="0.2"/>
    <row r="4677" customFormat="1" x14ac:dyDescent="0.2"/>
    <row r="4678" customFormat="1" x14ac:dyDescent="0.2"/>
    <row r="4679" customFormat="1" x14ac:dyDescent="0.2"/>
    <row r="4680" customFormat="1" x14ac:dyDescent="0.2"/>
    <row r="4681" customFormat="1" x14ac:dyDescent="0.2"/>
    <row r="4682" customFormat="1" x14ac:dyDescent="0.2"/>
    <row r="4683" customFormat="1" x14ac:dyDescent="0.2"/>
    <row r="4684" customFormat="1" x14ac:dyDescent="0.2"/>
    <row r="4685" customFormat="1" x14ac:dyDescent="0.2"/>
    <row r="4686" customFormat="1" x14ac:dyDescent="0.2"/>
    <row r="4687" customFormat="1" x14ac:dyDescent="0.2"/>
    <row r="4688" customFormat="1" x14ac:dyDescent="0.2"/>
    <row r="4689" customFormat="1" x14ac:dyDescent="0.2"/>
    <row r="4690" customFormat="1" x14ac:dyDescent="0.2"/>
    <row r="4691" customFormat="1" x14ac:dyDescent="0.2"/>
    <row r="4692" customFormat="1" x14ac:dyDescent="0.2"/>
    <row r="4693" customFormat="1" x14ac:dyDescent="0.2"/>
    <row r="4694" customFormat="1" x14ac:dyDescent="0.2"/>
    <row r="4695" customFormat="1" x14ac:dyDescent="0.2"/>
    <row r="4696" customFormat="1" x14ac:dyDescent="0.2"/>
    <row r="4697" customFormat="1" x14ac:dyDescent="0.2"/>
    <row r="4698" customFormat="1" x14ac:dyDescent="0.2"/>
    <row r="4699" customFormat="1" x14ac:dyDescent="0.2"/>
    <row r="4700" customFormat="1" x14ac:dyDescent="0.2"/>
    <row r="4701" customFormat="1" x14ac:dyDescent="0.2"/>
    <row r="4702" customFormat="1" x14ac:dyDescent="0.2"/>
    <row r="4703" customFormat="1" x14ac:dyDescent="0.2"/>
    <row r="4704" customFormat="1" x14ac:dyDescent="0.2"/>
    <row r="4705" customFormat="1" x14ac:dyDescent="0.2"/>
    <row r="4706" customFormat="1" x14ac:dyDescent="0.2"/>
    <row r="4707" customFormat="1" x14ac:dyDescent="0.2"/>
    <row r="4708" customFormat="1" x14ac:dyDescent="0.2"/>
    <row r="4709" customFormat="1" x14ac:dyDescent="0.2"/>
    <row r="4710" customFormat="1" x14ac:dyDescent="0.2"/>
    <row r="4711" customFormat="1" x14ac:dyDescent="0.2"/>
    <row r="4712" customFormat="1" x14ac:dyDescent="0.2"/>
    <row r="4713" customFormat="1" x14ac:dyDescent="0.2"/>
    <row r="4714" customFormat="1" x14ac:dyDescent="0.2"/>
    <row r="4715" customFormat="1" x14ac:dyDescent="0.2"/>
    <row r="4716" customFormat="1" x14ac:dyDescent="0.2"/>
    <row r="4717" customFormat="1" x14ac:dyDescent="0.2"/>
    <row r="4718" customFormat="1" x14ac:dyDescent="0.2"/>
    <row r="4719" customFormat="1" x14ac:dyDescent="0.2"/>
    <row r="4720" customFormat="1" x14ac:dyDescent="0.2"/>
    <row r="4721" customFormat="1" x14ac:dyDescent="0.2"/>
    <row r="4722" customFormat="1" x14ac:dyDescent="0.2"/>
    <row r="4723" customFormat="1" x14ac:dyDescent="0.2"/>
    <row r="4724" customFormat="1" x14ac:dyDescent="0.2"/>
    <row r="4725" customFormat="1" x14ac:dyDescent="0.2"/>
    <row r="4726" customFormat="1" x14ac:dyDescent="0.2"/>
    <row r="4727" customFormat="1" x14ac:dyDescent="0.2"/>
    <row r="4728" customFormat="1" x14ac:dyDescent="0.2"/>
    <row r="4729" customFormat="1" x14ac:dyDescent="0.2"/>
    <row r="4730" customFormat="1" x14ac:dyDescent="0.2"/>
    <row r="4731" customFormat="1" x14ac:dyDescent="0.2"/>
    <row r="4732" customFormat="1" x14ac:dyDescent="0.2"/>
    <row r="4733" customFormat="1" x14ac:dyDescent="0.2"/>
    <row r="4734" customFormat="1" x14ac:dyDescent="0.2"/>
    <row r="4735" customFormat="1" x14ac:dyDescent="0.2"/>
    <row r="4736" customFormat="1" x14ac:dyDescent="0.2"/>
    <row r="4737" customFormat="1" x14ac:dyDescent="0.2"/>
    <row r="4738" customFormat="1" x14ac:dyDescent="0.2"/>
    <row r="4739" customFormat="1" x14ac:dyDescent="0.2"/>
    <row r="4740" customFormat="1" x14ac:dyDescent="0.2"/>
    <row r="4741" customFormat="1" x14ac:dyDescent="0.2"/>
    <row r="4742" customFormat="1" x14ac:dyDescent="0.2"/>
    <row r="4743" customFormat="1" x14ac:dyDescent="0.2"/>
    <row r="4744" customFormat="1" x14ac:dyDescent="0.2"/>
    <row r="4745" customFormat="1" x14ac:dyDescent="0.2"/>
    <row r="4746" customFormat="1" x14ac:dyDescent="0.2"/>
    <row r="4747" customFormat="1" x14ac:dyDescent="0.2"/>
    <row r="4748" customFormat="1" x14ac:dyDescent="0.2"/>
    <row r="4749" customFormat="1" x14ac:dyDescent="0.2"/>
    <row r="4750" customFormat="1" x14ac:dyDescent="0.2"/>
    <row r="4751" customFormat="1" x14ac:dyDescent="0.2"/>
    <row r="4752" customFormat="1" x14ac:dyDescent="0.2"/>
    <row r="4753" customFormat="1" x14ac:dyDescent="0.2"/>
    <row r="4754" customFormat="1" x14ac:dyDescent="0.2"/>
    <row r="4755" customFormat="1" x14ac:dyDescent="0.2"/>
    <row r="4756" customFormat="1" x14ac:dyDescent="0.2"/>
    <row r="4757" customFormat="1" x14ac:dyDescent="0.2"/>
    <row r="4758" customFormat="1" x14ac:dyDescent="0.2"/>
    <row r="4759" customFormat="1" x14ac:dyDescent="0.2"/>
    <row r="4760" customFormat="1" x14ac:dyDescent="0.2"/>
    <row r="4761" customFormat="1" x14ac:dyDescent="0.2"/>
    <row r="4762" customFormat="1" x14ac:dyDescent="0.2"/>
    <row r="4763" customFormat="1" x14ac:dyDescent="0.2"/>
    <row r="4764" customFormat="1" x14ac:dyDescent="0.2"/>
    <row r="4765" customFormat="1" x14ac:dyDescent="0.2"/>
    <row r="4766" customFormat="1" x14ac:dyDescent="0.2"/>
    <row r="4767" customFormat="1" x14ac:dyDescent="0.2"/>
    <row r="4768" customFormat="1" x14ac:dyDescent="0.2"/>
    <row r="4769" customFormat="1" x14ac:dyDescent="0.2"/>
    <row r="4770" customFormat="1" x14ac:dyDescent="0.2"/>
    <row r="4771" customFormat="1" x14ac:dyDescent="0.2"/>
    <row r="4772" customFormat="1" x14ac:dyDescent="0.2"/>
    <row r="4773" customFormat="1" x14ac:dyDescent="0.2"/>
    <row r="4774" customFormat="1" x14ac:dyDescent="0.2"/>
    <row r="4775" customFormat="1" x14ac:dyDescent="0.2"/>
    <row r="4776" customFormat="1" x14ac:dyDescent="0.2"/>
    <row r="4777" customFormat="1" x14ac:dyDescent="0.2"/>
    <row r="4778" customFormat="1" x14ac:dyDescent="0.2"/>
    <row r="4779" customFormat="1" x14ac:dyDescent="0.2"/>
    <row r="4780" customFormat="1" x14ac:dyDescent="0.2"/>
    <row r="4781" customFormat="1" x14ac:dyDescent="0.2"/>
    <row r="4782" customFormat="1" x14ac:dyDescent="0.2"/>
    <row r="4783" customFormat="1" x14ac:dyDescent="0.2"/>
    <row r="4784" customFormat="1" x14ac:dyDescent="0.2"/>
    <row r="4785" customFormat="1" x14ac:dyDescent="0.2"/>
    <row r="4786" customFormat="1" x14ac:dyDescent="0.2"/>
    <row r="4787" customFormat="1" x14ac:dyDescent="0.2"/>
    <row r="4788" customFormat="1" x14ac:dyDescent="0.2"/>
    <row r="4789" customFormat="1" x14ac:dyDescent="0.2"/>
    <row r="4790" customFormat="1" x14ac:dyDescent="0.2"/>
    <row r="4791" customFormat="1" x14ac:dyDescent="0.2"/>
    <row r="4792" customFormat="1" x14ac:dyDescent="0.2"/>
    <row r="4793" customFormat="1" x14ac:dyDescent="0.2"/>
    <row r="4794" customFormat="1" x14ac:dyDescent="0.2"/>
    <row r="4795" customFormat="1" x14ac:dyDescent="0.2"/>
    <row r="4796" customFormat="1" x14ac:dyDescent="0.2"/>
    <row r="4797" customFormat="1" x14ac:dyDescent="0.2"/>
    <row r="4798" customFormat="1" x14ac:dyDescent="0.2"/>
    <row r="4799" customFormat="1" x14ac:dyDescent="0.2"/>
    <row r="4800" customFormat="1" x14ac:dyDescent="0.2"/>
    <row r="4801" customFormat="1" x14ac:dyDescent="0.2"/>
    <row r="4802" customFormat="1" x14ac:dyDescent="0.2"/>
    <row r="4803" customFormat="1" x14ac:dyDescent="0.2"/>
    <row r="4804" customFormat="1" x14ac:dyDescent="0.2"/>
    <row r="4805" customFormat="1" x14ac:dyDescent="0.2"/>
    <row r="4806" customFormat="1" x14ac:dyDescent="0.2"/>
    <row r="4807" customFormat="1" x14ac:dyDescent="0.2"/>
    <row r="4808" customFormat="1" x14ac:dyDescent="0.2"/>
    <row r="4809" customFormat="1" x14ac:dyDescent="0.2"/>
    <row r="4810" customFormat="1" x14ac:dyDescent="0.2"/>
    <row r="4811" customFormat="1" x14ac:dyDescent="0.2"/>
    <row r="4812" customFormat="1" x14ac:dyDescent="0.2"/>
    <row r="4813" customFormat="1" x14ac:dyDescent="0.2"/>
    <row r="4814" customFormat="1" x14ac:dyDescent="0.2"/>
    <row r="4815" customFormat="1" x14ac:dyDescent="0.2"/>
    <row r="4816" customFormat="1" x14ac:dyDescent="0.2"/>
    <row r="4817" customFormat="1" x14ac:dyDescent="0.2"/>
    <row r="4818" customFormat="1" x14ac:dyDescent="0.2"/>
    <row r="4819" customFormat="1" x14ac:dyDescent="0.2"/>
  </sheetData>
  <mergeCells count="19">
    <mergeCell ref="A173:H173"/>
    <mergeCell ref="A39:I39"/>
    <mergeCell ref="A47:I47"/>
    <mergeCell ref="A53:I53"/>
    <mergeCell ref="A67:I67"/>
    <mergeCell ref="A75:I75"/>
    <mergeCell ref="A84:I84"/>
    <mergeCell ref="A94:I94"/>
    <mergeCell ref="A107:I107"/>
    <mergeCell ref="A121:I121"/>
    <mergeCell ref="A129:I129"/>
    <mergeCell ref="A1:I1"/>
    <mergeCell ref="A5:I5"/>
    <mergeCell ref="A14:I14"/>
    <mergeCell ref="A23:I23"/>
    <mergeCell ref="A32:I32"/>
    <mergeCell ref="A140:I140"/>
    <mergeCell ref="A151:H151"/>
    <mergeCell ref="A165:H16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zoomScale="70" zoomScaleNormal="70" workbookViewId="0">
      <selection activeCell="G15" sqref="G15"/>
    </sheetView>
  </sheetViews>
  <sheetFormatPr defaultRowHeight="12.75" x14ac:dyDescent="0.2"/>
  <cols>
    <col min="1" max="1" width="58.85546875" customWidth="1"/>
    <col min="2" max="2" width="16.85546875" customWidth="1"/>
    <col min="3" max="3" width="16.42578125" customWidth="1"/>
    <col min="4" max="4" width="23.42578125" customWidth="1"/>
    <col min="5" max="5" width="17.5703125" customWidth="1"/>
    <col min="6" max="6" width="18" bestFit="1" customWidth="1"/>
    <col min="7" max="7" width="32.42578125" customWidth="1"/>
    <col min="8" max="8" width="17.42578125" customWidth="1"/>
    <col min="9" max="9" width="14" customWidth="1"/>
  </cols>
  <sheetData>
    <row r="1" spans="1:9" ht="18" x14ac:dyDescent="0.2">
      <c r="A1" s="590" t="s">
        <v>326</v>
      </c>
      <c r="B1" s="590"/>
      <c r="C1" s="590"/>
      <c r="D1" s="590"/>
      <c r="E1" s="590"/>
      <c r="F1" s="590"/>
      <c r="G1" s="590"/>
      <c r="H1" s="590"/>
    </row>
    <row r="2" spans="1:9" ht="75" x14ac:dyDescent="0.2">
      <c r="A2" s="85" t="s">
        <v>0</v>
      </c>
      <c r="B2" s="86" t="s">
        <v>1</v>
      </c>
      <c r="C2" s="86" t="s">
        <v>90</v>
      </c>
      <c r="D2" s="86" t="s">
        <v>91</v>
      </c>
      <c r="E2" s="86" t="s">
        <v>92</v>
      </c>
      <c r="F2" s="86" t="s">
        <v>327</v>
      </c>
      <c r="G2" s="87" t="s">
        <v>94</v>
      </c>
      <c r="H2" s="87" t="s">
        <v>95</v>
      </c>
    </row>
    <row r="3" spans="1:9" ht="30" x14ac:dyDescent="0.2">
      <c r="A3" s="106" t="s">
        <v>328</v>
      </c>
      <c r="B3" s="200">
        <v>500000</v>
      </c>
      <c r="C3" s="554">
        <v>499935</v>
      </c>
      <c r="D3" s="107" t="s">
        <v>210</v>
      </c>
      <c r="E3" s="555">
        <v>499935</v>
      </c>
      <c r="F3" s="556">
        <f t="shared" ref="F3:F10" si="0">C3-E3</f>
        <v>0</v>
      </c>
      <c r="G3" s="108" t="s">
        <v>106</v>
      </c>
      <c r="H3" s="109">
        <v>40644</v>
      </c>
    </row>
    <row r="4" spans="1:9" ht="45" x14ac:dyDescent="0.2">
      <c r="A4" s="106" t="s">
        <v>329</v>
      </c>
      <c r="B4" s="200">
        <v>2000000</v>
      </c>
      <c r="C4" s="554">
        <v>1016039.5</v>
      </c>
      <c r="D4" s="107" t="s">
        <v>330</v>
      </c>
      <c r="E4" s="555">
        <v>1016039.5</v>
      </c>
      <c r="F4" s="556">
        <f t="shared" si="0"/>
        <v>0</v>
      </c>
      <c r="G4" s="108" t="s">
        <v>106</v>
      </c>
      <c r="H4" s="109">
        <v>41648</v>
      </c>
    </row>
    <row r="5" spans="1:9" ht="75" x14ac:dyDescent="0.2">
      <c r="A5" s="106" t="s">
        <v>573</v>
      </c>
      <c r="B5" s="200">
        <v>6213000</v>
      </c>
      <c r="C5" s="554">
        <v>1242600</v>
      </c>
      <c r="D5" s="107" t="s">
        <v>332</v>
      </c>
      <c r="E5" s="557">
        <v>916457.05</v>
      </c>
      <c r="F5" s="558">
        <f t="shared" si="0"/>
        <v>326142.94999999995</v>
      </c>
      <c r="G5" s="108" t="s">
        <v>106</v>
      </c>
      <c r="H5" s="112">
        <v>44561</v>
      </c>
      <c r="I5" s="148"/>
    </row>
    <row r="6" spans="1:9" ht="45" x14ac:dyDescent="0.2">
      <c r="A6" s="106" t="s">
        <v>717</v>
      </c>
      <c r="B6" s="200">
        <v>40000</v>
      </c>
      <c r="C6" s="554">
        <v>14233.1</v>
      </c>
      <c r="D6" s="107" t="s">
        <v>574</v>
      </c>
      <c r="E6" s="555">
        <v>14233.1</v>
      </c>
      <c r="F6" s="556">
        <f t="shared" si="0"/>
        <v>0</v>
      </c>
      <c r="G6" s="108" t="s">
        <v>106</v>
      </c>
      <c r="H6" s="109">
        <v>42309</v>
      </c>
    </row>
    <row r="7" spans="1:9" ht="45" x14ac:dyDescent="0.2">
      <c r="A7" s="106" t="s">
        <v>718</v>
      </c>
      <c r="B7" s="404">
        <v>49999</v>
      </c>
      <c r="C7" s="559">
        <v>15918.75</v>
      </c>
      <c r="D7" s="107" t="s">
        <v>574</v>
      </c>
      <c r="E7" s="555">
        <v>15918.75</v>
      </c>
      <c r="F7" s="556">
        <f t="shared" si="0"/>
        <v>0</v>
      </c>
      <c r="G7" s="108" t="s">
        <v>106</v>
      </c>
      <c r="H7" s="112">
        <v>42672</v>
      </c>
    </row>
    <row r="8" spans="1:9" ht="45" x14ac:dyDescent="0.2">
      <c r="A8" s="106" t="s">
        <v>812</v>
      </c>
      <c r="B8" s="404">
        <v>101399</v>
      </c>
      <c r="C8" s="554">
        <v>33799</v>
      </c>
      <c r="D8" s="107" t="s">
        <v>574</v>
      </c>
      <c r="E8" s="557">
        <v>33525.300000000003</v>
      </c>
      <c r="F8" s="558">
        <f t="shared" si="0"/>
        <v>273.69999999999709</v>
      </c>
      <c r="G8" s="108" t="s">
        <v>106</v>
      </c>
      <c r="H8" s="109">
        <v>44043</v>
      </c>
    </row>
    <row r="9" spans="1:9" ht="45" x14ac:dyDescent="0.2">
      <c r="A9" s="106" t="s">
        <v>915</v>
      </c>
      <c r="B9" s="404">
        <v>100000</v>
      </c>
      <c r="C9" s="559">
        <v>50000</v>
      </c>
      <c r="D9" s="107" t="s">
        <v>916</v>
      </c>
      <c r="E9" s="557">
        <v>50000</v>
      </c>
      <c r="F9" s="558">
        <f t="shared" si="0"/>
        <v>0</v>
      </c>
      <c r="G9" s="108" t="s">
        <v>106</v>
      </c>
      <c r="H9" s="109">
        <v>44043</v>
      </c>
    </row>
    <row r="10" spans="1:9" ht="75" x14ac:dyDescent="0.2">
      <c r="A10" s="106" t="s">
        <v>575</v>
      </c>
      <c r="B10" s="200">
        <v>125000000</v>
      </c>
      <c r="C10" s="554">
        <v>127474.65</v>
      </c>
      <c r="D10" s="107" t="s">
        <v>332</v>
      </c>
      <c r="E10" s="555">
        <v>0</v>
      </c>
      <c r="F10" s="556">
        <f t="shared" si="0"/>
        <v>127474.65</v>
      </c>
      <c r="G10" s="108" t="s">
        <v>479</v>
      </c>
      <c r="H10" s="109" t="s">
        <v>576</v>
      </c>
    </row>
    <row r="11" spans="1:9" ht="15" x14ac:dyDescent="0.2">
      <c r="A11" s="88" t="s">
        <v>130</v>
      </c>
      <c r="B11" s="89">
        <f>SUM(B3:B10)</f>
        <v>134004398</v>
      </c>
      <c r="C11" s="560">
        <f>SUM(C3:C10)</f>
        <v>3000000</v>
      </c>
      <c r="D11" s="86"/>
      <c r="E11" s="561">
        <f>SUM(E3:E10)</f>
        <v>2546108.6999999997</v>
      </c>
      <c r="F11" s="562">
        <f>SUM(F3:F10)</f>
        <v>453891.29999999993</v>
      </c>
      <c r="G11" s="90"/>
      <c r="H11" s="87"/>
      <c r="I11" s="148"/>
    </row>
    <row r="12" spans="1:9" ht="15" x14ac:dyDescent="0.2">
      <c r="A12" s="91"/>
      <c r="B12" s="92"/>
      <c r="C12" s="92"/>
      <c r="D12" s="93"/>
      <c r="E12" s="94"/>
      <c r="F12" s="94"/>
      <c r="G12" s="95"/>
      <c r="H12" s="96"/>
    </row>
    <row r="13" spans="1:9" ht="18" x14ac:dyDescent="0.2">
      <c r="A13" s="590" t="s">
        <v>333</v>
      </c>
      <c r="B13" s="590"/>
      <c r="C13" s="590"/>
      <c r="D13" s="590"/>
      <c r="E13" s="590"/>
      <c r="F13" s="590"/>
      <c r="G13" s="590"/>
      <c r="H13" s="590"/>
    </row>
    <row r="14" spans="1:9" ht="75" x14ac:dyDescent="0.2">
      <c r="A14" s="85" t="s">
        <v>0</v>
      </c>
      <c r="B14" s="86" t="s">
        <v>1</v>
      </c>
      <c r="C14" s="86" t="s">
        <v>90</v>
      </c>
      <c r="D14" s="86" t="s">
        <v>91</v>
      </c>
      <c r="E14" s="86" t="s">
        <v>92</v>
      </c>
      <c r="F14" s="86" t="s">
        <v>327</v>
      </c>
      <c r="G14" s="87" t="s">
        <v>94</v>
      </c>
      <c r="H14" s="87" t="s">
        <v>95</v>
      </c>
    </row>
    <row r="15" spans="1:9" ht="30" x14ac:dyDescent="0.2">
      <c r="A15" s="106" t="s">
        <v>917</v>
      </c>
      <c r="B15" s="200">
        <v>2800000</v>
      </c>
      <c r="C15" s="554">
        <v>400000</v>
      </c>
      <c r="D15" s="110" t="s">
        <v>918</v>
      </c>
      <c r="E15" s="563">
        <v>400000</v>
      </c>
      <c r="F15" s="558">
        <f t="shared" ref="F15:F16" si="1">C15-E15</f>
        <v>0</v>
      </c>
      <c r="G15" s="111" t="s">
        <v>106</v>
      </c>
      <c r="H15" s="513">
        <v>45291</v>
      </c>
    </row>
    <row r="16" spans="1:9" ht="75" x14ac:dyDescent="0.2">
      <c r="A16" s="106" t="s">
        <v>575</v>
      </c>
      <c r="B16" s="200">
        <v>125000000</v>
      </c>
      <c r="C16" s="554">
        <v>1600000</v>
      </c>
      <c r="D16" s="107" t="s">
        <v>332</v>
      </c>
      <c r="E16" s="564">
        <v>0</v>
      </c>
      <c r="F16" s="556">
        <f t="shared" si="1"/>
        <v>1600000</v>
      </c>
      <c r="G16" s="111" t="s">
        <v>479</v>
      </c>
      <c r="H16" s="112" t="s">
        <v>576</v>
      </c>
    </row>
    <row r="17" spans="1:8" ht="15" x14ac:dyDescent="0.2">
      <c r="A17" s="88" t="s">
        <v>130</v>
      </c>
      <c r="B17" s="89">
        <f>SUM(B15:B16)</f>
        <v>127800000</v>
      </c>
      <c r="C17" s="89">
        <f>SUM(C15:C16)</f>
        <v>2000000</v>
      </c>
      <c r="D17" s="86"/>
      <c r="E17" s="565">
        <f>SUM(E15:E16)</f>
        <v>400000</v>
      </c>
      <c r="F17" s="565">
        <f>SUM(F15:F16)</f>
        <v>1600000</v>
      </c>
      <c r="G17" s="90"/>
      <c r="H17" s="87"/>
    </row>
    <row r="19" spans="1:8" x14ac:dyDescent="0.2">
      <c r="E19" s="148"/>
      <c r="F19" s="405"/>
    </row>
  </sheetData>
  <mergeCells count="2">
    <mergeCell ref="A1:H1"/>
    <mergeCell ref="A13:H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10"/>
  <sheetViews>
    <sheetView zoomScale="70" zoomScaleNormal="70" workbookViewId="0">
      <selection activeCell="C11" sqref="C11"/>
    </sheetView>
  </sheetViews>
  <sheetFormatPr defaultRowHeight="12.75" x14ac:dyDescent="0.2"/>
  <cols>
    <col min="1" max="1" width="20.5703125" customWidth="1"/>
    <col min="2" max="2" width="30.85546875" customWidth="1"/>
    <col min="3" max="3" width="77.85546875" customWidth="1"/>
    <col min="4" max="4" width="18.42578125" customWidth="1"/>
    <col min="5" max="5" width="19.5703125" customWidth="1"/>
    <col min="6" max="6" width="24.5703125" customWidth="1"/>
    <col min="7" max="7" width="16.42578125" bestFit="1" customWidth="1"/>
    <col min="8" max="8" width="16.5703125" customWidth="1"/>
    <col min="9" max="9" width="32" customWidth="1"/>
    <col min="10" max="10" width="17" customWidth="1"/>
    <col min="11" max="11" width="13" customWidth="1"/>
    <col min="12" max="12" width="10.140625" bestFit="1" customWidth="1"/>
  </cols>
  <sheetData>
    <row r="1" spans="1:12" ht="15.75" x14ac:dyDescent="0.2">
      <c r="A1" s="591" t="s">
        <v>1255</v>
      </c>
      <c r="B1" s="592"/>
      <c r="C1" s="592"/>
      <c r="D1" s="592"/>
      <c r="E1" s="593"/>
      <c r="F1" s="591"/>
      <c r="G1" s="593"/>
      <c r="H1" s="591"/>
      <c r="I1" s="593"/>
      <c r="J1" s="591"/>
      <c r="K1" s="593"/>
    </row>
    <row r="2" spans="1:12" ht="78.75" x14ac:dyDescent="0.25">
      <c r="A2" s="33" t="s">
        <v>145</v>
      </c>
      <c r="B2" s="223" t="s">
        <v>144</v>
      </c>
      <c r="C2" s="31" t="s">
        <v>0</v>
      </c>
      <c r="D2" s="32" t="s">
        <v>1</v>
      </c>
      <c r="E2" s="32" t="s">
        <v>1256</v>
      </c>
      <c r="F2" s="54" t="s">
        <v>91</v>
      </c>
      <c r="G2" s="32" t="s">
        <v>143</v>
      </c>
      <c r="H2" s="32" t="s">
        <v>142</v>
      </c>
      <c r="I2" s="31" t="s">
        <v>94</v>
      </c>
      <c r="J2" s="31" t="s">
        <v>95</v>
      </c>
      <c r="K2" s="31" t="s">
        <v>141</v>
      </c>
    </row>
    <row r="3" spans="1:12" ht="30" x14ac:dyDescent="0.2">
      <c r="A3" s="602" t="s">
        <v>1257</v>
      </c>
      <c r="B3" s="25" t="s">
        <v>194</v>
      </c>
      <c r="C3" s="25" t="s">
        <v>1258</v>
      </c>
      <c r="D3" s="603">
        <v>1631700</v>
      </c>
      <c r="E3" s="603">
        <v>400000</v>
      </c>
      <c r="F3" s="39" t="s">
        <v>504</v>
      </c>
      <c r="G3" s="245">
        <v>0</v>
      </c>
      <c r="H3" s="409">
        <f>E3-G3</f>
        <v>400000</v>
      </c>
      <c r="I3" s="246" t="s">
        <v>1259</v>
      </c>
      <c r="J3" s="416">
        <v>45878</v>
      </c>
      <c r="K3" s="246"/>
    </row>
    <row r="4" spans="1:12" ht="15" x14ac:dyDescent="0.2">
      <c r="A4" s="602" t="s">
        <v>1260</v>
      </c>
      <c r="B4" s="407" t="s">
        <v>1064</v>
      </c>
      <c r="C4" s="25" t="s">
        <v>1261</v>
      </c>
      <c r="D4" s="603">
        <v>300000</v>
      </c>
      <c r="E4" s="603">
        <v>240000</v>
      </c>
      <c r="F4" s="39" t="s">
        <v>213</v>
      </c>
      <c r="G4" s="247">
        <v>0</v>
      </c>
      <c r="H4" s="409">
        <f>E4-G4</f>
        <v>240000</v>
      </c>
      <c r="I4" s="246" t="s">
        <v>1259</v>
      </c>
      <c r="J4" s="416">
        <v>45878</v>
      </c>
      <c r="K4" s="248"/>
    </row>
    <row r="5" spans="1:12" ht="15" x14ac:dyDescent="0.2">
      <c r="A5" s="602" t="s">
        <v>1262</v>
      </c>
      <c r="B5" s="407" t="s">
        <v>990</v>
      </c>
      <c r="C5" s="25" t="s">
        <v>1263</v>
      </c>
      <c r="D5" s="603">
        <v>300000</v>
      </c>
      <c r="E5" s="603">
        <v>240000</v>
      </c>
      <c r="F5" s="39" t="s">
        <v>213</v>
      </c>
      <c r="G5" s="247">
        <v>0</v>
      </c>
      <c r="H5" s="409">
        <f>E5-G5</f>
        <v>240000</v>
      </c>
      <c r="I5" s="246" t="s">
        <v>1259</v>
      </c>
      <c r="J5" s="416">
        <v>45878</v>
      </c>
      <c r="K5" s="248"/>
    </row>
    <row r="6" spans="1:12" ht="15" x14ac:dyDescent="0.2">
      <c r="A6" s="602" t="s">
        <v>1264</v>
      </c>
      <c r="B6" s="407" t="s">
        <v>122</v>
      </c>
      <c r="C6" s="25" t="s">
        <v>1265</v>
      </c>
      <c r="D6" s="603">
        <v>150656</v>
      </c>
      <c r="E6" s="603">
        <v>120000</v>
      </c>
      <c r="F6" s="39" t="s">
        <v>213</v>
      </c>
      <c r="G6" s="247">
        <v>0</v>
      </c>
      <c r="H6" s="409">
        <f>E6-G6</f>
        <v>120000</v>
      </c>
      <c r="I6" s="246" t="s">
        <v>1259</v>
      </c>
      <c r="J6" s="416">
        <v>45878</v>
      </c>
      <c r="K6" s="248"/>
    </row>
    <row r="7" spans="1:12" ht="15" x14ac:dyDescent="0.2">
      <c r="A7" s="406"/>
      <c r="B7" s="25"/>
      <c r="C7" s="25" t="s">
        <v>1266</v>
      </c>
      <c r="D7" s="412"/>
      <c r="E7" s="412">
        <v>0</v>
      </c>
      <c r="F7" s="39"/>
      <c r="G7" s="247"/>
      <c r="H7" s="409"/>
      <c r="I7" s="246"/>
      <c r="J7" s="246"/>
      <c r="K7" s="248"/>
    </row>
    <row r="8" spans="1:12" ht="15.75" x14ac:dyDescent="0.25">
      <c r="A8" s="407"/>
      <c r="B8" s="407"/>
      <c r="C8" s="24" t="s">
        <v>132</v>
      </c>
      <c r="D8" s="38"/>
      <c r="E8" s="201">
        <v>1000000</v>
      </c>
      <c r="F8" s="39"/>
      <c r="G8" s="246"/>
      <c r="H8" s="246"/>
      <c r="I8" s="246"/>
      <c r="J8" s="246"/>
      <c r="K8" s="246"/>
    </row>
    <row r="9" spans="1:12" ht="15.75" x14ac:dyDescent="0.25">
      <c r="A9" s="538"/>
      <c r="B9" s="539"/>
      <c r="C9" s="540"/>
      <c r="D9" s="541"/>
      <c r="E9" s="604"/>
      <c r="F9" s="605"/>
      <c r="G9" s="544"/>
      <c r="H9" s="545"/>
      <c r="I9" s="544"/>
      <c r="J9" s="545"/>
      <c r="K9" s="544"/>
    </row>
    <row r="10" spans="1:12" ht="15.6" customHeight="1" x14ac:dyDescent="0.2">
      <c r="A10" s="591" t="s">
        <v>1062</v>
      </c>
      <c r="B10" s="592"/>
      <c r="C10" s="592"/>
      <c r="D10" s="592"/>
      <c r="E10" s="593"/>
      <c r="F10" s="591"/>
      <c r="G10" s="593"/>
      <c r="H10" s="591"/>
      <c r="I10" s="593"/>
      <c r="J10" s="591"/>
      <c r="K10" s="593"/>
    </row>
    <row r="11" spans="1:12" ht="78.75" x14ac:dyDescent="0.25">
      <c r="A11" s="33" t="s">
        <v>145</v>
      </c>
      <c r="B11" s="223" t="s">
        <v>144</v>
      </c>
      <c r="C11" s="31" t="s">
        <v>0</v>
      </c>
      <c r="D11" s="32" t="s">
        <v>1</v>
      </c>
      <c r="E11" s="32" t="s">
        <v>90</v>
      </c>
      <c r="F11" s="54" t="s">
        <v>91</v>
      </c>
      <c r="G11" s="32" t="s">
        <v>143</v>
      </c>
      <c r="H11" s="32" t="s">
        <v>142</v>
      </c>
      <c r="I11" s="31" t="s">
        <v>94</v>
      </c>
      <c r="J11" s="31" t="s">
        <v>95</v>
      </c>
      <c r="K11" s="31" t="s">
        <v>141</v>
      </c>
    </row>
    <row r="12" spans="1:12" ht="15" x14ac:dyDescent="0.2">
      <c r="A12" s="415" t="s">
        <v>1063</v>
      </c>
      <c r="B12" s="407" t="s">
        <v>1064</v>
      </c>
      <c r="C12" s="25" t="s">
        <v>1065</v>
      </c>
      <c r="D12" s="38">
        <v>298042</v>
      </c>
      <c r="E12" s="38">
        <v>238434</v>
      </c>
      <c r="F12" s="408" t="s">
        <v>213</v>
      </c>
      <c r="G12" s="245">
        <v>10128</v>
      </c>
      <c r="H12" s="526">
        <f>E12-G12</f>
        <v>228306</v>
      </c>
      <c r="I12" s="527" t="s">
        <v>1066</v>
      </c>
      <c r="J12" s="487">
        <v>45484</v>
      </c>
      <c r="K12" s="246"/>
      <c r="L12" s="401"/>
    </row>
    <row r="13" spans="1:12" ht="15" x14ac:dyDescent="0.2">
      <c r="A13" s="415" t="s">
        <v>1067</v>
      </c>
      <c r="B13" s="407" t="s">
        <v>202</v>
      </c>
      <c r="C13" s="25" t="s">
        <v>1068</v>
      </c>
      <c r="D13" s="38">
        <v>750000</v>
      </c>
      <c r="E13" s="38">
        <v>581566</v>
      </c>
      <c r="F13" s="408" t="s">
        <v>213</v>
      </c>
      <c r="G13" s="245">
        <v>0</v>
      </c>
      <c r="H13" s="526">
        <f t="shared" ref="H13:H15" si="0">E13-G13</f>
        <v>581566</v>
      </c>
      <c r="I13" s="527" t="s">
        <v>1066</v>
      </c>
      <c r="J13" s="487">
        <v>45484</v>
      </c>
      <c r="K13" s="246"/>
    </row>
    <row r="14" spans="1:12" ht="30" x14ac:dyDescent="0.2">
      <c r="A14" s="528" t="s">
        <v>1069</v>
      </c>
      <c r="B14" s="407" t="s">
        <v>506</v>
      </c>
      <c r="C14" s="25" t="s">
        <v>1070</v>
      </c>
      <c r="D14" s="38">
        <v>250000</v>
      </c>
      <c r="E14" s="38">
        <v>200000</v>
      </c>
      <c r="F14" s="408" t="s">
        <v>213</v>
      </c>
      <c r="G14" s="245">
        <v>0</v>
      </c>
      <c r="H14" s="526">
        <f t="shared" si="0"/>
        <v>200000</v>
      </c>
      <c r="I14" s="527" t="s">
        <v>1071</v>
      </c>
      <c r="J14" s="487">
        <v>45484</v>
      </c>
      <c r="K14" s="246"/>
    </row>
    <row r="15" spans="1:12" ht="15" x14ac:dyDescent="0.2">
      <c r="A15" s="528" t="s">
        <v>1072</v>
      </c>
      <c r="B15" s="407" t="s">
        <v>990</v>
      </c>
      <c r="C15" s="25" t="s">
        <v>1073</v>
      </c>
      <c r="D15" s="38">
        <v>600000</v>
      </c>
      <c r="E15" s="412">
        <v>480000</v>
      </c>
      <c r="F15" s="408" t="s">
        <v>213</v>
      </c>
      <c r="G15" s="245">
        <v>10692</v>
      </c>
      <c r="H15" s="526">
        <f t="shared" si="0"/>
        <v>469308</v>
      </c>
      <c r="I15" s="527" t="s">
        <v>1066</v>
      </c>
      <c r="J15" s="487">
        <v>45484</v>
      </c>
      <c r="K15" s="246"/>
      <c r="L15" s="401"/>
    </row>
    <row r="16" spans="1:12" ht="15" x14ac:dyDescent="0.2">
      <c r="A16" s="406"/>
      <c r="B16" s="411"/>
      <c r="C16" s="411" t="s">
        <v>926</v>
      </c>
      <c r="D16" s="412"/>
      <c r="E16" s="412"/>
      <c r="F16" s="408"/>
      <c r="G16" s="247"/>
      <c r="H16" s="409"/>
      <c r="I16" s="246"/>
      <c r="J16" s="246"/>
      <c r="K16" s="248"/>
    </row>
    <row r="17" spans="1:12" ht="15.75" x14ac:dyDescent="0.25">
      <c r="A17" s="407"/>
      <c r="B17" s="407"/>
      <c r="C17" s="24" t="s">
        <v>132</v>
      </c>
      <c r="D17" s="38"/>
      <c r="E17" s="201">
        <v>1500000</v>
      </c>
      <c r="F17" s="408"/>
      <c r="G17" s="246"/>
      <c r="H17" s="246"/>
      <c r="I17" s="246"/>
      <c r="J17" s="246"/>
      <c r="K17" s="246"/>
    </row>
    <row r="18" spans="1:12" ht="15.75" x14ac:dyDescent="0.25">
      <c r="A18" s="538"/>
      <c r="B18" s="539"/>
      <c r="C18" s="540"/>
      <c r="D18" s="541"/>
      <c r="E18" s="542"/>
      <c r="F18" s="543"/>
      <c r="G18" s="544"/>
      <c r="H18" s="545"/>
      <c r="I18" s="544"/>
      <c r="J18" s="545"/>
      <c r="K18" s="544"/>
    </row>
    <row r="19" spans="1:12" ht="15.75" x14ac:dyDescent="0.25">
      <c r="A19" s="538"/>
      <c r="B19" s="539"/>
      <c r="C19" s="540"/>
      <c r="D19" s="541"/>
      <c r="E19" s="542"/>
      <c r="F19" s="543"/>
      <c r="G19" s="544"/>
      <c r="H19" s="545"/>
      <c r="I19" s="544"/>
      <c r="J19" s="545"/>
      <c r="K19" s="544"/>
    </row>
    <row r="20" spans="1:12" ht="15.75" x14ac:dyDescent="0.25">
      <c r="A20" s="538"/>
      <c r="B20" s="539"/>
      <c r="C20" s="540"/>
      <c r="D20" s="541"/>
      <c r="E20" s="542"/>
      <c r="F20" s="543"/>
      <c r="G20" s="544"/>
      <c r="H20" s="545"/>
      <c r="I20" s="544"/>
      <c r="J20" s="545"/>
      <c r="K20" s="544"/>
    </row>
    <row r="21" spans="1:12" ht="15.75" x14ac:dyDescent="0.2">
      <c r="A21" s="591" t="s">
        <v>1035</v>
      </c>
      <c r="B21" s="592"/>
      <c r="C21" s="592"/>
      <c r="D21" s="592"/>
      <c r="E21" s="593"/>
      <c r="F21" s="591"/>
      <c r="G21" s="593"/>
      <c r="H21" s="591"/>
      <c r="I21" s="593"/>
      <c r="J21" s="591"/>
      <c r="K21" s="593"/>
    </row>
    <row r="22" spans="1:12" ht="78.75" x14ac:dyDescent="0.25">
      <c r="A22" s="33" t="s">
        <v>145</v>
      </c>
      <c r="B22" s="223" t="s">
        <v>144</v>
      </c>
      <c r="C22" s="31" t="s">
        <v>0</v>
      </c>
      <c r="D22" s="32" t="s">
        <v>1</v>
      </c>
      <c r="E22" s="32" t="s">
        <v>90</v>
      </c>
      <c r="F22" s="54" t="s">
        <v>91</v>
      </c>
      <c r="G22" s="32" t="s">
        <v>143</v>
      </c>
      <c r="H22" s="32" t="s">
        <v>142</v>
      </c>
      <c r="I22" s="31" t="s">
        <v>94</v>
      </c>
      <c r="J22" s="31" t="s">
        <v>95</v>
      </c>
      <c r="K22" s="31" t="s">
        <v>141</v>
      </c>
    </row>
    <row r="23" spans="1:12" ht="15" x14ac:dyDescent="0.2">
      <c r="A23" s="415" t="s">
        <v>1036</v>
      </c>
      <c r="B23" s="407" t="s">
        <v>990</v>
      </c>
      <c r="C23" s="25" t="s">
        <v>1037</v>
      </c>
      <c r="D23" s="38">
        <v>715598</v>
      </c>
      <c r="E23" s="38">
        <v>400000</v>
      </c>
      <c r="F23" s="408" t="s">
        <v>213</v>
      </c>
      <c r="G23" s="245">
        <v>394167</v>
      </c>
      <c r="H23" s="526">
        <f>E23-G23</f>
        <v>5833</v>
      </c>
      <c r="I23" s="527" t="s">
        <v>468</v>
      </c>
      <c r="J23" s="487">
        <v>45183</v>
      </c>
      <c r="K23" s="416">
        <v>45181</v>
      </c>
      <c r="L23" s="401"/>
    </row>
    <row r="24" spans="1:12" ht="15" x14ac:dyDescent="0.2">
      <c r="A24" s="415" t="s">
        <v>1039</v>
      </c>
      <c r="B24" s="407" t="s">
        <v>202</v>
      </c>
      <c r="C24" s="25" t="s">
        <v>1040</v>
      </c>
      <c r="D24" s="38">
        <v>414435</v>
      </c>
      <c r="E24" s="38">
        <v>331548</v>
      </c>
      <c r="F24" s="408" t="s">
        <v>213</v>
      </c>
      <c r="G24" s="245">
        <v>46810</v>
      </c>
      <c r="H24" s="526">
        <f t="shared" ref="H24:H28" si="1">E24-G24</f>
        <v>284738</v>
      </c>
      <c r="I24" s="527" t="s">
        <v>1038</v>
      </c>
      <c r="J24" s="487">
        <v>45549</v>
      </c>
      <c r="K24" s="246"/>
      <c r="L24" s="401"/>
    </row>
    <row r="25" spans="1:12" ht="15" x14ac:dyDescent="0.2">
      <c r="A25" s="528" t="s">
        <v>1041</v>
      </c>
      <c r="B25" s="407" t="s">
        <v>722</v>
      </c>
      <c r="C25" s="25" t="s">
        <v>1042</v>
      </c>
      <c r="D25" s="38">
        <v>590570</v>
      </c>
      <c r="E25" s="38">
        <v>472456</v>
      </c>
      <c r="F25" s="408" t="s">
        <v>213</v>
      </c>
      <c r="G25" s="245">
        <v>440296</v>
      </c>
      <c r="H25" s="526">
        <f t="shared" si="1"/>
        <v>32160</v>
      </c>
      <c r="I25" s="527" t="s">
        <v>468</v>
      </c>
      <c r="J25" s="487">
        <v>45183</v>
      </c>
      <c r="K25" s="416">
        <v>45170</v>
      </c>
      <c r="L25" s="606"/>
    </row>
    <row r="26" spans="1:12" s="244" customFormat="1" ht="15" x14ac:dyDescent="0.2">
      <c r="A26" s="528" t="s">
        <v>1043</v>
      </c>
      <c r="B26" s="407" t="s">
        <v>200</v>
      </c>
      <c r="C26" s="25" t="s">
        <v>1044</v>
      </c>
      <c r="D26" s="38">
        <v>718500</v>
      </c>
      <c r="E26" s="38">
        <v>105356</v>
      </c>
      <c r="F26" s="408" t="s">
        <v>213</v>
      </c>
      <c r="G26" s="245">
        <v>105356</v>
      </c>
      <c r="H26" s="526">
        <f t="shared" si="1"/>
        <v>0</v>
      </c>
      <c r="I26" s="527" t="s">
        <v>468</v>
      </c>
      <c r="J26" s="487">
        <v>45183</v>
      </c>
      <c r="K26" s="416">
        <v>44949</v>
      </c>
      <c r="L26" s="133"/>
    </row>
    <row r="27" spans="1:12" s="244" customFormat="1" ht="15" x14ac:dyDescent="0.2">
      <c r="A27" s="528" t="s">
        <v>1045</v>
      </c>
      <c r="B27" s="407" t="s">
        <v>122</v>
      </c>
      <c r="C27" s="25" t="s">
        <v>1046</v>
      </c>
      <c r="D27" s="245">
        <v>40000</v>
      </c>
      <c r="E27" s="38">
        <v>32000</v>
      </c>
      <c r="F27" s="408" t="s">
        <v>213</v>
      </c>
      <c r="G27" s="245">
        <v>23128</v>
      </c>
      <c r="H27" s="526">
        <f t="shared" si="1"/>
        <v>8872</v>
      </c>
      <c r="I27" s="527" t="s">
        <v>468</v>
      </c>
      <c r="J27" s="487">
        <v>45183</v>
      </c>
      <c r="K27" s="416">
        <v>44795</v>
      </c>
    </row>
    <row r="28" spans="1:12" s="244" customFormat="1" ht="15" x14ac:dyDescent="0.2">
      <c r="A28" s="528" t="s">
        <v>1047</v>
      </c>
      <c r="B28" s="411" t="s">
        <v>398</v>
      </c>
      <c r="C28" s="25" t="s">
        <v>1048</v>
      </c>
      <c r="D28" s="245">
        <v>225000</v>
      </c>
      <c r="E28" s="412">
        <v>158640</v>
      </c>
      <c r="F28" s="408" t="s">
        <v>213</v>
      </c>
      <c r="G28" s="247">
        <v>0</v>
      </c>
      <c r="H28" s="526">
        <f t="shared" si="1"/>
        <v>158640</v>
      </c>
      <c r="I28" s="527" t="s">
        <v>1038</v>
      </c>
      <c r="J28" s="487">
        <v>45565</v>
      </c>
      <c r="K28" s="416"/>
    </row>
    <row r="29" spans="1:12" s="244" customFormat="1" ht="15" x14ac:dyDescent="0.2">
      <c r="A29" s="406"/>
      <c r="B29" s="411"/>
      <c r="C29" s="411" t="s">
        <v>926</v>
      </c>
      <c r="D29" s="412"/>
      <c r="E29" s="412">
        <f>8872+H25+H23</f>
        <v>46865</v>
      </c>
      <c r="F29" s="408"/>
      <c r="G29" s="247"/>
      <c r="H29" s="409"/>
      <c r="I29" s="246"/>
      <c r="J29" s="246"/>
      <c r="K29" s="248"/>
    </row>
    <row r="30" spans="1:12" s="244" customFormat="1" ht="15.75" x14ac:dyDescent="0.25">
      <c r="A30" s="407"/>
      <c r="B30" s="407"/>
      <c r="C30" s="24" t="s">
        <v>132</v>
      </c>
      <c r="D30" s="38"/>
      <c r="E30" s="201">
        <v>1500000</v>
      </c>
      <c r="F30" s="408"/>
      <c r="G30" s="246"/>
      <c r="H30" s="246"/>
      <c r="I30" s="246"/>
      <c r="J30" s="246"/>
      <c r="K30" s="246"/>
    </row>
    <row r="31" spans="1:12" s="244" customFormat="1" ht="15.75" x14ac:dyDescent="0.25">
      <c r="A31" s="407"/>
      <c r="B31" s="407"/>
      <c r="C31" s="24"/>
      <c r="D31" s="38"/>
      <c r="E31" s="201"/>
      <c r="F31" s="408"/>
      <c r="G31" s="246"/>
      <c r="H31" s="246"/>
      <c r="I31" s="246"/>
      <c r="J31" s="246"/>
      <c r="K31" s="246"/>
    </row>
    <row r="32" spans="1:12" s="244" customFormat="1" ht="15.75" x14ac:dyDescent="0.25">
      <c r="A32" s="407"/>
      <c r="B32" s="407"/>
      <c r="C32" s="24"/>
      <c r="D32" s="38"/>
      <c r="E32" s="201"/>
      <c r="F32" s="408"/>
      <c r="G32" s="246"/>
      <c r="H32" s="246"/>
      <c r="I32" s="246"/>
      <c r="J32" s="246"/>
      <c r="K32" s="246"/>
    </row>
    <row r="33" spans="1:12" ht="15.75" x14ac:dyDescent="0.25">
      <c r="A33" s="407"/>
      <c r="B33" s="407"/>
      <c r="C33" s="24"/>
      <c r="D33" s="38"/>
      <c r="E33" s="201"/>
      <c r="F33" s="408"/>
      <c r="G33" s="246"/>
      <c r="H33" s="246"/>
      <c r="I33" s="246"/>
      <c r="J33" s="246"/>
      <c r="K33" s="246"/>
    </row>
    <row r="34" spans="1:12" ht="15.75" x14ac:dyDescent="0.2">
      <c r="A34" s="597" t="s">
        <v>987</v>
      </c>
      <c r="B34" s="597"/>
      <c r="C34" s="597"/>
      <c r="D34" s="597"/>
      <c r="E34" s="597"/>
      <c r="F34" s="597"/>
      <c r="G34" s="597"/>
      <c r="H34" s="597"/>
      <c r="I34" s="597"/>
      <c r="J34" s="597"/>
      <c r="K34" s="597"/>
    </row>
    <row r="35" spans="1:12" ht="78.75" x14ac:dyDescent="0.25">
      <c r="A35" s="33" t="s">
        <v>145</v>
      </c>
      <c r="B35" s="223" t="s">
        <v>144</v>
      </c>
      <c r="C35" s="31" t="s">
        <v>0</v>
      </c>
      <c r="D35" s="32" t="s">
        <v>1</v>
      </c>
      <c r="E35" s="32" t="s">
        <v>90</v>
      </c>
      <c r="F35" s="54" t="s">
        <v>91</v>
      </c>
      <c r="G35" s="32" t="s">
        <v>143</v>
      </c>
      <c r="H35" s="32" t="s">
        <v>142</v>
      </c>
      <c r="I35" s="31" t="s">
        <v>94</v>
      </c>
      <c r="J35" s="31" t="s">
        <v>95</v>
      </c>
      <c r="K35" s="31" t="s">
        <v>141</v>
      </c>
    </row>
    <row r="36" spans="1:12" ht="15" x14ac:dyDescent="0.2">
      <c r="A36" s="415">
        <v>21513</v>
      </c>
      <c r="B36" s="407" t="s">
        <v>202</v>
      </c>
      <c r="C36" s="407" t="s">
        <v>988</v>
      </c>
      <c r="D36" s="38">
        <v>468920</v>
      </c>
      <c r="E36" s="38">
        <v>292093</v>
      </c>
      <c r="F36" s="408" t="s">
        <v>213</v>
      </c>
      <c r="G36" s="245">
        <v>292093</v>
      </c>
      <c r="H36" s="409">
        <f>E36-G36</f>
        <v>0</v>
      </c>
      <c r="I36" s="246" t="s">
        <v>468</v>
      </c>
      <c r="J36" s="416">
        <v>44789</v>
      </c>
      <c r="K36" s="416">
        <v>44742</v>
      </c>
      <c r="L36" s="133"/>
    </row>
    <row r="37" spans="1:12" ht="30" x14ac:dyDescent="0.2">
      <c r="A37" s="415">
        <v>22586</v>
      </c>
      <c r="B37" s="407" t="s">
        <v>200</v>
      </c>
      <c r="C37" s="410" t="s">
        <v>989</v>
      </c>
      <c r="D37" s="38">
        <v>2400000</v>
      </c>
      <c r="E37" s="38">
        <f>461395-282000</f>
        <v>179395</v>
      </c>
      <c r="F37" s="408" t="s">
        <v>213</v>
      </c>
      <c r="G37" s="245">
        <v>179395</v>
      </c>
      <c r="H37" s="409">
        <f t="shared" ref="H37:H38" si="2">E37-G37</f>
        <v>0</v>
      </c>
      <c r="I37" s="246" t="s">
        <v>468</v>
      </c>
      <c r="J37" s="416">
        <v>45183</v>
      </c>
      <c r="K37" s="416">
        <v>44943</v>
      </c>
      <c r="L37" s="133"/>
    </row>
    <row r="38" spans="1:12" ht="30" x14ac:dyDescent="0.2">
      <c r="A38" s="415">
        <v>22587</v>
      </c>
      <c r="B38" s="407" t="s">
        <v>990</v>
      </c>
      <c r="C38" s="410" t="s">
        <v>991</v>
      </c>
      <c r="D38" s="38">
        <f>E38/0.8</f>
        <v>35640</v>
      </c>
      <c r="E38" s="38">
        <f>400000-371488</f>
        <v>28512</v>
      </c>
      <c r="F38" s="408" t="s">
        <v>213</v>
      </c>
      <c r="G38" s="245">
        <v>28512</v>
      </c>
      <c r="H38" s="409">
        <f t="shared" si="2"/>
        <v>0</v>
      </c>
      <c r="I38" s="246" t="s">
        <v>468</v>
      </c>
      <c r="J38" s="416">
        <v>44789</v>
      </c>
      <c r="K38" s="416">
        <v>44551</v>
      </c>
      <c r="L38" s="133"/>
    </row>
    <row r="39" spans="1:12" ht="15" x14ac:dyDescent="0.2">
      <c r="A39" s="406"/>
      <c r="B39" s="411"/>
      <c r="C39" s="411" t="s">
        <v>926</v>
      </c>
      <c r="D39" s="412"/>
      <c r="E39" s="412">
        <f>E40-SUM(E34:E38)</f>
        <v>0</v>
      </c>
      <c r="F39" s="408"/>
      <c r="G39" s="247"/>
      <c r="H39" s="409"/>
      <c r="I39" s="246"/>
      <c r="J39" s="246"/>
      <c r="K39" s="248"/>
      <c r="L39" s="133"/>
    </row>
    <row r="40" spans="1:12" ht="15.75" x14ac:dyDescent="0.25">
      <c r="A40" s="407"/>
      <c r="B40" s="407"/>
      <c r="C40" s="24" t="s">
        <v>132</v>
      </c>
      <c r="D40" s="38"/>
      <c r="E40" s="201">
        <v>500000</v>
      </c>
      <c r="F40" s="408"/>
      <c r="G40" s="246"/>
      <c r="H40" s="246"/>
      <c r="I40" s="246"/>
      <c r="J40" s="246"/>
      <c r="K40" s="246"/>
      <c r="L40" s="133"/>
    </row>
    <row r="41" spans="1:12" ht="15" x14ac:dyDescent="0.2">
      <c r="L41" s="133"/>
    </row>
    <row r="42" spans="1:12" ht="15" x14ac:dyDescent="0.2">
      <c r="L42" s="133"/>
    </row>
    <row r="43" spans="1:12" ht="15.75" x14ac:dyDescent="0.2">
      <c r="A43" s="597" t="s">
        <v>919</v>
      </c>
      <c r="B43" s="597"/>
      <c r="C43" s="597"/>
      <c r="D43" s="597"/>
      <c r="E43" s="597"/>
      <c r="F43" s="597"/>
      <c r="G43" s="597"/>
      <c r="H43" s="597"/>
      <c r="I43" s="597"/>
      <c r="J43" s="597"/>
      <c r="K43" s="597"/>
      <c r="L43" s="133"/>
    </row>
    <row r="44" spans="1:12" ht="78.75" x14ac:dyDescent="0.25">
      <c r="A44" s="33" t="s">
        <v>145</v>
      </c>
      <c r="B44" s="223" t="s">
        <v>144</v>
      </c>
      <c r="C44" s="31" t="s">
        <v>0</v>
      </c>
      <c r="D44" s="32" t="s">
        <v>1</v>
      </c>
      <c r="E44" s="32" t="s">
        <v>90</v>
      </c>
      <c r="F44" s="54" t="s">
        <v>91</v>
      </c>
      <c r="G44" s="32" t="s">
        <v>143</v>
      </c>
      <c r="H44" s="32" t="s">
        <v>142</v>
      </c>
      <c r="I44" s="31" t="s">
        <v>94</v>
      </c>
      <c r="J44" s="31" t="s">
        <v>95</v>
      </c>
      <c r="K44" s="31" t="s">
        <v>141</v>
      </c>
      <c r="L44" s="133"/>
    </row>
    <row r="45" spans="1:12" ht="15" x14ac:dyDescent="0.2">
      <c r="A45" s="406">
        <v>21513</v>
      </c>
      <c r="B45" s="407" t="s">
        <v>202</v>
      </c>
      <c r="C45" s="407" t="s">
        <v>920</v>
      </c>
      <c r="D45" s="38">
        <v>651373</v>
      </c>
      <c r="E45" s="38">
        <v>521098</v>
      </c>
      <c r="F45" s="408" t="s">
        <v>213</v>
      </c>
      <c r="G45" s="245">
        <v>521098</v>
      </c>
      <c r="H45" s="409">
        <v>0</v>
      </c>
      <c r="I45" s="246" t="s">
        <v>468</v>
      </c>
      <c r="J45" s="414">
        <v>44789</v>
      </c>
      <c r="K45" s="607">
        <v>44742</v>
      </c>
      <c r="L45" s="133"/>
    </row>
    <row r="46" spans="1:12" ht="15" x14ac:dyDescent="0.2">
      <c r="A46" s="406">
        <v>21514</v>
      </c>
      <c r="B46" s="407" t="s">
        <v>721</v>
      </c>
      <c r="C46" s="407" t="s">
        <v>922</v>
      </c>
      <c r="D46" s="38">
        <v>430929</v>
      </c>
      <c r="E46" s="38">
        <v>0</v>
      </c>
      <c r="F46" s="408" t="s">
        <v>213</v>
      </c>
      <c r="G46" s="245">
        <v>0</v>
      </c>
      <c r="H46" s="409">
        <f t="shared" ref="H46:H50" si="3">E46-G46</f>
        <v>0</v>
      </c>
      <c r="I46" s="246" t="s">
        <v>927</v>
      </c>
      <c r="J46" s="414">
        <v>44000</v>
      </c>
      <c r="K46" s="608" t="s">
        <v>1267</v>
      </c>
      <c r="L46" s="133"/>
    </row>
    <row r="47" spans="1:12" ht="15" x14ac:dyDescent="0.2">
      <c r="A47" s="406">
        <v>21515</v>
      </c>
      <c r="B47" s="407" t="s">
        <v>122</v>
      </c>
      <c r="C47" s="407" t="s">
        <v>923</v>
      </c>
      <c r="D47" s="38">
        <v>169000</v>
      </c>
      <c r="E47" s="38">
        <v>135200</v>
      </c>
      <c r="F47" s="408" t="s">
        <v>213</v>
      </c>
      <c r="G47" s="245">
        <v>83864</v>
      </c>
      <c r="H47" s="409">
        <v>51336</v>
      </c>
      <c r="I47" s="246" t="s">
        <v>468</v>
      </c>
      <c r="J47" s="414">
        <v>44750</v>
      </c>
      <c r="K47" s="416">
        <v>44851</v>
      </c>
      <c r="L47" s="133"/>
    </row>
    <row r="48" spans="1:12" ht="30" x14ac:dyDescent="0.2">
      <c r="A48" s="415">
        <v>21516</v>
      </c>
      <c r="B48" s="407" t="s">
        <v>722</v>
      </c>
      <c r="C48" s="41" t="s">
        <v>924</v>
      </c>
      <c r="D48" s="38">
        <f>E48/0.8</f>
        <v>248443.75</v>
      </c>
      <c r="E48" s="38">
        <v>198755</v>
      </c>
      <c r="F48" s="408" t="s">
        <v>213</v>
      </c>
      <c r="G48" s="245">
        <v>198755</v>
      </c>
      <c r="H48" s="409">
        <v>0</v>
      </c>
      <c r="I48" s="246" t="s">
        <v>136</v>
      </c>
      <c r="J48" s="413" t="s">
        <v>921</v>
      </c>
      <c r="K48" s="416">
        <v>44291</v>
      </c>
      <c r="L48" s="133"/>
    </row>
    <row r="49" spans="1:12" ht="15" x14ac:dyDescent="0.2">
      <c r="A49" s="406">
        <v>21518</v>
      </c>
      <c r="B49" s="411" t="s">
        <v>726</v>
      </c>
      <c r="C49" s="411" t="s">
        <v>925</v>
      </c>
      <c r="D49" s="412">
        <v>522750</v>
      </c>
      <c r="E49" s="412">
        <v>273459</v>
      </c>
      <c r="F49" s="408" t="s">
        <v>213</v>
      </c>
      <c r="G49" s="247">
        <v>273459</v>
      </c>
      <c r="H49" s="409">
        <f t="shared" si="3"/>
        <v>0</v>
      </c>
      <c r="I49" s="246" t="s">
        <v>136</v>
      </c>
      <c r="J49" s="414">
        <v>43937</v>
      </c>
      <c r="K49" s="416">
        <v>43937</v>
      </c>
      <c r="L49" s="133"/>
    </row>
    <row r="50" spans="1:12" ht="30" x14ac:dyDescent="0.2">
      <c r="A50" s="406">
        <v>22587</v>
      </c>
      <c r="B50" s="407" t="s">
        <v>990</v>
      </c>
      <c r="C50" s="410" t="s">
        <v>992</v>
      </c>
      <c r="D50" s="412">
        <f>E50/0.8</f>
        <v>464360</v>
      </c>
      <c r="E50" s="412">
        <f>E52-SUM(E45:E49)</f>
        <v>371488</v>
      </c>
      <c r="F50" s="408" t="s">
        <v>213</v>
      </c>
      <c r="G50" s="247">
        <v>371488</v>
      </c>
      <c r="H50" s="409">
        <f t="shared" si="3"/>
        <v>0</v>
      </c>
      <c r="I50" s="246" t="s">
        <v>468</v>
      </c>
      <c r="J50" s="413" t="s">
        <v>1049</v>
      </c>
      <c r="K50" s="546">
        <v>44551</v>
      </c>
      <c r="L50" s="133"/>
    </row>
    <row r="51" spans="1:12" ht="15" x14ac:dyDescent="0.2">
      <c r="A51" s="406"/>
      <c r="B51" s="411"/>
      <c r="C51" s="411" t="s">
        <v>926</v>
      </c>
      <c r="D51" s="412"/>
      <c r="E51" s="412">
        <v>51336</v>
      </c>
      <c r="F51" s="408"/>
      <c r="G51" s="247"/>
      <c r="H51" s="409"/>
      <c r="I51" s="246"/>
      <c r="J51" s="246"/>
      <c r="K51" s="248"/>
      <c r="L51" s="133"/>
    </row>
    <row r="52" spans="1:12" ht="15.75" x14ac:dyDescent="0.25">
      <c r="A52" s="407"/>
      <c r="B52" s="407"/>
      <c r="C52" s="24" t="s">
        <v>132</v>
      </c>
      <c r="D52" s="38"/>
      <c r="E52" s="201">
        <v>1500000</v>
      </c>
      <c r="F52" s="408"/>
      <c r="G52" s="246"/>
      <c r="H52" s="246"/>
      <c r="I52" s="246"/>
      <c r="J52" s="246"/>
      <c r="K52" s="246"/>
      <c r="L52" s="133"/>
    </row>
    <row r="53" spans="1:12" ht="15" x14ac:dyDescent="0.2">
      <c r="L53" s="133"/>
    </row>
    <row r="54" spans="1:12" ht="15" x14ac:dyDescent="0.2">
      <c r="D54" s="417"/>
      <c r="L54" s="133"/>
    </row>
    <row r="55" spans="1:12" ht="15" x14ac:dyDescent="0.2">
      <c r="L55" s="133"/>
    </row>
    <row r="56" spans="1:12" ht="15.75" x14ac:dyDescent="0.2">
      <c r="A56" s="597" t="s">
        <v>851</v>
      </c>
      <c r="B56" s="597"/>
      <c r="C56" s="597"/>
      <c r="D56" s="597"/>
      <c r="E56" s="597"/>
      <c r="F56" s="597"/>
      <c r="G56" s="597"/>
      <c r="H56" s="597"/>
      <c r="I56" s="597"/>
      <c r="J56" s="597"/>
      <c r="K56" s="597"/>
      <c r="L56" s="133"/>
    </row>
    <row r="57" spans="1:12" ht="78.75" x14ac:dyDescent="0.25">
      <c r="A57" s="33" t="s">
        <v>145</v>
      </c>
      <c r="B57" s="223" t="s">
        <v>144</v>
      </c>
      <c r="C57" s="31" t="s">
        <v>0</v>
      </c>
      <c r="D57" s="32" t="s">
        <v>1</v>
      </c>
      <c r="E57" s="32" t="s">
        <v>90</v>
      </c>
      <c r="F57" s="54" t="s">
        <v>91</v>
      </c>
      <c r="G57" s="32" t="s">
        <v>143</v>
      </c>
      <c r="H57" s="32" t="s">
        <v>142</v>
      </c>
      <c r="I57" s="31" t="s">
        <v>94</v>
      </c>
      <c r="J57" s="31" t="s">
        <v>95</v>
      </c>
      <c r="K57" s="31" t="s">
        <v>141</v>
      </c>
      <c r="L57" s="133"/>
    </row>
    <row r="58" spans="1:12" ht="15" x14ac:dyDescent="0.2">
      <c r="A58" s="26">
        <v>20412</v>
      </c>
      <c r="B58" s="418" t="s">
        <v>202</v>
      </c>
      <c r="C58" s="25" t="s">
        <v>852</v>
      </c>
      <c r="D58" s="38">
        <v>743284</v>
      </c>
      <c r="E58" s="23">
        <v>517042</v>
      </c>
      <c r="F58" s="408" t="s">
        <v>213</v>
      </c>
      <c r="G58" s="23">
        <v>517042</v>
      </c>
      <c r="H58" s="409">
        <f>E58-G58</f>
        <v>0</v>
      </c>
      <c r="I58" s="20" t="s">
        <v>136</v>
      </c>
      <c r="J58" s="419">
        <v>44019</v>
      </c>
      <c r="K58" s="419">
        <v>44019</v>
      </c>
      <c r="L58" s="133"/>
    </row>
    <row r="59" spans="1:12" ht="26.25" x14ac:dyDescent="0.25">
      <c r="A59" s="26">
        <v>20413</v>
      </c>
      <c r="B59" s="418" t="s">
        <v>115</v>
      </c>
      <c r="C59" s="25" t="s">
        <v>853</v>
      </c>
      <c r="D59" s="420">
        <v>1108500</v>
      </c>
      <c r="E59" s="23">
        <v>0</v>
      </c>
      <c r="F59" s="408" t="s">
        <v>504</v>
      </c>
      <c r="G59" s="421">
        <v>0</v>
      </c>
      <c r="H59" s="409">
        <f t="shared" ref="H59:H63" si="4">E59-G59</f>
        <v>0</v>
      </c>
      <c r="I59" s="20" t="s">
        <v>927</v>
      </c>
      <c r="J59" s="419">
        <v>43291</v>
      </c>
      <c r="K59" s="609" t="s">
        <v>1267</v>
      </c>
      <c r="L59" s="133"/>
    </row>
    <row r="60" spans="1:12" ht="15.75" x14ac:dyDescent="0.25">
      <c r="A60" s="26">
        <v>20414</v>
      </c>
      <c r="B60" s="418" t="s">
        <v>508</v>
      </c>
      <c r="C60" s="25" t="s">
        <v>854</v>
      </c>
      <c r="D60" s="420">
        <v>414000</v>
      </c>
      <c r="E60" s="23">
        <v>329000</v>
      </c>
      <c r="F60" s="408" t="s">
        <v>213</v>
      </c>
      <c r="G60" s="421">
        <v>329000</v>
      </c>
      <c r="H60" s="409">
        <f t="shared" si="4"/>
        <v>0</v>
      </c>
      <c r="I60" s="20" t="s">
        <v>136</v>
      </c>
      <c r="J60" s="419">
        <v>43783</v>
      </c>
      <c r="K60" s="419">
        <v>43783</v>
      </c>
      <c r="L60" s="133"/>
    </row>
    <row r="61" spans="1:12" ht="15.75" x14ac:dyDescent="0.25">
      <c r="A61" s="26">
        <v>20415</v>
      </c>
      <c r="B61" s="418" t="s">
        <v>122</v>
      </c>
      <c r="C61" s="25" t="s">
        <v>855</v>
      </c>
      <c r="D61" s="420">
        <v>243830</v>
      </c>
      <c r="E61" s="23">
        <v>195064</v>
      </c>
      <c r="F61" s="408" t="s">
        <v>213</v>
      </c>
      <c r="G61" s="421">
        <v>195064</v>
      </c>
      <c r="H61" s="409">
        <f t="shared" si="4"/>
        <v>0</v>
      </c>
      <c r="I61" s="20" t="s">
        <v>136</v>
      </c>
      <c r="J61" s="419">
        <v>44134</v>
      </c>
      <c r="K61" s="419">
        <v>44134</v>
      </c>
      <c r="L61" s="133"/>
    </row>
    <row r="62" spans="1:12" ht="30" x14ac:dyDescent="0.25">
      <c r="A62" s="26">
        <v>20416</v>
      </c>
      <c r="B62" s="418" t="s">
        <v>726</v>
      </c>
      <c r="C62" s="25" t="s">
        <v>856</v>
      </c>
      <c r="D62" s="420">
        <v>700000</v>
      </c>
      <c r="E62" s="23">
        <v>366394</v>
      </c>
      <c r="F62" s="408" t="s">
        <v>213</v>
      </c>
      <c r="G62" s="422">
        <v>366394</v>
      </c>
      <c r="H62" s="409">
        <f t="shared" si="4"/>
        <v>0</v>
      </c>
      <c r="I62" s="20" t="s">
        <v>136</v>
      </c>
      <c r="J62" s="419">
        <v>43615</v>
      </c>
      <c r="K62" s="419">
        <v>43615</v>
      </c>
      <c r="L62" s="133"/>
    </row>
    <row r="63" spans="1:12" ht="30.75" x14ac:dyDescent="0.25">
      <c r="A63" s="423">
        <v>21516</v>
      </c>
      <c r="B63" s="133" t="s">
        <v>722</v>
      </c>
      <c r="C63" s="132" t="s">
        <v>928</v>
      </c>
      <c r="D63" s="420">
        <f>92500/0.8</f>
        <v>115625</v>
      </c>
      <c r="E63" s="23">
        <f>92500</f>
        <v>92500</v>
      </c>
      <c r="F63" s="408" t="s">
        <v>213</v>
      </c>
      <c r="G63" s="421">
        <v>92500</v>
      </c>
      <c r="H63" s="409">
        <f t="shared" si="4"/>
        <v>0</v>
      </c>
      <c r="I63" s="529" t="s">
        <v>136</v>
      </c>
      <c r="J63" s="424" t="s">
        <v>921</v>
      </c>
      <c r="K63" s="419">
        <v>44291</v>
      </c>
      <c r="L63" s="133"/>
    </row>
    <row r="64" spans="1:12" ht="15.75" x14ac:dyDescent="0.25">
      <c r="A64" s="423"/>
      <c r="B64" s="133"/>
      <c r="C64" s="411" t="s">
        <v>926</v>
      </c>
      <c r="D64" s="420"/>
      <c r="E64" s="23">
        <f>E65-SUM(E58:E63)</f>
        <v>0</v>
      </c>
      <c r="F64" s="408"/>
      <c r="G64" s="421"/>
      <c r="H64" s="409"/>
      <c r="I64" s="407"/>
      <c r="J64" s="424"/>
      <c r="K64" s="425"/>
      <c r="L64" s="133"/>
    </row>
    <row r="65" spans="1:12" ht="15.75" x14ac:dyDescent="0.25">
      <c r="A65" s="52"/>
      <c r="B65" s="224"/>
      <c r="C65" s="24" t="s">
        <v>132</v>
      </c>
      <c r="D65" s="45"/>
      <c r="E65" s="22">
        <v>1500000</v>
      </c>
      <c r="F65" s="104"/>
      <c r="G65" s="52"/>
      <c r="H65" s="426">
        <f>SUM(H58:H62)</f>
        <v>0</v>
      </c>
      <c r="I65" s="51"/>
      <c r="J65" s="50"/>
      <c r="K65" s="49"/>
      <c r="L65" s="133"/>
    </row>
    <row r="66" spans="1:12" ht="15.75" x14ac:dyDescent="0.25">
      <c r="A66" s="141"/>
      <c r="B66" s="427"/>
      <c r="C66" s="428"/>
      <c r="D66" s="429"/>
      <c r="E66" s="430"/>
      <c r="F66" s="431"/>
      <c r="G66" s="141"/>
      <c r="H66" s="432"/>
      <c r="I66" s="433"/>
      <c r="J66" s="434"/>
      <c r="K66" s="435"/>
      <c r="L66" s="133"/>
    </row>
    <row r="67" spans="1:12" ht="15.75" x14ac:dyDescent="0.2">
      <c r="A67" s="597" t="s">
        <v>785</v>
      </c>
      <c r="B67" s="597"/>
      <c r="C67" s="597"/>
      <c r="D67" s="597"/>
      <c r="E67" s="597"/>
      <c r="F67" s="597"/>
      <c r="G67" s="597"/>
      <c r="H67" s="597"/>
      <c r="I67" s="597"/>
      <c r="J67" s="597"/>
      <c r="K67" s="597"/>
      <c r="L67" s="133"/>
    </row>
    <row r="68" spans="1:12" ht="78.75" x14ac:dyDescent="0.25">
      <c r="A68" s="33" t="s">
        <v>145</v>
      </c>
      <c r="B68" s="223" t="s">
        <v>144</v>
      </c>
      <c r="C68" s="31" t="s">
        <v>0</v>
      </c>
      <c r="D68" s="32" t="s">
        <v>1</v>
      </c>
      <c r="E68" s="32" t="s">
        <v>90</v>
      </c>
      <c r="F68" s="54" t="s">
        <v>91</v>
      </c>
      <c r="G68" s="32" t="s">
        <v>143</v>
      </c>
      <c r="H68" s="32" t="s">
        <v>142</v>
      </c>
      <c r="I68" s="31" t="s">
        <v>94</v>
      </c>
      <c r="J68" s="31" t="s">
        <v>95</v>
      </c>
      <c r="K68" s="31" t="s">
        <v>141</v>
      </c>
      <c r="L68" s="133"/>
    </row>
    <row r="69" spans="1:12" ht="15.75" x14ac:dyDescent="0.25">
      <c r="A69" s="26">
        <v>20271</v>
      </c>
      <c r="B69" s="11" t="s">
        <v>202</v>
      </c>
      <c r="C69" s="25" t="s">
        <v>786</v>
      </c>
      <c r="D69" s="436">
        <f>E69/0.8</f>
        <v>375318.75</v>
      </c>
      <c r="E69" s="23">
        <v>300255</v>
      </c>
      <c r="F69" s="408" t="s">
        <v>213</v>
      </c>
      <c r="G69" s="421">
        <f>281347+18908</f>
        <v>300255</v>
      </c>
      <c r="H69" s="409">
        <f>E69-G69</f>
        <v>0</v>
      </c>
      <c r="I69" s="20" t="s">
        <v>468</v>
      </c>
      <c r="J69" s="227">
        <v>43613</v>
      </c>
      <c r="K69" s="440">
        <v>43613</v>
      </c>
      <c r="L69" s="133"/>
    </row>
    <row r="70" spans="1:12" ht="15.75" x14ac:dyDescent="0.25">
      <c r="A70" s="26">
        <v>19449</v>
      </c>
      <c r="B70" s="11" t="s">
        <v>787</v>
      </c>
      <c r="C70" s="25" t="s">
        <v>788</v>
      </c>
      <c r="D70" s="436">
        <v>1289000</v>
      </c>
      <c r="E70" s="23">
        <v>318000</v>
      </c>
      <c r="F70" s="408" t="s">
        <v>213</v>
      </c>
      <c r="G70" s="422">
        <v>318000</v>
      </c>
      <c r="H70" s="409">
        <f t="shared" ref="H70:H72" si="5">E70-G70</f>
        <v>0</v>
      </c>
      <c r="I70" s="20" t="s">
        <v>468</v>
      </c>
      <c r="J70" s="227">
        <v>43838</v>
      </c>
      <c r="K70" s="440">
        <v>43838</v>
      </c>
      <c r="L70" s="133"/>
    </row>
    <row r="71" spans="1:12" ht="15.75" x14ac:dyDescent="0.25">
      <c r="A71" s="26">
        <v>19450</v>
      </c>
      <c r="B71" s="11" t="s">
        <v>398</v>
      </c>
      <c r="C71" s="25" t="s">
        <v>789</v>
      </c>
      <c r="D71" s="436">
        <v>806400</v>
      </c>
      <c r="E71" s="23">
        <v>539895</v>
      </c>
      <c r="F71" s="408" t="s">
        <v>213</v>
      </c>
      <c r="G71" s="422">
        <v>539895</v>
      </c>
      <c r="H71" s="409">
        <f t="shared" si="5"/>
        <v>0</v>
      </c>
      <c r="I71" s="20" t="s">
        <v>468</v>
      </c>
      <c r="J71" s="227">
        <v>43453</v>
      </c>
      <c r="K71" s="440">
        <v>43453</v>
      </c>
      <c r="L71" s="133"/>
    </row>
    <row r="72" spans="1:12" ht="30" x14ac:dyDescent="0.25">
      <c r="A72" s="26">
        <v>20416</v>
      </c>
      <c r="B72" s="438" t="s">
        <v>726</v>
      </c>
      <c r="C72" s="25" t="s">
        <v>857</v>
      </c>
      <c r="D72" s="420">
        <v>700000</v>
      </c>
      <c r="E72" s="23">
        <v>33105</v>
      </c>
      <c r="F72" s="408" t="s">
        <v>213</v>
      </c>
      <c r="G72" s="422">
        <v>33105</v>
      </c>
      <c r="H72" s="409">
        <f t="shared" si="5"/>
        <v>0</v>
      </c>
      <c r="I72" s="20" t="s">
        <v>468</v>
      </c>
      <c r="J72" s="227">
        <v>43615</v>
      </c>
      <c r="K72" s="440">
        <v>43615</v>
      </c>
      <c r="L72" s="133"/>
    </row>
    <row r="73" spans="1:12" ht="30" x14ac:dyDescent="0.25">
      <c r="A73" s="26">
        <v>21516</v>
      </c>
      <c r="B73" s="11" t="s">
        <v>722</v>
      </c>
      <c r="C73" s="25" t="s">
        <v>929</v>
      </c>
      <c r="D73" s="436">
        <f>E73/0.8</f>
        <v>33431.25</v>
      </c>
      <c r="E73" s="23">
        <v>26745</v>
      </c>
      <c r="F73" s="408" t="s">
        <v>213</v>
      </c>
      <c r="G73" s="421">
        <v>26745</v>
      </c>
      <c r="H73" s="409">
        <f>E73-G73</f>
        <v>0</v>
      </c>
      <c r="I73" s="529" t="s">
        <v>468</v>
      </c>
      <c r="J73" s="424" t="s">
        <v>921</v>
      </c>
      <c r="K73" s="440">
        <v>44291</v>
      </c>
      <c r="L73" s="133"/>
    </row>
    <row r="74" spans="1:12" ht="30" x14ac:dyDescent="0.25">
      <c r="A74" s="406">
        <v>22586</v>
      </c>
      <c r="B74" s="407" t="s">
        <v>200</v>
      </c>
      <c r="C74" s="410" t="s">
        <v>993</v>
      </c>
      <c r="D74" s="436">
        <v>1466855.947723751</v>
      </c>
      <c r="E74" s="23">
        <f>E75-SUM(E69:E73)</f>
        <v>282000</v>
      </c>
      <c r="F74" s="408" t="s">
        <v>213</v>
      </c>
      <c r="G74" s="421">
        <v>282000</v>
      </c>
      <c r="H74" s="409">
        <f>E74-G74</f>
        <v>0</v>
      </c>
      <c r="I74" s="529" t="s">
        <v>468</v>
      </c>
      <c r="J74" s="227">
        <v>45183</v>
      </c>
      <c r="K74" s="440">
        <v>44943</v>
      </c>
      <c r="L74" s="133"/>
    </row>
    <row r="75" spans="1:12" ht="15.75" x14ac:dyDescent="0.25">
      <c r="A75" s="52"/>
      <c r="B75" s="224"/>
      <c r="C75" s="24" t="s">
        <v>132</v>
      </c>
      <c r="D75" s="45"/>
      <c r="E75" s="22">
        <v>1500000</v>
      </c>
      <c r="F75" s="104"/>
      <c r="G75" s="201"/>
      <c r="H75" s="426">
        <f>SUM(H69:H71)</f>
        <v>0</v>
      </c>
      <c r="I75" s="51"/>
      <c r="J75" s="50"/>
      <c r="K75" s="49"/>
      <c r="L75" s="133"/>
    </row>
    <row r="76" spans="1:12" ht="15" x14ac:dyDescent="0.2">
      <c r="A76" s="131"/>
      <c r="B76" s="132"/>
      <c r="C76" s="133"/>
      <c r="D76" s="134"/>
      <c r="E76" s="134"/>
      <c r="F76" s="135"/>
      <c r="G76" s="134"/>
      <c r="H76" s="134"/>
      <c r="I76" s="136"/>
      <c r="J76" s="137"/>
      <c r="K76" s="136"/>
      <c r="L76" s="133"/>
    </row>
    <row r="77" spans="1:12" ht="15.75" x14ac:dyDescent="0.2">
      <c r="A77" s="597" t="s">
        <v>719</v>
      </c>
      <c r="B77" s="597"/>
      <c r="C77" s="597"/>
      <c r="D77" s="597"/>
      <c r="E77" s="597"/>
      <c r="F77" s="597"/>
      <c r="G77" s="597"/>
      <c r="H77" s="597"/>
      <c r="I77" s="597"/>
      <c r="J77" s="597"/>
      <c r="K77" s="597"/>
      <c r="L77" s="133"/>
    </row>
    <row r="78" spans="1:12" ht="78.75" x14ac:dyDescent="0.25">
      <c r="A78" s="33" t="s">
        <v>145</v>
      </c>
      <c r="B78" s="31" t="s">
        <v>144</v>
      </c>
      <c r="C78" s="31" t="s">
        <v>0</v>
      </c>
      <c r="D78" s="32" t="s">
        <v>1</v>
      </c>
      <c r="E78" s="32" t="s">
        <v>90</v>
      </c>
      <c r="F78" s="54" t="s">
        <v>91</v>
      </c>
      <c r="G78" s="32" t="s">
        <v>143</v>
      </c>
      <c r="H78" s="32" t="s">
        <v>142</v>
      </c>
      <c r="I78" s="31" t="s">
        <v>94</v>
      </c>
      <c r="J78" s="31" t="s">
        <v>95</v>
      </c>
      <c r="K78" s="31" t="s">
        <v>141</v>
      </c>
      <c r="L78" s="133"/>
    </row>
    <row r="79" spans="1:12" ht="15" x14ac:dyDescent="0.2">
      <c r="A79" s="26">
        <v>18417</v>
      </c>
      <c r="B79" s="418" t="s">
        <v>202</v>
      </c>
      <c r="C79" s="25" t="s">
        <v>720</v>
      </c>
      <c r="D79" s="409">
        <v>400000</v>
      </c>
      <c r="E79" s="23">
        <f>320000-67514</f>
        <v>252486</v>
      </c>
      <c r="F79" s="408" t="s">
        <v>213</v>
      </c>
      <c r="G79" s="421">
        <v>252486</v>
      </c>
      <c r="H79" s="409">
        <f>E79-G79</f>
        <v>0</v>
      </c>
      <c r="I79" s="20" t="s">
        <v>468</v>
      </c>
      <c r="J79" s="227">
        <v>43238</v>
      </c>
      <c r="K79" s="440">
        <v>43238</v>
      </c>
      <c r="L79" s="133"/>
    </row>
    <row r="80" spans="1:12" ht="25.5" x14ac:dyDescent="0.2">
      <c r="A80" s="26">
        <v>18418</v>
      </c>
      <c r="B80" s="418" t="s">
        <v>721</v>
      </c>
      <c r="C80" s="25" t="s">
        <v>473</v>
      </c>
      <c r="D80" s="409">
        <v>6340247</v>
      </c>
      <c r="E80" s="23">
        <v>569823</v>
      </c>
      <c r="F80" s="408" t="s">
        <v>504</v>
      </c>
      <c r="G80" s="422">
        <v>569823</v>
      </c>
      <c r="H80" s="409">
        <f t="shared" ref="H80:H85" si="6">E80-G80</f>
        <v>0</v>
      </c>
      <c r="I80" s="20" t="s">
        <v>468</v>
      </c>
      <c r="J80" s="227">
        <v>43052</v>
      </c>
      <c r="K80" s="440">
        <v>43052</v>
      </c>
      <c r="L80" s="133"/>
    </row>
    <row r="81" spans="1:12" ht="15" x14ac:dyDescent="0.2">
      <c r="A81" s="26">
        <v>18419</v>
      </c>
      <c r="B81" s="418" t="s">
        <v>722</v>
      </c>
      <c r="C81" s="25" t="s">
        <v>723</v>
      </c>
      <c r="D81" s="409">
        <v>281887</v>
      </c>
      <c r="E81" s="23">
        <v>225509</v>
      </c>
      <c r="F81" s="408" t="s">
        <v>213</v>
      </c>
      <c r="G81" s="422">
        <v>225509</v>
      </c>
      <c r="H81" s="409">
        <f t="shared" si="6"/>
        <v>0</v>
      </c>
      <c r="I81" s="20" t="s">
        <v>468</v>
      </c>
      <c r="J81" s="227">
        <v>43258</v>
      </c>
      <c r="K81" s="440">
        <v>43258</v>
      </c>
      <c r="L81" s="133"/>
    </row>
    <row r="82" spans="1:12" ht="15" x14ac:dyDescent="0.2">
      <c r="A82" s="26">
        <v>18420</v>
      </c>
      <c r="B82" s="418" t="s">
        <v>724</v>
      </c>
      <c r="C82" s="25" t="s">
        <v>725</v>
      </c>
      <c r="D82" s="409">
        <v>20000</v>
      </c>
      <c r="E82" s="23">
        <f>16000-2768</f>
        <v>13232</v>
      </c>
      <c r="F82" s="408" t="s">
        <v>213</v>
      </c>
      <c r="G82" s="422">
        <v>13232</v>
      </c>
      <c r="H82" s="409">
        <f t="shared" si="6"/>
        <v>0</v>
      </c>
      <c r="I82" s="20" t="s">
        <v>468</v>
      </c>
      <c r="J82" s="227">
        <v>43237</v>
      </c>
      <c r="K82" s="440">
        <v>43237</v>
      </c>
      <c r="L82" s="133"/>
    </row>
    <row r="83" spans="1:12" ht="25.5" x14ac:dyDescent="0.2">
      <c r="A83" s="26">
        <v>18421</v>
      </c>
      <c r="B83" s="418" t="s">
        <v>726</v>
      </c>
      <c r="C83" s="25" t="s">
        <v>727</v>
      </c>
      <c r="D83" s="409">
        <v>600000</v>
      </c>
      <c r="E83" s="23">
        <f>400000-76236</f>
        <v>323764</v>
      </c>
      <c r="F83" s="408" t="s">
        <v>728</v>
      </c>
      <c r="G83" s="422">
        <v>323764</v>
      </c>
      <c r="H83" s="409">
        <f t="shared" si="6"/>
        <v>0</v>
      </c>
      <c r="I83" s="20" t="s">
        <v>468</v>
      </c>
      <c r="J83" s="227">
        <v>42639</v>
      </c>
      <c r="K83" s="440">
        <v>42639</v>
      </c>
      <c r="L83" s="133"/>
    </row>
    <row r="84" spans="1:12" ht="15.75" x14ac:dyDescent="0.25">
      <c r="A84" s="131">
        <v>20271</v>
      </c>
      <c r="B84" s="11" t="s">
        <v>202</v>
      </c>
      <c r="C84" s="410" t="s">
        <v>790</v>
      </c>
      <c r="D84" s="441">
        <f>E84/0.8</f>
        <v>56130</v>
      </c>
      <c r="E84" s="442">
        <v>44904</v>
      </c>
      <c r="F84" s="408" t="s">
        <v>213</v>
      </c>
      <c r="G84" s="422">
        <v>44904</v>
      </c>
      <c r="H84" s="409">
        <f t="shared" si="6"/>
        <v>0</v>
      </c>
      <c r="I84" s="20" t="s">
        <v>468</v>
      </c>
      <c r="J84" s="227">
        <v>43613</v>
      </c>
      <c r="K84" s="227">
        <v>43613</v>
      </c>
      <c r="L84" s="133"/>
    </row>
    <row r="85" spans="1:12" ht="30" x14ac:dyDescent="0.25">
      <c r="A85" s="26">
        <v>20416</v>
      </c>
      <c r="B85" s="418" t="s">
        <v>726</v>
      </c>
      <c r="C85" s="25" t="s">
        <v>858</v>
      </c>
      <c r="D85" s="420">
        <v>700000</v>
      </c>
      <c r="E85" s="442">
        <f>2768+67514</f>
        <v>70282</v>
      </c>
      <c r="F85" s="408" t="s">
        <v>213</v>
      </c>
      <c r="G85" s="422">
        <v>70282</v>
      </c>
      <c r="H85" s="409">
        <f t="shared" si="6"/>
        <v>0</v>
      </c>
      <c r="I85" s="20" t="s">
        <v>468</v>
      </c>
      <c r="J85" s="227">
        <v>43615</v>
      </c>
      <c r="K85" s="227">
        <v>43615</v>
      </c>
      <c r="L85" s="133"/>
    </row>
    <row r="86" spans="1:12" ht="15.75" x14ac:dyDescent="0.25">
      <c r="A86" s="52"/>
      <c r="B86" s="40"/>
      <c r="C86" s="24" t="s">
        <v>132</v>
      </c>
      <c r="D86" s="45"/>
      <c r="E86" s="22">
        <f>1500000</f>
        <v>1500000</v>
      </c>
      <c r="F86" s="104"/>
      <c r="G86" s="201"/>
      <c r="H86" s="426">
        <f>SUM(H79:H84)</f>
        <v>0</v>
      </c>
      <c r="I86" s="51"/>
      <c r="J86" s="50"/>
      <c r="K86" s="49"/>
      <c r="L86" s="133"/>
    </row>
    <row r="87" spans="1:12" ht="15.75" x14ac:dyDescent="0.25">
      <c r="A87" s="52"/>
      <c r="B87" s="40"/>
      <c r="C87" s="24"/>
      <c r="D87" s="45"/>
      <c r="E87" s="22"/>
      <c r="F87" s="104"/>
      <c r="G87" s="52"/>
      <c r="H87" s="426"/>
      <c r="I87" s="51"/>
      <c r="J87" s="50"/>
      <c r="K87" s="49"/>
      <c r="L87" s="133"/>
    </row>
    <row r="88" spans="1:12" ht="15.75" x14ac:dyDescent="0.2">
      <c r="A88" s="597" t="s">
        <v>501</v>
      </c>
      <c r="B88" s="597"/>
      <c r="C88" s="597"/>
      <c r="D88" s="597"/>
      <c r="E88" s="597"/>
      <c r="F88" s="597"/>
      <c r="G88" s="597"/>
      <c r="H88" s="597"/>
      <c r="I88" s="597"/>
      <c r="J88" s="597"/>
      <c r="K88" s="597"/>
      <c r="L88" s="133"/>
    </row>
    <row r="89" spans="1:12" ht="78.75" x14ac:dyDescent="0.25">
      <c r="A89" s="33" t="s">
        <v>145</v>
      </c>
      <c r="B89" s="31" t="s">
        <v>144</v>
      </c>
      <c r="C89" s="31" t="s">
        <v>0</v>
      </c>
      <c r="D89" s="32" t="s">
        <v>1</v>
      </c>
      <c r="E89" s="32" t="s">
        <v>90</v>
      </c>
      <c r="F89" s="54" t="s">
        <v>91</v>
      </c>
      <c r="G89" s="32" t="s">
        <v>143</v>
      </c>
      <c r="H89" s="32" t="s">
        <v>142</v>
      </c>
      <c r="I89" s="31" t="s">
        <v>94</v>
      </c>
      <c r="J89" s="31" t="s">
        <v>95</v>
      </c>
      <c r="K89" s="31" t="s">
        <v>141</v>
      </c>
      <c r="L89" s="133"/>
    </row>
    <row r="90" spans="1:12" ht="15" x14ac:dyDescent="0.2">
      <c r="A90" s="443">
        <v>17521</v>
      </c>
      <c r="B90" s="19" t="s">
        <v>211</v>
      </c>
      <c r="C90" s="444" t="s">
        <v>502</v>
      </c>
      <c r="D90" s="409">
        <v>645846</v>
      </c>
      <c r="E90" s="445">
        <v>480000</v>
      </c>
      <c r="F90" s="408" t="s">
        <v>213</v>
      </c>
      <c r="G90" s="421">
        <v>480000</v>
      </c>
      <c r="H90" s="409">
        <f>E90-G90</f>
        <v>0</v>
      </c>
      <c r="I90" s="446" t="s">
        <v>136</v>
      </c>
      <c r="J90" s="227">
        <v>42717</v>
      </c>
      <c r="K90" s="440">
        <v>42717</v>
      </c>
      <c r="L90" s="133"/>
    </row>
    <row r="91" spans="1:12" ht="25.5" x14ac:dyDescent="0.2">
      <c r="A91" s="443">
        <v>17522</v>
      </c>
      <c r="B91" s="19" t="s">
        <v>115</v>
      </c>
      <c r="C91" s="444" t="s">
        <v>503</v>
      </c>
      <c r="D91" s="409">
        <v>1050000</v>
      </c>
      <c r="E91" s="445">
        <v>369007</v>
      </c>
      <c r="F91" s="408" t="s">
        <v>504</v>
      </c>
      <c r="G91" s="421">
        <v>369007</v>
      </c>
      <c r="H91" s="409">
        <f t="shared" ref="H91:H95" si="7">E91-G91</f>
        <v>0</v>
      </c>
      <c r="I91" s="20" t="s">
        <v>468</v>
      </c>
      <c r="J91" s="227">
        <v>42744</v>
      </c>
      <c r="K91" s="440">
        <v>42744</v>
      </c>
      <c r="L91" s="133"/>
    </row>
    <row r="92" spans="1:12" ht="30" x14ac:dyDescent="0.2">
      <c r="A92" s="443">
        <v>17523</v>
      </c>
      <c r="B92" s="19" t="s">
        <v>122</v>
      </c>
      <c r="C92" s="444" t="s">
        <v>505</v>
      </c>
      <c r="D92" s="409">
        <v>17741</v>
      </c>
      <c r="E92" s="445">
        <v>14193</v>
      </c>
      <c r="F92" s="408" t="s">
        <v>213</v>
      </c>
      <c r="G92" s="421">
        <v>14193</v>
      </c>
      <c r="H92" s="409">
        <f t="shared" si="7"/>
        <v>0</v>
      </c>
      <c r="I92" s="446" t="s">
        <v>136</v>
      </c>
      <c r="J92" s="227">
        <v>43159</v>
      </c>
      <c r="K92" s="440">
        <v>43159</v>
      </c>
      <c r="L92" s="133"/>
    </row>
    <row r="93" spans="1:12" ht="15" x14ac:dyDescent="0.2">
      <c r="A93" s="443">
        <v>17519</v>
      </c>
      <c r="B93" s="19" t="s">
        <v>506</v>
      </c>
      <c r="C93" s="444" t="s">
        <v>507</v>
      </c>
      <c r="D93" s="409">
        <v>763390</v>
      </c>
      <c r="E93" s="445">
        <v>600000</v>
      </c>
      <c r="F93" s="408" t="s">
        <v>213</v>
      </c>
      <c r="G93" s="421">
        <v>600000</v>
      </c>
      <c r="H93" s="409">
        <f t="shared" si="7"/>
        <v>0</v>
      </c>
      <c r="I93" s="20" t="s">
        <v>468</v>
      </c>
      <c r="J93" s="227">
        <v>42928</v>
      </c>
      <c r="K93" s="440">
        <v>42928</v>
      </c>
      <c r="L93" s="133"/>
    </row>
    <row r="94" spans="1:12" ht="15" x14ac:dyDescent="0.2">
      <c r="A94" s="443">
        <v>17520</v>
      </c>
      <c r="B94" s="19" t="s">
        <v>508</v>
      </c>
      <c r="C94" s="444" t="s">
        <v>509</v>
      </c>
      <c r="D94" s="409">
        <v>46000</v>
      </c>
      <c r="E94" s="445">
        <v>3695</v>
      </c>
      <c r="F94" s="408" t="s">
        <v>213</v>
      </c>
      <c r="G94" s="421">
        <f>49340-47200+1555</f>
        <v>3695</v>
      </c>
      <c r="H94" s="409">
        <f t="shared" si="7"/>
        <v>0</v>
      </c>
      <c r="I94" s="20" t="s">
        <v>468</v>
      </c>
      <c r="J94" s="227">
        <v>43087</v>
      </c>
      <c r="K94" s="440">
        <v>43087</v>
      </c>
      <c r="L94" s="133"/>
    </row>
    <row r="95" spans="1:12" ht="15.75" x14ac:dyDescent="0.25">
      <c r="A95" s="131">
        <v>20271</v>
      </c>
      <c r="B95" s="11" t="s">
        <v>202</v>
      </c>
      <c r="C95" s="410" t="s">
        <v>791</v>
      </c>
      <c r="D95" s="447">
        <f>E95/0.8</f>
        <v>41381.25</v>
      </c>
      <c r="E95" s="445">
        <v>33105</v>
      </c>
      <c r="F95" s="408" t="s">
        <v>213</v>
      </c>
      <c r="G95" s="421">
        <v>33105</v>
      </c>
      <c r="H95" s="409">
        <f t="shared" si="7"/>
        <v>0</v>
      </c>
      <c r="I95" s="20" t="s">
        <v>468</v>
      </c>
      <c r="J95" s="227">
        <v>43613</v>
      </c>
      <c r="K95" s="227">
        <v>43613</v>
      </c>
      <c r="L95" s="133"/>
    </row>
    <row r="96" spans="1:12" ht="15.75" x14ac:dyDescent="0.25">
      <c r="A96" s="52"/>
      <c r="B96" s="40"/>
      <c r="C96" s="24" t="s">
        <v>132</v>
      </c>
      <c r="D96" s="45"/>
      <c r="E96" s="22">
        <f>SUM(E90:E95)</f>
        <v>1500000</v>
      </c>
      <c r="F96" s="104"/>
      <c r="G96" s="52"/>
      <c r="H96" s="426">
        <f>SUM(H90:H94)</f>
        <v>0</v>
      </c>
      <c r="I96" s="51"/>
      <c r="J96" s="50"/>
      <c r="K96" s="49"/>
      <c r="L96" s="133"/>
    </row>
    <row r="97" spans="1:12" ht="15" x14ac:dyDescent="0.2">
      <c r="A97" s="131"/>
      <c r="B97" s="132"/>
      <c r="C97" s="133"/>
      <c r="D97" s="134"/>
      <c r="E97" s="134"/>
      <c r="F97" s="135"/>
      <c r="G97" s="134"/>
      <c r="H97" s="134"/>
      <c r="I97" s="136"/>
      <c r="J97" s="137"/>
      <c r="K97" s="136"/>
      <c r="L97" s="133"/>
    </row>
    <row r="98" spans="1:12" ht="15.75" x14ac:dyDescent="0.2">
      <c r="A98" s="597" t="s">
        <v>470</v>
      </c>
      <c r="B98" s="597"/>
      <c r="C98" s="597"/>
      <c r="D98" s="597"/>
      <c r="E98" s="597"/>
      <c r="F98" s="597"/>
      <c r="G98" s="597"/>
      <c r="H98" s="597"/>
      <c r="I98" s="597"/>
      <c r="J98" s="597"/>
      <c r="K98" s="597"/>
      <c r="L98" s="133"/>
    </row>
    <row r="99" spans="1:12" ht="78.75" x14ac:dyDescent="0.25">
      <c r="A99" s="33" t="s">
        <v>145</v>
      </c>
      <c r="B99" s="31" t="s">
        <v>144</v>
      </c>
      <c r="C99" s="31" t="s">
        <v>0</v>
      </c>
      <c r="D99" s="32" t="s">
        <v>1</v>
      </c>
      <c r="E99" s="32" t="s">
        <v>90</v>
      </c>
      <c r="F99" s="54" t="s">
        <v>91</v>
      </c>
      <c r="G99" s="32" t="s">
        <v>143</v>
      </c>
      <c r="H99" s="32" t="s">
        <v>142</v>
      </c>
      <c r="I99" s="31" t="s">
        <v>94</v>
      </c>
      <c r="J99" s="31" t="s">
        <v>95</v>
      </c>
      <c r="K99" s="31" t="s">
        <v>141</v>
      </c>
      <c r="L99" s="133"/>
    </row>
    <row r="100" spans="1:12" ht="15" x14ac:dyDescent="0.2">
      <c r="A100" s="443">
        <v>16399</v>
      </c>
      <c r="B100" s="19" t="s">
        <v>211</v>
      </c>
      <c r="C100" s="444" t="s">
        <v>471</v>
      </c>
      <c r="D100" s="409">
        <v>55000</v>
      </c>
      <c r="E100" s="445">
        <v>44000</v>
      </c>
      <c r="F100" s="408" t="s">
        <v>212</v>
      </c>
      <c r="G100" s="409">
        <v>44000</v>
      </c>
      <c r="H100" s="409">
        <f>E100-G100</f>
        <v>0</v>
      </c>
      <c r="I100" s="446" t="s">
        <v>136</v>
      </c>
      <c r="J100" s="227">
        <v>42116</v>
      </c>
      <c r="K100" s="440">
        <v>42116</v>
      </c>
      <c r="L100" s="133"/>
    </row>
    <row r="101" spans="1:12" ht="25.5" x14ac:dyDescent="0.2">
      <c r="A101" s="443">
        <v>16400</v>
      </c>
      <c r="B101" s="19" t="s">
        <v>115</v>
      </c>
      <c r="C101" s="444" t="s">
        <v>472</v>
      </c>
      <c r="D101" s="409">
        <v>965000</v>
      </c>
      <c r="E101" s="445">
        <v>600000</v>
      </c>
      <c r="F101" s="408" t="s">
        <v>204</v>
      </c>
      <c r="G101" s="409">
        <v>600000</v>
      </c>
      <c r="H101" s="409">
        <f t="shared" ref="H101:H104" si="8">E101-G101</f>
        <v>0</v>
      </c>
      <c r="I101" s="446" t="s">
        <v>136</v>
      </c>
      <c r="J101" s="227">
        <v>42354</v>
      </c>
      <c r="K101" s="440">
        <v>42354</v>
      </c>
      <c r="L101" s="133"/>
    </row>
    <row r="102" spans="1:12" ht="25.5" x14ac:dyDescent="0.2">
      <c r="A102" s="443">
        <v>16401</v>
      </c>
      <c r="B102" s="19" t="s">
        <v>116</v>
      </c>
      <c r="C102" s="444" t="s">
        <v>473</v>
      </c>
      <c r="D102" s="409">
        <v>5184568</v>
      </c>
      <c r="E102" s="445">
        <v>600000</v>
      </c>
      <c r="F102" s="408" t="s">
        <v>204</v>
      </c>
      <c r="G102" s="409">
        <v>600000</v>
      </c>
      <c r="H102" s="409">
        <f t="shared" si="8"/>
        <v>0</v>
      </c>
      <c r="I102" s="20" t="s">
        <v>468</v>
      </c>
      <c r="J102" s="227">
        <v>42926</v>
      </c>
      <c r="K102" s="440">
        <v>42926</v>
      </c>
      <c r="L102" s="133"/>
    </row>
    <row r="103" spans="1:12" ht="25.5" x14ac:dyDescent="0.2">
      <c r="A103" s="443">
        <v>16402</v>
      </c>
      <c r="B103" s="19" t="s">
        <v>122</v>
      </c>
      <c r="C103" s="444" t="s">
        <v>474</v>
      </c>
      <c r="D103" s="409">
        <v>280000</v>
      </c>
      <c r="E103" s="445">
        <v>208800</v>
      </c>
      <c r="F103" s="408" t="s">
        <v>204</v>
      </c>
      <c r="G103" s="409">
        <v>208800</v>
      </c>
      <c r="H103" s="409">
        <f t="shared" si="8"/>
        <v>0</v>
      </c>
      <c r="I103" s="446" t="s">
        <v>136</v>
      </c>
      <c r="J103" s="227">
        <v>42381</v>
      </c>
      <c r="K103" s="440">
        <v>42381</v>
      </c>
      <c r="L103" s="136"/>
    </row>
    <row r="104" spans="1:12" ht="15" x14ac:dyDescent="0.2">
      <c r="A104" s="443">
        <v>17520</v>
      </c>
      <c r="B104" s="19" t="s">
        <v>508</v>
      </c>
      <c r="C104" s="444" t="s">
        <v>510</v>
      </c>
      <c r="D104" s="448">
        <v>59000</v>
      </c>
      <c r="E104" s="442">
        <f>E105-SUM(E100:E103)</f>
        <v>47200</v>
      </c>
      <c r="F104" s="408" t="s">
        <v>213</v>
      </c>
      <c r="G104" s="449">
        <v>47200</v>
      </c>
      <c r="H104" s="409">
        <f t="shared" si="8"/>
        <v>0</v>
      </c>
      <c r="I104" s="20" t="s">
        <v>468</v>
      </c>
      <c r="J104" s="227">
        <v>43087</v>
      </c>
      <c r="K104" s="440">
        <v>43087</v>
      </c>
      <c r="L104" s="136"/>
    </row>
    <row r="105" spans="1:12" ht="15.75" x14ac:dyDescent="0.25">
      <c r="A105" s="52"/>
      <c r="B105" s="40"/>
      <c r="C105" s="24" t="s">
        <v>132</v>
      </c>
      <c r="D105" s="45"/>
      <c r="E105" s="22">
        <v>1500000</v>
      </c>
      <c r="F105" s="104"/>
      <c r="G105" s="201"/>
      <c r="H105" s="426">
        <f>SUM(H100:H104)</f>
        <v>0</v>
      </c>
      <c r="I105" s="51"/>
      <c r="J105" s="50"/>
      <c r="K105" s="49"/>
      <c r="L105" s="136"/>
    </row>
    <row r="106" spans="1:12" ht="15.75" x14ac:dyDescent="0.2">
      <c r="A106" s="138"/>
      <c r="B106" s="139"/>
      <c r="C106" s="133"/>
      <c r="D106" s="134"/>
      <c r="E106" s="134"/>
      <c r="F106" s="135"/>
      <c r="G106" s="134"/>
      <c r="H106" s="134"/>
      <c r="I106" s="136"/>
      <c r="J106" s="137"/>
      <c r="K106" s="136"/>
      <c r="L106" s="136"/>
    </row>
    <row r="107" spans="1:12" ht="15.75" x14ac:dyDescent="0.2">
      <c r="A107" s="597" t="s">
        <v>397</v>
      </c>
      <c r="B107" s="597"/>
      <c r="C107" s="597"/>
      <c r="D107" s="597"/>
      <c r="E107" s="597"/>
      <c r="F107" s="597"/>
      <c r="G107" s="597"/>
      <c r="H107" s="597"/>
      <c r="I107" s="597"/>
      <c r="J107" s="597"/>
      <c r="K107" s="597"/>
      <c r="L107" s="136"/>
    </row>
    <row r="108" spans="1:12" ht="78.75" x14ac:dyDescent="0.25">
      <c r="A108" s="33" t="s">
        <v>145</v>
      </c>
      <c r="B108" s="31" t="s">
        <v>144</v>
      </c>
      <c r="C108" s="31" t="s">
        <v>0</v>
      </c>
      <c r="D108" s="32" t="s">
        <v>1</v>
      </c>
      <c r="E108" s="32" t="s">
        <v>90</v>
      </c>
      <c r="F108" s="54" t="s">
        <v>91</v>
      </c>
      <c r="G108" s="32" t="s">
        <v>143</v>
      </c>
      <c r="H108" s="32" t="s">
        <v>142</v>
      </c>
      <c r="I108" s="31" t="s">
        <v>94</v>
      </c>
      <c r="J108" s="31" t="s">
        <v>95</v>
      </c>
      <c r="K108" s="31" t="s">
        <v>141</v>
      </c>
      <c r="L108" s="136"/>
    </row>
    <row r="109" spans="1:12" ht="15.75" x14ac:dyDescent="0.2">
      <c r="A109" s="19">
        <v>15510</v>
      </c>
      <c r="B109" s="19" t="s">
        <v>398</v>
      </c>
      <c r="C109" s="19" t="s">
        <v>399</v>
      </c>
      <c r="D109" s="409">
        <v>433900</v>
      </c>
      <c r="E109" s="409">
        <v>347120</v>
      </c>
      <c r="F109" s="408" t="s">
        <v>213</v>
      </c>
      <c r="G109" s="409">
        <v>347120</v>
      </c>
      <c r="H109" s="409">
        <f>E109-G109</f>
        <v>0</v>
      </c>
      <c r="I109" s="446" t="s">
        <v>136</v>
      </c>
      <c r="J109" s="440">
        <v>42079</v>
      </c>
      <c r="K109" s="440">
        <v>42079</v>
      </c>
      <c r="L109" s="537"/>
    </row>
    <row r="110" spans="1:12" ht="15.75" x14ac:dyDescent="0.2">
      <c r="A110" s="19">
        <v>15511</v>
      </c>
      <c r="B110" s="19" t="s">
        <v>400</v>
      </c>
      <c r="C110" s="19" t="s">
        <v>401</v>
      </c>
      <c r="D110" s="409">
        <v>70000</v>
      </c>
      <c r="E110" s="409">
        <f>56000-23120</f>
        <v>32880</v>
      </c>
      <c r="F110" s="408" t="s">
        <v>213</v>
      </c>
      <c r="G110" s="409">
        <v>32880</v>
      </c>
      <c r="H110" s="409">
        <f t="shared" ref="H110:H119" si="9">E110-G110</f>
        <v>0</v>
      </c>
      <c r="I110" s="446" t="s">
        <v>136</v>
      </c>
      <c r="J110" s="440">
        <v>42600</v>
      </c>
      <c r="K110" s="440">
        <v>42600</v>
      </c>
      <c r="L110" s="537"/>
    </row>
    <row r="111" spans="1:12" ht="15" x14ac:dyDescent="0.2">
      <c r="A111" s="19">
        <v>15512</v>
      </c>
      <c r="B111" s="19" t="s">
        <v>402</v>
      </c>
      <c r="C111" s="19" t="s">
        <v>403</v>
      </c>
      <c r="D111" s="409">
        <v>202800</v>
      </c>
      <c r="E111" s="409">
        <v>162240</v>
      </c>
      <c r="F111" s="408" t="s">
        <v>213</v>
      </c>
      <c r="G111" s="409">
        <v>162240</v>
      </c>
      <c r="H111" s="409">
        <f t="shared" si="9"/>
        <v>0</v>
      </c>
      <c r="I111" s="20" t="s">
        <v>136</v>
      </c>
      <c r="J111" s="440">
        <v>41847</v>
      </c>
      <c r="K111" s="440">
        <v>41847</v>
      </c>
      <c r="L111" s="133"/>
    </row>
    <row r="112" spans="1:12" ht="30" x14ac:dyDescent="0.2">
      <c r="A112" s="19">
        <v>15513</v>
      </c>
      <c r="B112" s="19" t="s">
        <v>115</v>
      </c>
      <c r="C112" s="19" t="s">
        <v>404</v>
      </c>
      <c r="D112" s="409">
        <v>688192.27749999997</v>
      </c>
      <c r="E112" s="409">
        <f>600000-95211-25058-3885</f>
        <v>475846</v>
      </c>
      <c r="F112" s="408" t="s">
        <v>204</v>
      </c>
      <c r="G112" s="409">
        <f>38106+437740</f>
        <v>475846</v>
      </c>
      <c r="H112" s="409">
        <f t="shared" si="9"/>
        <v>0</v>
      </c>
      <c r="I112" s="446" t="s">
        <v>136</v>
      </c>
      <c r="J112" s="450">
        <v>42320</v>
      </c>
      <c r="K112" s="450">
        <v>42321</v>
      </c>
      <c r="L112" s="136"/>
    </row>
    <row r="113" spans="1:12" ht="15" x14ac:dyDescent="0.2">
      <c r="A113" s="19">
        <v>15513</v>
      </c>
      <c r="B113" s="19" t="s">
        <v>115</v>
      </c>
      <c r="C113" s="19" t="s">
        <v>405</v>
      </c>
      <c r="D113" s="409">
        <v>45000</v>
      </c>
      <c r="E113" s="409">
        <v>36000</v>
      </c>
      <c r="F113" s="408" t="s">
        <v>213</v>
      </c>
      <c r="G113" s="409">
        <v>36000</v>
      </c>
      <c r="H113" s="409">
        <f t="shared" si="9"/>
        <v>0</v>
      </c>
      <c r="I113" s="446" t="s">
        <v>136</v>
      </c>
      <c r="J113" s="440">
        <v>42381</v>
      </c>
      <c r="K113" s="440">
        <v>42381</v>
      </c>
      <c r="L113" s="136"/>
    </row>
    <row r="114" spans="1:12" ht="15" x14ac:dyDescent="0.2">
      <c r="A114" s="19">
        <v>15514</v>
      </c>
      <c r="B114" s="19" t="s">
        <v>122</v>
      </c>
      <c r="C114" s="19" t="s">
        <v>406</v>
      </c>
      <c r="D114" s="409">
        <v>300000</v>
      </c>
      <c r="E114" s="409">
        <f>240000-40662</f>
        <v>199338</v>
      </c>
      <c r="F114" s="408" t="s">
        <v>213</v>
      </c>
      <c r="G114" s="409">
        <f>179335+20003</f>
        <v>199338</v>
      </c>
      <c r="H114" s="409">
        <f t="shared" si="9"/>
        <v>0</v>
      </c>
      <c r="I114" s="446" t="s">
        <v>136</v>
      </c>
      <c r="J114" s="440">
        <v>42369</v>
      </c>
      <c r="K114" s="440">
        <v>42369</v>
      </c>
      <c r="L114" s="136"/>
    </row>
    <row r="115" spans="1:12" ht="15" x14ac:dyDescent="0.2">
      <c r="A115" s="19">
        <v>15514</v>
      </c>
      <c r="B115" s="19" t="s">
        <v>122</v>
      </c>
      <c r="C115" s="19" t="s">
        <v>407</v>
      </c>
      <c r="D115" s="409">
        <v>185000</v>
      </c>
      <c r="E115" s="409">
        <f>136000-12454</f>
        <v>123546</v>
      </c>
      <c r="F115" s="408" t="s">
        <v>213</v>
      </c>
      <c r="G115" s="409">
        <v>123546</v>
      </c>
      <c r="H115" s="409">
        <f t="shared" si="9"/>
        <v>0</v>
      </c>
      <c r="I115" s="446" t="s">
        <v>136</v>
      </c>
      <c r="J115" s="440">
        <v>42369</v>
      </c>
      <c r="K115" s="440">
        <v>42369</v>
      </c>
      <c r="L115" s="136"/>
    </row>
    <row r="116" spans="1:12" ht="25.5" x14ac:dyDescent="0.2">
      <c r="A116" s="451">
        <v>15514</v>
      </c>
      <c r="B116" s="451" t="s">
        <v>122</v>
      </c>
      <c r="C116" s="452" t="s">
        <v>408</v>
      </c>
      <c r="D116" s="448">
        <v>50000</v>
      </c>
      <c r="E116" s="442">
        <v>40000</v>
      </c>
      <c r="F116" s="453" t="s">
        <v>204</v>
      </c>
      <c r="G116" s="449">
        <v>40000</v>
      </c>
      <c r="H116" s="409">
        <f t="shared" si="9"/>
        <v>0</v>
      </c>
      <c r="I116" s="446" t="s">
        <v>136</v>
      </c>
      <c r="J116" s="440">
        <v>41767</v>
      </c>
      <c r="K116" s="454">
        <v>41767</v>
      </c>
      <c r="L116" s="136"/>
    </row>
    <row r="117" spans="1:12" ht="30" x14ac:dyDescent="0.2">
      <c r="A117" s="443">
        <v>17523</v>
      </c>
      <c r="B117" s="19" t="s">
        <v>122</v>
      </c>
      <c r="C117" s="444" t="s">
        <v>511</v>
      </c>
      <c r="D117" s="448">
        <v>8493</v>
      </c>
      <c r="E117" s="442">
        <v>2851</v>
      </c>
      <c r="F117" s="408" t="s">
        <v>213</v>
      </c>
      <c r="G117" s="23">
        <v>2851</v>
      </c>
      <c r="H117" s="409">
        <f t="shared" si="9"/>
        <v>0</v>
      </c>
      <c r="I117" s="446" t="s">
        <v>136</v>
      </c>
      <c r="J117" s="440">
        <v>43159</v>
      </c>
      <c r="K117" s="440">
        <v>43159</v>
      </c>
      <c r="L117" s="136"/>
    </row>
    <row r="118" spans="1:12" ht="15" x14ac:dyDescent="0.2">
      <c r="A118" s="443">
        <v>18421</v>
      </c>
      <c r="B118" s="11" t="s">
        <v>726</v>
      </c>
      <c r="C118" s="410" t="s">
        <v>729</v>
      </c>
      <c r="D118" s="448"/>
      <c r="E118" s="442">
        <v>76236</v>
      </c>
      <c r="F118" s="408" t="s">
        <v>213</v>
      </c>
      <c r="G118" s="23">
        <v>76236</v>
      </c>
      <c r="H118" s="409">
        <f t="shared" si="9"/>
        <v>0</v>
      </c>
      <c r="I118" s="20" t="s">
        <v>136</v>
      </c>
      <c r="J118" s="440">
        <v>42639</v>
      </c>
      <c r="K118" s="454">
        <v>42639</v>
      </c>
      <c r="L118" s="136"/>
    </row>
    <row r="119" spans="1:12" ht="30" x14ac:dyDescent="0.25">
      <c r="A119" s="11">
        <v>20416</v>
      </c>
      <c r="B119" s="418" t="s">
        <v>726</v>
      </c>
      <c r="C119" s="25" t="s">
        <v>859</v>
      </c>
      <c r="D119" s="455">
        <v>700000</v>
      </c>
      <c r="E119" s="442">
        <f>E120-SUM(E109:E118)</f>
        <v>3943</v>
      </c>
      <c r="F119" s="408" t="s">
        <v>213</v>
      </c>
      <c r="G119" s="23">
        <v>3943</v>
      </c>
      <c r="H119" s="409">
        <f t="shared" si="9"/>
        <v>0</v>
      </c>
      <c r="I119" s="20" t="s">
        <v>136</v>
      </c>
      <c r="J119" s="440">
        <v>43615</v>
      </c>
      <c r="K119" s="440">
        <v>43615</v>
      </c>
      <c r="L119" s="461"/>
    </row>
    <row r="120" spans="1:12" ht="15.75" x14ac:dyDescent="0.25">
      <c r="A120" s="52"/>
      <c r="B120" s="40"/>
      <c r="C120" s="24" t="s">
        <v>132</v>
      </c>
      <c r="D120" s="45"/>
      <c r="E120" s="22">
        <v>1500000</v>
      </c>
      <c r="F120" s="104"/>
      <c r="G120" s="201"/>
      <c r="H120" s="426">
        <f>SUM(H109:H117)</f>
        <v>0</v>
      </c>
      <c r="I120" s="51"/>
      <c r="J120" s="50"/>
      <c r="K120" s="49"/>
      <c r="L120" s="136"/>
    </row>
    <row r="121" spans="1:12" ht="15.75" x14ac:dyDescent="0.2">
      <c r="A121" s="131"/>
      <c r="B121" s="132"/>
      <c r="C121" s="133"/>
      <c r="D121" s="134"/>
      <c r="E121" s="134"/>
      <c r="F121" s="135"/>
      <c r="G121" s="134"/>
      <c r="H121" s="134"/>
      <c r="I121" s="136"/>
      <c r="J121" s="137"/>
      <c r="K121" s="136"/>
      <c r="L121" s="537"/>
    </row>
    <row r="122" spans="1:12" ht="15.75" x14ac:dyDescent="0.2">
      <c r="A122" s="597" t="s">
        <v>209</v>
      </c>
      <c r="B122" s="597"/>
      <c r="C122" s="597"/>
      <c r="D122" s="597"/>
      <c r="E122" s="597"/>
      <c r="F122" s="597"/>
      <c r="G122" s="597"/>
      <c r="H122" s="597"/>
      <c r="I122" s="597"/>
      <c r="J122" s="597"/>
      <c r="K122" s="597"/>
      <c r="L122" s="471"/>
    </row>
    <row r="123" spans="1:12" ht="78.75" x14ac:dyDescent="0.25">
      <c r="A123" s="33" t="s">
        <v>145</v>
      </c>
      <c r="B123" s="31" t="s">
        <v>144</v>
      </c>
      <c r="C123" s="31" t="s">
        <v>0</v>
      </c>
      <c r="D123" s="32" t="s">
        <v>1</v>
      </c>
      <c r="E123" s="32" t="s">
        <v>90</v>
      </c>
      <c r="F123" s="54" t="s">
        <v>91</v>
      </c>
      <c r="G123" s="32" t="s">
        <v>143</v>
      </c>
      <c r="H123" s="32" t="s">
        <v>142</v>
      </c>
      <c r="I123" s="31" t="s">
        <v>94</v>
      </c>
      <c r="J123" s="31" t="s">
        <v>95</v>
      </c>
      <c r="K123" s="31" t="s">
        <v>141</v>
      </c>
      <c r="L123" s="133"/>
    </row>
    <row r="124" spans="1:12" ht="25.5" x14ac:dyDescent="0.2">
      <c r="A124" s="451">
        <v>14370</v>
      </c>
      <c r="B124" s="456" t="s">
        <v>200</v>
      </c>
      <c r="C124" s="457" t="s">
        <v>208</v>
      </c>
      <c r="D124" s="448">
        <v>5294251</v>
      </c>
      <c r="E124" s="442">
        <v>600000</v>
      </c>
      <c r="F124" s="453" t="s">
        <v>204</v>
      </c>
      <c r="G124" s="23">
        <v>600000</v>
      </c>
      <c r="H124" s="29">
        <f>E124-G124</f>
        <v>0</v>
      </c>
      <c r="I124" s="446" t="s">
        <v>136</v>
      </c>
      <c r="J124" s="450">
        <v>41571</v>
      </c>
      <c r="K124" s="450">
        <v>41571</v>
      </c>
      <c r="L124" s="11"/>
    </row>
    <row r="125" spans="1:12" ht="30" x14ac:dyDescent="0.2">
      <c r="A125" s="451">
        <v>14371</v>
      </c>
      <c r="B125" s="25" t="s">
        <v>111</v>
      </c>
      <c r="C125" s="457" t="s">
        <v>207</v>
      </c>
      <c r="D125" s="448">
        <v>384736.25</v>
      </c>
      <c r="E125" s="442">
        <f>428264-111821-8654</f>
        <v>307789</v>
      </c>
      <c r="F125" s="458" t="s">
        <v>133</v>
      </c>
      <c r="G125" s="23">
        <v>307789</v>
      </c>
      <c r="H125" s="29">
        <f>E125-G125</f>
        <v>0</v>
      </c>
      <c r="I125" s="446" t="s">
        <v>136</v>
      </c>
      <c r="J125" s="450">
        <v>41864</v>
      </c>
      <c r="K125" s="454">
        <v>41864</v>
      </c>
      <c r="L125" s="133"/>
    </row>
    <row r="126" spans="1:12" ht="25.5" x14ac:dyDescent="0.2">
      <c r="A126" s="451">
        <v>14372</v>
      </c>
      <c r="B126" s="25" t="s">
        <v>115</v>
      </c>
      <c r="C126" s="457" t="s">
        <v>206</v>
      </c>
      <c r="D126" s="448">
        <v>467000</v>
      </c>
      <c r="E126" s="442">
        <v>352000</v>
      </c>
      <c r="F126" s="453" t="s">
        <v>204</v>
      </c>
      <c r="G126" s="23">
        <v>352000</v>
      </c>
      <c r="H126" s="29">
        <f>E126-G126</f>
        <v>0</v>
      </c>
      <c r="I126" s="446" t="s">
        <v>136</v>
      </c>
      <c r="J126" s="450">
        <v>41946</v>
      </c>
      <c r="K126" s="454">
        <v>41946</v>
      </c>
      <c r="L126" s="133"/>
    </row>
    <row r="127" spans="1:12" ht="25.5" x14ac:dyDescent="0.2">
      <c r="A127" s="451">
        <v>14373</v>
      </c>
      <c r="B127" s="25" t="s">
        <v>115</v>
      </c>
      <c r="C127" s="457" t="s">
        <v>205</v>
      </c>
      <c r="D127" s="448">
        <v>192500</v>
      </c>
      <c r="E127" s="442">
        <v>145000</v>
      </c>
      <c r="F127" s="453" t="s">
        <v>204</v>
      </c>
      <c r="G127" s="23">
        <v>145000</v>
      </c>
      <c r="H127" s="29">
        <f>E127-G127</f>
        <v>0</v>
      </c>
      <c r="I127" s="446" t="s">
        <v>136</v>
      </c>
      <c r="J127" s="450">
        <v>41925</v>
      </c>
      <c r="K127" s="454">
        <v>41925</v>
      </c>
      <c r="L127" s="133"/>
    </row>
    <row r="128" spans="1:12" ht="30" x14ac:dyDescent="0.2">
      <c r="A128" s="19">
        <v>15513</v>
      </c>
      <c r="B128" s="19" t="s">
        <v>115</v>
      </c>
      <c r="C128" s="19" t="s">
        <v>409</v>
      </c>
      <c r="D128" s="448">
        <v>137698.90875</v>
      </c>
      <c r="E128" s="442">
        <f>86557+8654</f>
        <v>95211</v>
      </c>
      <c r="F128" s="408" t="s">
        <v>213</v>
      </c>
      <c r="G128" s="23">
        <v>95211</v>
      </c>
      <c r="H128" s="29">
        <f>E128-G128</f>
        <v>0</v>
      </c>
      <c r="I128" s="446" t="s">
        <v>136</v>
      </c>
      <c r="J128" s="450">
        <v>42320</v>
      </c>
      <c r="K128" s="450">
        <v>42321</v>
      </c>
      <c r="L128" s="133"/>
    </row>
    <row r="129" spans="1:12" ht="15.75" x14ac:dyDescent="0.25">
      <c r="A129" s="52"/>
      <c r="B129" s="40"/>
      <c r="C129" s="24" t="s">
        <v>132</v>
      </c>
      <c r="D129" s="45"/>
      <c r="E129" s="22">
        <f>SUM(E124:E128)</f>
        <v>1500000</v>
      </c>
      <c r="F129" s="53"/>
      <c r="G129" s="201"/>
      <c r="H129" s="45">
        <f>SUM(H124:H128)</f>
        <v>0</v>
      </c>
      <c r="I129" s="51"/>
      <c r="J129" s="50"/>
      <c r="K129" s="49"/>
      <c r="L129" s="133"/>
    </row>
    <row r="130" spans="1:12" ht="15.75" x14ac:dyDescent="0.25">
      <c r="A130" s="52"/>
      <c r="B130" s="40"/>
      <c r="C130" s="24"/>
      <c r="D130" s="45"/>
      <c r="E130" s="22"/>
      <c r="F130" s="53"/>
      <c r="G130" s="52"/>
      <c r="H130" s="45"/>
      <c r="I130" s="51"/>
      <c r="J130" s="50"/>
      <c r="K130" s="49"/>
      <c r="L130" s="133"/>
    </row>
    <row r="131" spans="1:12" ht="15.75" x14ac:dyDescent="0.2">
      <c r="A131" s="597" t="s">
        <v>203</v>
      </c>
      <c r="B131" s="597"/>
      <c r="C131" s="597"/>
      <c r="D131" s="597"/>
      <c r="E131" s="597"/>
      <c r="F131" s="597"/>
      <c r="G131" s="597"/>
      <c r="H131" s="597"/>
      <c r="I131" s="597"/>
      <c r="J131" s="597"/>
      <c r="K131" s="597"/>
      <c r="L131" s="133"/>
    </row>
    <row r="132" spans="1:12" ht="78.75" x14ac:dyDescent="0.25">
      <c r="A132" s="33" t="s">
        <v>145</v>
      </c>
      <c r="B132" s="31" t="s">
        <v>144</v>
      </c>
      <c r="C132" s="31" t="s">
        <v>0</v>
      </c>
      <c r="D132" s="32" t="s">
        <v>1</v>
      </c>
      <c r="E132" s="32" t="s">
        <v>90</v>
      </c>
      <c r="F132" s="54" t="s">
        <v>91</v>
      </c>
      <c r="G132" s="32" t="s">
        <v>143</v>
      </c>
      <c r="H132" s="32" t="s">
        <v>142</v>
      </c>
      <c r="I132" s="31" t="s">
        <v>94</v>
      </c>
      <c r="J132" s="31" t="s">
        <v>95</v>
      </c>
      <c r="K132" s="31" t="s">
        <v>141</v>
      </c>
      <c r="L132" s="133"/>
    </row>
    <row r="133" spans="1:12" ht="15" x14ac:dyDescent="0.2">
      <c r="A133" s="26">
        <v>13415</v>
      </c>
      <c r="B133" s="25" t="s">
        <v>202</v>
      </c>
      <c r="C133" s="41" t="s">
        <v>201</v>
      </c>
      <c r="D133" s="28">
        <v>792000</v>
      </c>
      <c r="E133" s="27">
        <v>600000</v>
      </c>
      <c r="F133" s="446" t="s">
        <v>133</v>
      </c>
      <c r="G133" s="23">
        <v>600000</v>
      </c>
      <c r="H133" s="29">
        <f t="shared" ref="H133:H140" si="10">E133-G133</f>
        <v>0</v>
      </c>
      <c r="I133" s="446" t="s">
        <v>136</v>
      </c>
      <c r="J133" s="450">
        <v>41605</v>
      </c>
      <c r="K133" s="454">
        <v>41605</v>
      </c>
      <c r="L133" s="133"/>
    </row>
    <row r="134" spans="1:12" ht="15" x14ac:dyDescent="0.2">
      <c r="A134" s="26">
        <v>13416</v>
      </c>
      <c r="B134" s="25" t="s">
        <v>200</v>
      </c>
      <c r="C134" s="25" t="s">
        <v>199</v>
      </c>
      <c r="D134" s="28">
        <v>3900000</v>
      </c>
      <c r="E134" s="27">
        <v>600000</v>
      </c>
      <c r="F134" s="459" t="s">
        <v>198</v>
      </c>
      <c r="G134" s="23">
        <v>600000</v>
      </c>
      <c r="H134" s="29">
        <f t="shared" si="10"/>
        <v>0</v>
      </c>
      <c r="I134" s="446" t="s">
        <v>136</v>
      </c>
      <c r="J134" s="450">
        <v>41402</v>
      </c>
      <c r="K134" s="454">
        <v>41402</v>
      </c>
      <c r="L134" s="133"/>
    </row>
    <row r="135" spans="1:12" ht="30" x14ac:dyDescent="0.2">
      <c r="A135" s="26">
        <v>13417</v>
      </c>
      <c r="B135" s="25" t="s">
        <v>115</v>
      </c>
      <c r="C135" s="460" t="s">
        <v>197</v>
      </c>
      <c r="D135" s="28">
        <v>63035</v>
      </c>
      <c r="E135" s="27">
        <f>36600-1136-12</f>
        <v>35452</v>
      </c>
      <c r="F135" s="446" t="s">
        <v>133</v>
      </c>
      <c r="G135" s="23">
        <f>36611-1147-12</f>
        <v>35452</v>
      </c>
      <c r="H135" s="29">
        <f t="shared" si="10"/>
        <v>0</v>
      </c>
      <c r="I135" s="446" t="s">
        <v>136</v>
      </c>
      <c r="J135" s="450">
        <v>41943</v>
      </c>
      <c r="K135" s="450">
        <v>41943</v>
      </c>
      <c r="L135" s="133"/>
    </row>
    <row r="136" spans="1:12" ht="15" x14ac:dyDescent="0.2">
      <c r="A136" s="26">
        <v>13418</v>
      </c>
      <c r="B136" s="25" t="s">
        <v>116</v>
      </c>
      <c r="C136" s="41" t="s">
        <v>196</v>
      </c>
      <c r="D136" s="28">
        <v>64677</v>
      </c>
      <c r="E136" s="27">
        <v>51742</v>
      </c>
      <c r="F136" s="446" t="s">
        <v>133</v>
      </c>
      <c r="G136" s="23">
        <v>51742</v>
      </c>
      <c r="H136" s="29">
        <f t="shared" si="10"/>
        <v>0</v>
      </c>
      <c r="I136" s="446" t="s">
        <v>136</v>
      </c>
      <c r="J136" s="454">
        <v>42097</v>
      </c>
      <c r="K136" s="454">
        <v>42097</v>
      </c>
      <c r="L136" s="11"/>
    </row>
    <row r="137" spans="1:12" ht="15" x14ac:dyDescent="0.2">
      <c r="A137" s="26">
        <v>13418</v>
      </c>
      <c r="B137" s="25" t="s">
        <v>116</v>
      </c>
      <c r="C137" s="41" t="s">
        <v>195</v>
      </c>
      <c r="D137" s="28">
        <v>171920</v>
      </c>
      <c r="E137" s="27">
        <v>137536</v>
      </c>
      <c r="F137" s="446" t="s">
        <v>133</v>
      </c>
      <c r="G137" s="23">
        <v>137536</v>
      </c>
      <c r="H137" s="29">
        <f t="shared" si="10"/>
        <v>0</v>
      </c>
      <c r="I137" s="446" t="s">
        <v>136</v>
      </c>
      <c r="J137" s="454">
        <v>42097</v>
      </c>
      <c r="K137" s="454">
        <v>42097</v>
      </c>
      <c r="L137" s="133"/>
    </row>
    <row r="138" spans="1:12" ht="15" x14ac:dyDescent="0.2">
      <c r="A138" s="26">
        <v>13419</v>
      </c>
      <c r="B138" s="25" t="s">
        <v>194</v>
      </c>
      <c r="C138" s="41" t="s">
        <v>193</v>
      </c>
      <c r="D138" s="28">
        <v>7000</v>
      </c>
      <c r="E138" s="27">
        <v>5600</v>
      </c>
      <c r="F138" s="446" t="s">
        <v>133</v>
      </c>
      <c r="G138" s="23">
        <v>5600</v>
      </c>
      <c r="H138" s="29">
        <f t="shared" si="10"/>
        <v>0</v>
      </c>
      <c r="I138" s="446" t="s">
        <v>136</v>
      </c>
      <c r="J138" s="450">
        <v>40984</v>
      </c>
      <c r="K138" s="450">
        <v>40984</v>
      </c>
      <c r="L138" s="133"/>
    </row>
    <row r="139" spans="1:12" ht="30" x14ac:dyDescent="0.2">
      <c r="A139" s="443">
        <v>17523</v>
      </c>
      <c r="B139" s="19" t="s">
        <v>122</v>
      </c>
      <c r="C139" s="444" t="s">
        <v>512</v>
      </c>
      <c r="D139" s="28">
        <v>87087</v>
      </c>
      <c r="E139" s="27">
        <f>1136+68522+12-51276</f>
        <v>18394</v>
      </c>
      <c r="F139" s="446" t="s">
        <v>133</v>
      </c>
      <c r="G139" s="23">
        <f>4946+13448</f>
        <v>18394</v>
      </c>
      <c r="H139" s="29">
        <f t="shared" si="10"/>
        <v>0</v>
      </c>
      <c r="I139" s="446" t="s">
        <v>136</v>
      </c>
      <c r="J139" s="440">
        <v>43159</v>
      </c>
      <c r="K139" s="440">
        <v>43159</v>
      </c>
      <c r="L139" s="133"/>
    </row>
    <row r="140" spans="1:12" ht="30" x14ac:dyDescent="0.25">
      <c r="A140" s="11">
        <v>20416</v>
      </c>
      <c r="B140" s="418" t="s">
        <v>726</v>
      </c>
      <c r="C140" s="25" t="s">
        <v>860</v>
      </c>
      <c r="D140" s="455">
        <v>700000</v>
      </c>
      <c r="E140" s="27">
        <v>51276</v>
      </c>
      <c r="F140" s="446" t="s">
        <v>133</v>
      </c>
      <c r="G140" s="23">
        <v>51276</v>
      </c>
      <c r="H140" s="29">
        <f t="shared" si="10"/>
        <v>0</v>
      </c>
      <c r="I140" s="446" t="s">
        <v>136</v>
      </c>
      <c r="J140" s="440">
        <v>43615</v>
      </c>
      <c r="K140" s="440">
        <v>43615</v>
      </c>
      <c r="L140" s="133"/>
    </row>
    <row r="141" spans="1:12" ht="15.75" x14ac:dyDescent="0.25">
      <c r="A141" s="52"/>
      <c r="B141" s="40"/>
      <c r="C141" s="24" t="s">
        <v>132</v>
      </c>
      <c r="D141" s="45"/>
      <c r="E141" s="22">
        <f>SUM(E133:E140)</f>
        <v>1500000</v>
      </c>
      <c r="F141" s="53"/>
      <c r="G141" s="201"/>
      <c r="H141" s="45">
        <f>SUM(H133:H138)</f>
        <v>0</v>
      </c>
      <c r="I141" s="51"/>
      <c r="J141" s="50"/>
      <c r="K141" s="49"/>
      <c r="L141" s="133"/>
    </row>
    <row r="142" spans="1:12" ht="15.75" x14ac:dyDescent="0.2">
      <c r="A142" s="462"/>
      <c r="B142" s="463"/>
      <c r="C142" s="464"/>
      <c r="D142" s="465"/>
      <c r="E142" s="466"/>
      <c r="F142" s="467"/>
      <c r="G142" s="462"/>
      <c r="H142" s="465"/>
      <c r="I142" s="468"/>
      <c r="J142" s="469"/>
      <c r="K142" s="470"/>
      <c r="L142" s="133"/>
    </row>
    <row r="143" spans="1:12" ht="15.75" x14ac:dyDescent="0.2">
      <c r="A143" s="48"/>
      <c r="B143" s="594" t="s">
        <v>192</v>
      </c>
      <c r="C143" s="594"/>
      <c r="D143" s="594"/>
      <c r="E143" s="594"/>
      <c r="F143" s="594"/>
      <c r="G143" s="594"/>
      <c r="H143" s="594"/>
      <c r="I143" s="594"/>
      <c r="J143" s="594"/>
      <c r="K143" s="47"/>
      <c r="L143" s="133"/>
    </row>
    <row r="144" spans="1:12" ht="78.75" x14ac:dyDescent="0.2">
      <c r="A144" s="33" t="s">
        <v>145</v>
      </c>
      <c r="B144" s="31" t="s">
        <v>144</v>
      </c>
      <c r="C144" s="31" t="s">
        <v>0</v>
      </c>
      <c r="D144" s="32" t="s">
        <v>1</v>
      </c>
      <c r="E144" s="32" t="s">
        <v>90</v>
      </c>
      <c r="F144" s="31" t="s">
        <v>91</v>
      </c>
      <c r="G144" s="32" t="s">
        <v>143</v>
      </c>
      <c r="H144" s="32" t="s">
        <v>142</v>
      </c>
      <c r="I144" s="31" t="s">
        <v>94</v>
      </c>
      <c r="J144" s="31" t="s">
        <v>95</v>
      </c>
      <c r="K144" s="31" t="s">
        <v>141</v>
      </c>
      <c r="L144" s="133"/>
    </row>
    <row r="145" spans="1:12" ht="30" x14ac:dyDescent="0.2">
      <c r="A145" s="26">
        <v>12319</v>
      </c>
      <c r="B145" s="25" t="s">
        <v>140</v>
      </c>
      <c r="C145" s="25" t="s">
        <v>191</v>
      </c>
      <c r="D145" s="449">
        <v>4897614</v>
      </c>
      <c r="E145" s="472">
        <v>800000</v>
      </c>
      <c r="F145" s="458" t="s">
        <v>861</v>
      </c>
      <c r="G145" s="23">
        <v>800000</v>
      </c>
      <c r="H145" s="29">
        <f t="shared" ref="H145:H152" si="11">E145-G145</f>
        <v>0</v>
      </c>
      <c r="I145" s="446" t="s">
        <v>136</v>
      </c>
      <c r="J145" s="454">
        <v>41605</v>
      </c>
      <c r="K145" s="440">
        <v>41605</v>
      </c>
      <c r="L145" s="133"/>
    </row>
    <row r="146" spans="1:12" ht="30" x14ac:dyDescent="0.2">
      <c r="A146" s="26">
        <v>12320</v>
      </c>
      <c r="B146" s="25" t="s">
        <v>181</v>
      </c>
      <c r="C146" s="25" t="s">
        <v>190</v>
      </c>
      <c r="D146" s="449">
        <v>500000</v>
      </c>
      <c r="E146" s="472">
        <f>400000-18173</f>
        <v>381827</v>
      </c>
      <c r="F146" s="458" t="s">
        <v>134</v>
      </c>
      <c r="G146" s="23">
        <v>381827</v>
      </c>
      <c r="H146" s="29">
        <f t="shared" si="11"/>
        <v>0</v>
      </c>
      <c r="I146" s="446" t="s">
        <v>136</v>
      </c>
      <c r="J146" s="454">
        <v>40729</v>
      </c>
      <c r="K146" s="440">
        <v>40742</v>
      </c>
      <c r="L146" s="132"/>
    </row>
    <row r="147" spans="1:12" ht="15" x14ac:dyDescent="0.2">
      <c r="A147" s="26">
        <v>12733</v>
      </c>
      <c r="B147" s="30" t="s">
        <v>116</v>
      </c>
      <c r="C147" s="30" t="s">
        <v>189</v>
      </c>
      <c r="D147" s="473">
        <v>379211</v>
      </c>
      <c r="E147" s="474">
        <f>298357-20143</f>
        <v>278214</v>
      </c>
      <c r="F147" s="458" t="s">
        <v>134</v>
      </c>
      <c r="G147" s="23">
        <v>278214</v>
      </c>
      <c r="H147" s="29">
        <f t="shared" si="11"/>
        <v>0</v>
      </c>
      <c r="I147" s="446" t="s">
        <v>136</v>
      </c>
      <c r="J147" s="454">
        <v>41653</v>
      </c>
      <c r="K147" s="440">
        <v>41653</v>
      </c>
      <c r="L147" s="133"/>
    </row>
    <row r="148" spans="1:12" ht="15" x14ac:dyDescent="0.2">
      <c r="A148" s="26">
        <v>12738</v>
      </c>
      <c r="B148" s="25" t="s">
        <v>115</v>
      </c>
      <c r="C148" s="25" t="s">
        <v>188</v>
      </c>
      <c r="D148" s="475">
        <v>30000</v>
      </c>
      <c r="E148" s="475">
        <v>24000</v>
      </c>
      <c r="F148" s="458" t="s">
        <v>134</v>
      </c>
      <c r="G148" s="23">
        <v>24000</v>
      </c>
      <c r="H148" s="29">
        <f t="shared" si="11"/>
        <v>0</v>
      </c>
      <c r="I148" s="446" t="s">
        <v>136</v>
      </c>
      <c r="J148" s="454">
        <v>41067</v>
      </c>
      <c r="K148" s="440">
        <v>41067</v>
      </c>
      <c r="L148" s="133"/>
    </row>
    <row r="149" spans="1:12" ht="30" x14ac:dyDescent="0.2">
      <c r="A149" s="26">
        <v>12321</v>
      </c>
      <c r="B149" s="25" t="s">
        <v>187</v>
      </c>
      <c r="C149" s="25" t="s">
        <v>186</v>
      </c>
      <c r="D149" s="449">
        <v>565732</v>
      </c>
      <c r="E149" s="472">
        <f>414920+37665</f>
        <v>452585</v>
      </c>
      <c r="F149" s="458" t="s">
        <v>134</v>
      </c>
      <c r="G149" s="23">
        <v>452585</v>
      </c>
      <c r="H149" s="29">
        <f t="shared" si="11"/>
        <v>0</v>
      </c>
      <c r="I149" s="446" t="s">
        <v>136</v>
      </c>
      <c r="J149" s="454">
        <v>41090</v>
      </c>
      <c r="K149" s="440">
        <v>40637</v>
      </c>
      <c r="L149" s="11"/>
    </row>
    <row r="150" spans="1:12" ht="30" x14ac:dyDescent="0.2">
      <c r="A150" s="26">
        <v>13417</v>
      </c>
      <c r="B150" s="25" t="s">
        <v>115</v>
      </c>
      <c r="C150" s="460" t="s">
        <v>185</v>
      </c>
      <c r="D150" s="449">
        <v>22716.25</v>
      </c>
      <c r="E150" s="449">
        <v>18173</v>
      </c>
      <c r="F150" s="458" t="s">
        <v>133</v>
      </c>
      <c r="G150" s="27">
        <v>18173</v>
      </c>
      <c r="H150" s="29">
        <f t="shared" si="11"/>
        <v>0</v>
      </c>
      <c r="I150" s="446" t="s">
        <v>136</v>
      </c>
      <c r="J150" s="450">
        <v>41943</v>
      </c>
      <c r="K150" s="450">
        <v>41943</v>
      </c>
      <c r="L150" s="11"/>
    </row>
    <row r="151" spans="1:12" ht="30" x14ac:dyDescent="0.2">
      <c r="A151" s="19">
        <v>15513</v>
      </c>
      <c r="B151" s="19" t="s">
        <v>115</v>
      </c>
      <c r="C151" s="19" t="s">
        <v>410</v>
      </c>
      <c r="D151" s="449">
        <v>36240.1325</v>
      </c>
      <c r="E151" s="473">
        <v>25058</v>
      </c>
      <c r="F151" s="408" t="s">
        <v>213</v>
      </c>
      <c r="G151" s="27">
        <v>25058</v>
      </c>
      <c r="H151" s="29">
        <f t="shared" si="11"/>
        <v>0</v>
      </c>
      <c r="I151" s="446" t="s">
        <v>136</v>
      </c>
      <c r="J151" s="450">
        <v>42320</v>
      </c>
      <c r="K151" s="450">
        <v>42321</v>
      </c>
      <c r="L151" s="11"/>
    </row>
    <row r="152" spans="1:12" ht="30" x14ac:dyDescent="0.2">
      <c r="A152" s="443">
        <v>17523</v>
      </c>
      <c r="B152" s="19" t="s">
        <v>122</v>
      </c>
      <c r="C152" s="444" t="s">
        <v>513</v>
      </c>
      <c r="D152" s="449">
        <v>25179</v>
      </c>
      <c r="E152" s="473">
        <v>20143</v>
      </c>
      <c r="F152" s="408" t="s">
        <v>213</v>
      </c>
      <c r="G152" s="27">
        <v>20143</v>
      </c>
      <c r="H152" s="29">
        <f t="shared" si="11"/>
        <v>0</v>
      </c>
      <c r="I152" s="446" t="s">
        <v>136</v>
      </c>
      <c r="J152" s="440">
        <v>43159</v>
      </c>
      <c r="K152" s="440">
        <v>43159</v>
      </c>
      <c r="L152" s="492"/>
    </row>
    <row r="153" spans="1:12" ht="15.75" x14ac:dyDescent="0.2">
      <c r="A153" s="26"/>
      <c r="B153" s="41"/>
      <c r="C153" s="24" t="s">
        <v>132</v>
      </c>
      <c r="D153" s="38"/>
      <c r="E153" s="140">
        <f>SUM(E145:E152)</f>
        <v>2000000</v>
      </c>
      <c r="F153" s="39"/>
      <c r="G153" s="38"/>
      <c r="H153" s="45">
        <f>SUM(H145:H152)</f>
        <v>0</v>
      </c>
      <c r="I153" s="20"/>
      <c r="J153" s="21"/>
      <c r="K153" s="20"/>
      <c r="L153" s="427"/>
    </row>
    <row r="154" spans="1:12" ht="15.75" x14ac:dyDescent="0.25">
      <c r="A154" s="131"/>
      <c r="B154" s="132"/>
      <c r="C154" s="141"/>
      <c r="D154" s="134"/>
      <c r="E154" s="142"/>
      <c r="F154" s="135"/>
      <c r="G154" s="134"/>
      <c r="H154" s="134"/>
      <c r="I154" s="136"/>
      <c r="J154" s="137"/>
      <c r="K154" s="136"/>
      <c r="L154" s="11"/>
    </row>
    <row r="155" spans="1:12" ht="15.75" x14ac:dyDescent="0.2">
      <c r="A155" s="37"/>
      <c r="B155" s="591" t="s">
        <v>184</v>
      </c>
      <c r="C155" s="592"/>
      <c r="D155" s="592"/>
      <c r="E155" s="592"/>
      <c r="F155" s="593"/>
      <c r="G155" s="46"/>
      <c r="H155" s="46"/>
      <c r="I155" s="34"/>
      <c r="J155" s="35"/>
      <c r="K155" s="34"/>
      <c r="L155" s="11"/>
    </row>
    <row r="156" spans="1:12" ht="78.75" x14ac:dyDescent="0.2">
      <c r="A156" s="33" t="s">
        <v>145</v>
      </c>
      <c r="B156" s="31" t="s">
        <v>144</v>
      </c>
      <c r="C156" s="31" t="s">
        <v>0</v>
      </c>
      <c r="D156" s="32" t="s">
        <v>1</v>
      </c>
      <c r="E156" s="32" t="s">
        <v>90</v>
      </c>
      <c r="F156" s="31" t="s">
        <v>91</v>
      </c>
      <c r="G156" s="32" t="s">
        <v>143</v>
      </c>
      <c r="H156" s="32" t="s">
        <v>142</v>
      </c>
      <c r="I156" s="31" t="s">
        <v>94</v>
      </c>
      <c r="J156" s="31" t="s">
        <v>95</v>
      </c>
      <c r="K156" s="31" t="s">
        <v>141</v>
      </c>
      <c r="L156" s="11"/>
    </row>
    <row r="157" spans="1:12" ht="15" x14ac:dyDescent="0.2">
      <c r="A157" s="26">
        <v>12738</v>
      </c>
      <c r="B157" s="19" t="s">
        <v>115</v>
      </c>
      <c r="C157" s="25" t="s">
        <v>183</v>
      </c>
      <c r="D157" s="23">
        <v>65000</v>
      </c>
      <c r="E157" s="23">
        <v>48000</v>
      </c>
      <c r="F157" s="446" t="s">
        <v>134</v>
      </c>
      <c r="G157" s="23">
        <v>48000</v>
      </c>
      <c r="H157" s="29">
        <f>E157-G157</f>
        <v>0</v>
      </c>
      <c r="I157" s="446" t="s">
        <v>136</v>
      </c>
      <c r="J157" s="454">
        <v>41067</v>
      </c>
      <c r="K157" s="440">
        <v>41067</v>
      </c>
      <c r="L157" s="11"/>
    </row>
    <row r="158" spans="1:12" ht="45" x14ac:dyDescent="0.2">
      <c r="A158" s="26">
        <v>11760</v>
      </c>
      <c r="B158" s="19" t="s">
        <v>135</v>
      </c>
      <c r="C158" s="25" t="s">
        <v>182</v>
      </c>
      <c r="D158" s="29">
        <v>617904</v>
      </c>
      <c r="E158" s="29">
        <v>436904</v>
      </c>
      <c r="F158" s="446" t="s">
        <v>134</v>
      </c>
      <c r="G158" s="23">
        <v>436904</v>
      </c>
      <c r="H158" s="29">
        <f>E158-G158</f>
        <v>0</v>
      </c>
      <c r="I158" s="446" t="s">
        <v>136</v>
      </c>
      <c r="J158" s="454">
        <v>41319</v>
      </c>
      <c r="K158" s="440">
        <v>41319</v>
      </c>
      <c r="L158" s="11"/>
    </row>
    <row r="159" spans="1:12" ht="30" x14ac:dyDescent="0.2">
      <c r="A159" s="26">
        <v>11761</v>
      </c>
      <c r="B159" s="19" t="s">
        <v>181</v>
      </c>
      <c r="C159" s="25" t="s">
        <v>180</v>
      </c>
      <c r="D159" s="29">
        <v>100000</v>
      </c>
      <c r="E159" s="29">
        <v>79920</v>
      </c>
      <c r="F159" s="446" t="s">
        <v>134</v>
      </c>
      <c r="G159" s="23">
        <v>79920</v>
      </c>
      <c r="H159" s="29">
        <f t="shared" ref="H159:H168" si="12">E159-G159</f>
        <v>0</v>
      </c>
      <c r="I159" s="446" t="s">
        <v>136</v>
      </c>
      <c r="J159" s="454">
        <v>40483</v>
      </c>
      <c r="K159" s="440">
        <v>40498</v>
      </c>
      <c r="L159" s="11"/>
    </row>
    <row r="160" spans="1:12" ht="45" x14ac:dyDescent="0.2">
      <c r="A160" s="26">
        <v>11767</v>
      </c>
      <c r="B160" s="19" t="s">
        <v>179</v>
      </c>
      <c r="C160" s="25" t="s">
        <v>178</v>
      </c>
      <c r="D160" s="29">
        <v>235000</v>
      </c>
      <c r="E160" s="29">
        <v>188000</v>
      </c>
      <c r="F160" s="446" t="s">
        <v>134</v>
      </c>
      <c r="G160" s="29">
        <v>188000</v>
      </c>
      <c r="H160" s="29">
        <f>E160-G160</f>
        <v>0</v>
      </c>
      <c r="I160" s="446" t="s">
        <v>136</v>
      </c>
      <c r="J160" s="454">
        <v>40561</v>
      </c>
      <c r="K160" s="440">
        <v>40561</v>
      </c>
      <c r="L160" s="11"/>
    </row>
    <row r="161" spans="1:12" ht="45" x14ac:dyDescent="0.2">
      <c r="A161" s="26">
        <v>11762</v>
      </c>
      <c r="B161" s="19" t="s">
        <v>177</v>
      </c>
      <c r="C161" s="410" t="s">
        <v>176</v>
      </c>
      <c r="D161" s="29">
        <v>176000</v>
      </c>
      <c r="E161" s="29">
        <v>140800</v>
      </c>
      <c r="F161" s="446" t="s">
        <v>134</v>
      </c>
      <c r="G161" s="23">
        <v>140800</v>
      </c>
      <c r="H161" s="29">
        <f t="shared" si="12"/>
        <v>0</v>
      </c>
      <c r="I161" s="446" t="s">
        <v>136</v>
      </c>
      <c r="J161" s="454">
        <v>40543</v>
      </c>
      <c r="K161" s="440">
        <v>40567</v>
      </c>
      <c r="L161" s="11"/>
    </row>
    <row r="162" spans="1:12" ht="45" x14ac:dyDescent="0.2">
      <c r="A162" s="26">
        <v>11764</v>
      </c>
      <c r="B162" s="19" t="s">
        <v>150</v>
      </c>
      <c r="C162" s="25" t="s">
        <v>175</v>
      </c>
      <c r="D162" s="29">
        <v>7347</v>
      </c>
      <c r="E162" s="29">
        <v>5877</v>
      </c>
      <c r="F162" s="446" t="s">
        <v>134</v>
      </c>
      <c r="G162" s="23">
        <v>5877</v>
      </c>
      <c r="H162" s="29">
        <f t="shared" si="12"/>
        <v>0</v>
      </c>
      <c r="I162" s="446" t="s">
        <v>136</v>
      </c>
      <c r="J162" s="454">
        <v>41121</v>
      </c>
      <c r="K162" s="440">
        <v>41121</v>
      </c>
      <c r="L162" s="132"/>
    </row>
    <row r="163" spans="1:12" ht="30" x14ac:dyDescent="0.2">
      <c r="A163" s="26">
        <v>11765</v>
      </c>
      <c r="B163" s="19" t="s">
        <v>160</v>
      </c>
      <c r="C163" s="25" t="s">
        <v>174</v>
      </c>
      <c r="D163" s="29">
        <v>130000</v>
      </c>
      <c r="E163" s="29">
        <v>67019</v>
      </c>
      <c r="F163" s="446" t="s">
        <v>134</v>
      </c>
      <c r="G163" s="23">
        <v>67019</v>
      </c>
      <c r="H163" s="29">
        <f t="shared" si="12"/>
        <v>0</v>
      </c>
      <c r="I163" s="446" t="s">
        <v>136</v>
      </c>
      <c r="J163" s="454">
        <v>40867</v>
      </c>
      <c r="K163" s="440">
        <v>40873</v>
      </c>
      <c r="L163" s="133"/>
    </row>
    <row r="164" spans="1:12" ht="45" x14ac:dyDescent="0.2">
      <c r="A164" s="476">
        <v>11766</v>
      </c>
      <c r="B164" s="477" t="s">
        <v>173</v>
      </c>
      <c r="C164" s="25" t="s">
        <v>172</v>
      </c>
      <c r="D164" s="478">
        <v>296250</v>
      </c>
      <c r="E164" s="478">
        <f>237000-111821</f>
        <v>125179</v>
      </c>
      <c r="F164" s="479" t="s">
        <v>134</v>
      </c>
      <c r="G164" s="480">
        <v>125179</v>
      </c>
      <c r="H164" s="478">
        <f t="shared" si="12"/>
        <v>0</v>
      </c>
      <c r="I164" s="446" t="s">
        <v>136</v>
      </c>
      <c r="J164" s="481">
        <v>40715</v>
      </c>
      <c r="K164" s="482">
        <v>40715</v>
      </c>
      <c r="L164" s="11"/>
    </row>
    <row r="165" spans="1:12" ht="30" x14ac:dyDescent="0.2">
      <c r="A165" s="483">
        <v>14371</v>
      </c>
      <c r="B165" s="25" t="s">
        <v>111</v>
      </c>
      <c r="C165" s="484" t="s">
        <v>171</v>
      </c>
      <c r="D165" s="478">
        <v>139776.25</v>
      </c>
      <c r="E165" s="478">
        <v>111821</v>
      </c>
      <c r="F165" s="446" t="s">
        <v>133</v>
      </c>
      <c r="G165" s="480">
        <v>111821</v>
      </c>
      <c r="H165" s="29">
        <f t="shared" si="12"/>
        <v>0</v>
      </c>
      <c r="I165" s="446" t="s">
        <v>136</v>
      </c>
      <c r="J165" s="450">
        <v>41864</v>
      </c>
      <c r="K165" s="482">
        <v>41864</v>
      </c>
      <c r="L165" s="427"/>
    </row>
    <row r="166" spans="1:12" ht="30" x14ac:dyDescent="0.2">
      <c r="A166" s="476">
        <v>12738</v>
      </c>
      <c r="B166" s="477" t="s">
        <v>115</v>
      </c>
      <c r="C166" s="485" t="s">
        <v>170</v>
      </c>
      <c r="D166" s="478">
        <v>12144</v>
      </c>
      <c r="E166" s="478">
        <v>5534</v>
      </c>
      <c r="F166" s="479" t="s">
        <v>134</v>
      </c>
      <c r="G166" s="480">
        <v>5534</v>
      </c>
      <c r="H166" s="29">
        <f t="shared" si="12"/>
        <v>0</v>
      </c>
      <c r="I166" s="446" t="s">
        <v>136</v>
      </c>
      <c r="J166" s="481">
        <v>41323</v>
      </c>
      <c r="K166" s="440">
        <v>41444</v>
      </c>
      <c r="L166" s="11"/>
    </row>
    <row r="167" spans="1:12" ht="30" x14ac:dyDescent="0.2">
      <c r="A167" s="486">
        <v>13417</v>
      </c>
      <c r="B167" s="460" t="s">
        <v>115</v>
      </c>
      <c r="C167" s="460" t="s">
        <v>169</v>
      </c>
      <c r="D167" s="23">
        <v>46326.25</v>
      </c>
      <c r="E167" s="29">
        <v>37061</v>
      </c>
      <c r="F167" s="446" t="s">
        <v>133</v>
      </c>
      <c r="G167" s="27">
        <v>37061</v>
      </c>
      <c r="H167" s="478">
        <f t="shared" si="12"/>
        <v>0</v>
      </c>
      <c r="I167" s="446" t="s">
        <v>136</v>
      </c>
      <c r="J167" s="450">
        <v>41943</v>
      </c>
      <c r="K167" s="450">
        <v>41943</v>
      </c>
      <c r="L167" s="11"/>
    </row>
    <row r="168" spans="1:12" ht="30" x14ac:dyDescent="0.2">
      <c r="A168" s="19">
        <v>15513</v>
      </c>
      <c r="B168" s="19" t="s">
        <v>115</v>
      </c>
      <c r="C168" s="19" t="s">
        <v>411</v>
      </c>
      <c r="D168" s="23">
        <v>5618.6812499999996</v>
      </c>
      <c r="E168" s="29">
        <v>3885</v>
      </c>
      <c r="F168" s="446"/>
      <c r="G168" s="27">
        <v>3885</v>
      </c>
      <c r="H168" s="478">
        <f t="shared" si="12"/>
        <v>0</v>
      </c>
      <c r="I168" s="446" t="s">
        <v>136</v>
      </c>
      <c r="J168" s="450">
        <v>42320</v>
      </c>
      <c r="K168" s="450">
        <v>42321</v>
      </c>
      <c r="L168" s="11"/>
    </row>
    <row r="169" spans="1:12" ht="15.75" x14ac:dyDescent="0.2">
      <c r="A169" s="26"/>
      <c r="B169" s="25"/>
      <c r="C169" s="40" t="s">
        <v>132</v>
      </c>
      <c r="D169" s="29"/>
      <c r="E169" s="45">
        <f>SUM(E157:E168)</f>
        <v>1250000</v>
      </c>
      <c r="F169" s="39"/>
      <c r="G169" s="23"/>
      <c r="H169" s="45">
        <f>SUM(H157:H168)</f>
        <v>0</v>
      </c>
      <c r="I169" s="446"/>
      <c r="J169" s="487"/>
      <c r="K169" s="20"/>
      <c r="L169" s="11"/>
    </row>
    <row r="170" spans="1:12" ht="15" x14ac:dyDescent="0.2">
      <c r="A170" s="131"/>
      <c r="B170" s="410"/>
      <c r="C170" s="410"/>
      <c r="D170" s="488"/>
      <c r="E170" s="488"/>
      <c r="F170" s="135"/>
      <c r="G170" s="489"/>
      <c r="H170" s="488"/>
      <c r="I170" s="490"/>
      <c r="J170" s="491"/>
      <c r="K170" s="136"/>
      <c r="L170" s="11"/>
    </row>
    <row r="171" spans="1:12" ht="15.75" x14ac:dyDescent="0.2">
      <c r="A171" s="37"/>
      <c r="B171" s="591" t="s">
        <v>168</v>
      </c>
      <c r="C171" s="595"/>
      <c r="D171" s="595"/>
      <c r="E171" s="595"/>
      <c r="F171" s="596"/>
      <c r="G171" s="44"/>
      <c r="H171" s="36"/>
      <c r="I171" s="34"/>
      <c r="J171" s="35"/>
      <c r="K171" s="34"/>
      <c r="L171" s="133"/>
    </row>
    <row r="172" spans="1:12" ht="78.75" x14ac:dyDescent="0.2">
      <c r="A172" s="33" t="s">
        <v>145</v>
      </c>
      <c r="B172" s="31" t="s">
        <v>144</v>
      </c>
      <c r="C172" s="31" t="s">
        <v>0</v>
      </c>
      <c r="D172" s="32" t="s">
        <v>1</v>
      </c>
      <c r="E172" s="32" t="s">
        <v>90</v>
      </c>
      <c r="F172" s="439" t="s">
        <v>91</v>
      </c>
      <c r="G172" s="32" t="s">
        <v>143</v>
      </c>
      <c r="H172" s="32" t="s">
        <v>142</v>
      </c>
      <c r="I172" s="31" t="s">
        <v>94</v>
      </c>
      <c r="J172" s="31" t="s">
        <v>95</v>
      </c>
      <c r="K172" s="31" t="s">
        <v>141</v>
      </c>
      <c r="L172" s="11"/>
    </row>
    <row r="173" spans="1:12" ht="15" x14ac:dyDescent="0.2">
      <c r="A173" s="26">
        <v>10482</v>
      </c>
      <c r="B173" s="42" t="s">
        <v>152</v>
      </c>
      <c r="C173" s="418" t="s">
        <v>167</v>
      </c>
      <c r="D173" s="493" t="s">
        <v>166</v>
      </c>
      <c r="E173" s="493" t="s">
        <v>157</v>
      </c>
      <c r="F173" s="446" t="s">
        <v>134</v>
      </c>
      <c r="G173" s="494">
        <v>0</v>
      </c>
      <c r="H173" s="493" t="s">
        <v>157</v>
      </c>
      <c r="I173" s="20" t="s">
        <v>156</v>
      </c>
      <c r="J173" s="25" t="s">
        <v>139</v>
      </c>
      <c r="K173" s="25"/>
      <c r="L173" s="11"/>
    </row>
    <row r="174" spans="1:12" ht="15" x14ac:dyDescent="0.2">
      <c r="A174" s="43">
        <v>10481</v>
      </c>
      <c r="B174" s="42" t="s">
        <v>165</v>
      </c>
      <c r="C174" s="495" t="s">
        <v>164</v>
      </c>
      <c r="D174" s="496">
        <v>654000</v>
      </c>
      <c r="E174" s="494">
        <v>0</v>
      </c>
      <c r="F174" s="497" t="s">
        <v>134</v>
      </c>
      <c r="G174" s="494">
        <v>0</v>
      </c>
      <c r="H174" s="494">
        <f>+E174-G174</f>
        <v>0</v>
      </c>
      <c r="I174" s="20" t="s">
        <v>163</v>
      </c>
      <c r="J174" s="498" t="s">
        <v>162</v>
      </c>
      <c r="K174" s="499"/>
      <c r="L174" s="11"/>
    </row>
    <row r="175" spans="1:12" ht="45" x14ac:dyDescent="0.2">
      <c r="A175" s="26">
        <v>11760</v>
      </c>
      <c r="B175" s="19" t="s">
        <v>135</v>
      </c>
      <c r="C175" s="25" t="s">
        <v>161</v>
      </c>
      <c r="D175" s="29"/>
      <c r="E175" s="23">
        <v>385677</v>
      </c>
      <c r="F175" s="446" t="s">
        <v>153</v>
      </c>
      <c r="G175" s="23">
        <v>385677</v>
      </c>
      <c r="H175" s="23">
        <f>+E175-G175</f>
        <v>0</v>
      </c>
      <c r="I175" s="20" t="s">
        <v>468</v>
      </c>
      <c r="J175" s="454">
        <v>41319</v>
      </c>
      <c r="K175" s="440">
        <v>41319</v>
      </c>
      <c r="L175" s="11"/>
    </row>
    <row r="176" spans="1:12" ht="30" x14ac:dyDescent="0.2">
      <c r="A176" s="26">
        <v>10484</v>
      </c>
      <c r="B176" s="42" t="s">
        <v>160</v>
      </c>
      <c r="C176" s="495" t="s">
        <v>159</v>
      </c>
      <c r="D176" s="493" t="s">
        <v>158</v>
      </c>
      <c r="E176" s="493" t="s">
        <v>157</v>
      </c>
      <c r="F176" s="446" t="s">
        <v>134</v>
      </c>
      <c r="G176" s="23">
        <v>0</v>
      </c>
      <c r="H176" s="494">
        <f t="shared" ref="H176:H183" si="13">+E176-G176</f>
        <v>0</v>
      </c>
      <c r="I176" s="20" t="s">
        <v>156</v>
      </c>
      <c r="J176" s="25" t="s">
        <v>139</v>
      </c>
      <c r="K176" s="25"/>
      <c r="L176" s="11"/>
    </row>
    <row r="177" spans="1:12" ht="30" x14ac:dyDescent="0.2">
      <c r="A177" s="26">
        <v>10483</v>
      </c>
      <c r="B177" s="19" t="s">
        <v>137</v>
      </c>
      <c r="C177" s="418" t="s">
        <v>155</v>
      </c>
      <c r="D177" s="29">
        <f>+E177/0.8</f>
        <v>85446.25</v>
      </c>
      <c r="E177" s="23">
        <v>68357</v>
      </c>
      <c r="F177" s="446" t="s">
        <v>138</v>
      </c>
      <c r="G177" s="23">
        <v>68357</v>
      </c>
      <c r="H177" s="23">
        <f t="shared" si="13"/>
        <v>0</v>
      </c>
      <c r="I177" s="20" t="s">
        <v>136</v>
      </c>
      <c r="J177" s="454">
        <v>40056</v>
      </c>
      <c r="K177" s="440">
        <v>40017</v>
      </c>
      <c r="L177" s="11"/>
    </row>
    <row r="178" spans="1:12" ht="30" x14ac:dyDescent="0.2">
      <c r="A178" s="26">
        <v>10968</v>
      </c>
      <c r="B178" s="19" t="s">
        <v>135</v>
      </c>
      <c r="C178" s="418" t="s">
        <v>154</v>
      </c>
      <c r="D178" s="23">
        <f>(+E178*1.25)+2543332</f>
        <v>3643332</v>
      </c>
      <c r="E178" s="23">
        <v>880000</v>
      </c>
      <c r="F178" s="446" t="s">
        <v>153</v>
      </c>
      <c r="G178" s="23">
        <v>880000</v>
      </c>
      <c r="H178" s="23">
        <f t="shared" si="13"/>
        <v>0</v>
      </c>
      <c r="I178" s="20" t="s">
        <v>468</v>
      </c>
      <c r="J178" s="454"/>
      <c r="K178" s="440">
        <v>41276</v>
      </c>
      <c r="L178" s="11"/>
    </row>
    <row r="179" spans="1:12" ht="15" x14ac:dyDescent="0.2">
      <c r="A179" s="26">
        <v>11350</v>
      </c>
      <c r="B179" s="19" t="s">
        <v>152</v>
      </c>
      <c r="C179" s="418" t="s">
        <v>151</v>
      </c>
      <c r="D179" s="23">
        <v>200000</v>
      </c>
      <c r="E179" s="23">
        <v>62577</v>
      </c>
      <c r="F179" s="446" t="s">
        <v>134</v>
      </c>
      <c r="G179" s="23">
        <v>62577</v>
      </c>
      <c r="H179" s="23">
        <f t="shared" si="13"/>
        <v>0</v>
      </c>
      <c r="I179" s="20" t="s">
        <v>468</v>
      </c>
      <c r="J179" s="440">
        <v>40688</v>
      </c>
      <c r="K179" s="440">
        <v>40548</v>
      </c>
      <c r="L179" s="11"/>
    </row>
    <row r="180" spans="1:12" ht="45" x14ac:dyDescent="0.2">
      <c r="A180" s="26">
        <v>11764</v>
      </c>
      <c r="B180" s="477" t="s">
        <v>150</v>
      </c>
      <c r="C180" s="485" t="s">
        <v>149</v>
      </c>
      <c r="D180" s="480">
        <f>+E180/0.8</f>
        <v>699736.25</v>
      </c>
      <c r="E180" s="480">
        <f>568443-8654</f>
        <v>559789</v>
      </c>
      <c r="F180" s="479" t="s">
        <v>134</v>
      </c>
      <c r="G180" s="480">
        <v>559789</v>
      </c>
      <c r="H180" s="23">
        <f t="shared" si="13"/>
        <v>0</v>
      </c>
      <c r="I180" s="20" t="s">
        <v>468</v>
      </c>
      <c r="J180" s="481">
        <v>41121</v>
      </c>
      <c r="K180" s="440">
        <v>41121</v>
      </c>
      <c r="L180" s="427"/>
    </row>
    <row r="181" spans="1:12" ht="30" x14ac:dyDescent="0.2">
      <c r="A181" s="451">
        <v>14371</v>
      </c>
      <c r="B181" s="25" t="s">
        <v>111</v>
      </c>
      <c r="C181" s="457" t="s">
        <v>148</v>
      </c>
      <c r="D181" s="480">
        <v>10817.5</v>
      </c>
      <c r="E181" s="480">
        <v>8654</v>
      </c>
      <c r="F181" s="446" t="s">
        <v>133</v>
      </c>
      <c r="G181" s="480">
        <v>8654</v>
      </c>
      <c r="H181" s="23">
        <f t="shared" si="13"/>
        <v>0</v>
      </c>
      <c r="I181" s="446" t="s">
        <v>136</v>
      </c>
      <c r="J181" s="450">
        <v>41864</v>
      </c>
      <c r="K181" s="482">
        <v>41864</v>
      </c>
      <c r="L181" s="11"/>
    </row>
    <row r="182" spans="1:12" ht="15" x14ac:dyDescent="0.2">
      <c r="A182" s="26">
        <v>12738</v>
      </c>
      <c r="B182" s="19" t="s">
        <v>115</v>
      </c>
      <c r="C182" s="25" t="s">
        <v>147</v>
      </c>
      <c r="D182" s="29">
        <v>177300</v>
      </c>
      <c r="E182" s="29">
        <v>137523</v>
      </c>
      <c r="F182" s="479" t="s">
        <v>134</v>
      </c>
      <c r="G182" s="23">
        <v>137523</v>
      </c>
      <c r="H182" s="23">
        <f t="shared" si="13"/>
        <v>0</v>
      </c>
      <c r="I182" s="20" t="s">
        <v>468</v>
      </c>
      <c r="J182" s="481">
        <v>41323</v>
      </c>
      <c r="K182" s="440">
        <v>41444</v>
      </c>
      <c r="L182" s="11"/>
    </row>
    <row r="183" spans="1:12" ht="30" x14ac:dyDescent="0.2">
      <c r="A183" s="486">
        <v>13417</v>
      </c>
      <c r="B183" s="460" t="s">
        <v>115</v>
      </c>
      <c r="C183" s="460" t="s">
        <v>146</v>
      </c>
      <c r="D183" s="27">
        <v>121778.75</v>
      </c>
      <c r="E183" s="27">
        <v>97423</v>
      </c>
      <c r="F183" s="446" t="s">
        <v>133</v>
      </c>
      <c r="G183" s="27">
        <v>97423</v>
      </c>
      <c r="H183" s="23">
        <f t="shared" si="13"/>
        <v>0</v>
      </c>
      <c r="I183" s="446" t="s">
        <v>136</v>
      </c>
      <c r="J183" s="450">
        <v>41943</v>
      </c>
      <c r="K183" s="450">
        <v>41943</v>
      </c>
      <c r="L183" s="11"/>
    </row>
    <row r="184" spans="1:12" ht="15.75" x14ac:dyDescent="0.2">
      <c r="A184" s="26"/>
      <c r="B184" s="41"/>
      <c r="C184" s="40" t="s">
        <v>132</v>
      </c>
      <c r="D184" s="23"/>
      <c r="E184" s="22">
        <f>SUM(E173:E183)</f>
        <v>2200000</v>
      </c>
      <c r="F184" s="39"/>
      <c r="G184" s="38"/>
      <c r="H184" s="22">
        <f>SUM(H174:H183)</f>
        <v>0</v>
      </c>
      <c r="I184" s="20"/>
      <c r="J184" s="21"/>
      <c r="K184" s="20"/>
      <c r="L184" s="11"/>
    </row>
    <row r="185" spans="1:12" ht="15" x14ac:dyDescent="0.2">
      <c r="A185" s="131"/>
      <c r="B185" s="132"/>
      <c r="C185" s="133"/>
      <c r="D185" s="134"/>
      <c r="E185" s="134"/>
      <c r="F185" s="135"/>
      <c r="G185" s="134"/>
      <c r="H185" s="489"/>
      <c r="I185" s="136"/>
      <c r="J185" s="137"/>
      <c r="K185" s="136"/>
      <c r="L185" s="11"/>
    </row>
    <row r="186" spans="1:12" ht="15.75" x14ac:dyDescent="0.2">
      <c r="A186" s="37"/>
      <c r="B186" s="591" t="s">
        <v>514</v>
      </c>
      <c r="C186" s="592"/>
      <c r="D186" s="592"/>
      <c r="E186" s="592"/>
      <c r="F186" s="593"/>
      <c r="G186" s="36"/>
      <c r="H186" s="36"/>
      <c r="I186" s="34"/>
      <c r="J186" s="35"/>
      <c r="K186" s="34"/>
      <c r="L186" s="11"/>
    </row>
    <row r="187" spans="1:12" ht="78.75" x14ac:dyDescent="0.2">
      <c r="A187" s="33" t="s">
        <v>145</v>
      </c>
      <c r="B187" s="31" t="s">
        <v>144</v>
      </c>
      <c r="C187" s="31" t="s">
        <v>0</v>
      </c>
      <c r="D187" s="32" t="s">
        <v>1</v>
      </c>
      <c r="E187" s="32" t="s">
        <v>90</v>
      </c>
      <c r="F187" s="31" t="s">
        <v>91</v>
      </c>
      <c r="G187" s="32" t="s">
        <v>143</v>
      </c>
      <c r="H187" s="32" t="s">
        <v>142</v>
      </c>
      <c r="I187" s="31" t="s">
        <v>94</v>
      </c>
      <c r="J187" s="31" t="s">
        <v>95</v>
      </c>
      <c r="K187" s="31" t="s">
        <v>141</v>
      </c>
      <c r="L187" s="11"/>
    </row>
    <row r="188" spans="1:12" ht="30" x14ac:dyDescent="0.2">
      <c r="A188" s="143" t="s">
        <v>515</v>
      </c>
      <c r="B188" s="19" t="s">
        <v>516</v>
      </c>
      <c r="C188" s="25" t="s">
        <v>517</v>
      </c>
      <c r="D188" s="500">
        <f>1100000+288484-222165</f>
        <v>1166319</v>
      </c>
      <c r="E188" s="23">
        <v>702268</v>
      </c>
      <c r="F188" s="446" t="s">
        <v>138</v>
      </c>
      <c r="G188" s="23">
        <v>702268</v>
      </c>
      <c r="H188" s="23">
        <f>+E188-G188</f>
        <v>0</v>
      </c>
      <c r="I188" s="20" t="s">
        <v>136</v>
      </c>
      <c r="J188" s="227">
        <v>40482</v>
      </c>
      <c r="K188" s="227">
        <v>40557</v>
      </c>
      <c r="L188" s="133"/>
    </row>
    <row r="189" spans="1:12" ht="30" x14ac:dyDescent="0.2">
      <c r="A189" s="143" t="s">
        <v>518</v>
      </c>
      <c r="B189" s="19" t="s">
        <v>519</v>
      </c>
      <c r="C189" s="25" t="s">
        <v>520</v>
      </c>
      <c r="D189" s="500">
        <f>1119250-75000</f>
        <v>1044250</v>
      </c>
      <c r="E189" s="23">
        <v>820000</v>
      </c>
      <c r="F189" s="446" t="s">
        <v>138</v>
      </c>
      <c r="G189" s="23">
        <v>820000</v>
      </c>
      <c r="H189" s="23">
        <f>+E189-G189</f>
        <v>0</v>
      </c>
      <c r="I189" s="20" t="s">
        <v>136</v>
      </c>
      <c r="J189" s="227">
        <v>40485</v>
      </c>
      <c r="K189" s="227">
        <v>40485</v>
      </c>
      <c r="L189" s="133"/>
    </row>
    <row r="190" spans="1:12" ht="45" x14ac:dyDescent="0.2">
      <c r="A190" s="143" t="s">
        <v>521</v>
      </c>
      <c r="B190" s="19" t="s">
        <v>522</v>
      </c>
      <c r="C190" s="25" t="s">
        <v>523</v>
      </c>
      <c r="D190" s="500">
        <v>385043</v>
      </c>
      <c r="E190" s="23">
        <v>100876</v>
      </c>
      <c r="F190" s="446" t="s">
        <v>138</v>
      </c>
      <c r="G190" s="23">
        <v>100876</v>
      </c>
      <c r="H190" s="23">
        <f>+E190-G190</f>
        <v>0</v>
      </c>
      <c r="I190" s="20" t="s">
        <v>136</v>
      </c>
      <c r="J190" s="227">
        <v>39964</v>
      </c>
      <c r="K190" s="227">
        <v>39800</v>
      </c>
      <c r="L190" s="133"/>
    </row>
    <row r="191" spans="1:12" ht="60" x14ac:dyDescent="0.2">
      <c r="A191" s="143" t="s">
        <v>524</v>
      </c>
      <c r="B191" s="19" t="s">
        <v>525</v>
      </c>
      <c r="C191" s="25" t="s">
        <v>526</v>
      </c>
      <c r="D191" s="500">
        <f>576856/0.8</f>
        <v>721070</v>
      </c>
      <c r="E191" s="23">
        <v>576856</v>
      </c>
      <c r="F191" s="446" t="s">
        <v>134</v>
      </c>
      <c r="G191" s="23">
        <v>576856</v>
      </c>
      <c r="H191" s="23">
        <f>+E191-G191</f>
        <v>0</v>
      </c>
      <c r="I191" s="20" t="s">
        <v>136</v>
      </c>
      <c r="J191" s="501">
        <v>39629</v>
      </c>
      <c r="K191" s="227">
        <v>39660</v>
      </c>
    </row>
    <row r="192" spans="1:12" ht="15.75" x14ac:dyDescent="0.2">
      <c r="A192" s="143"/>
      <c r="B192" s="25"/>
      <c r="C192" s="24" t="s">
        <v>132</v>
      </c>
      <c r="D192" s="500"/>
      <c r="E192" s="22">
        <f>SUM(E188:E191)</f>
        <v>2200000</v>
      </c>
      <c r="F192" s="446"/>
      <c r="G192" s="23"/>
      <c r="H192" s="22">
        <f>SUM(H188:H191)</f>
        <v>0</v>
      </c>
      <c r="I192" s="20"/>
      <c r="J192" s="487"/>
      <c r="K192" s="437"/>
    </row>
    <row r="193" spans="1:11" ht="15" x14ac:dyDescent="0.2">
      <c r="A193" s="131"/>
      <c r="B193" s="502"/>
      <c r="C193" s="11"/>
      <c r="D193" s="489"/>
      <c r="E193" s="489"/>
      <c r="F193" s="490"/>
      <c r="G193" s="489"/>
      <c r="H193" s="489"/>
      <c r="I193" s="136"/>
      <c r="J193" s="137"/>
      <c r="K193" s="136"/>
    </row>
    <row r="194" spans="1:11" ht="15.75" x14ac:dyDescent="0.2">
      <c r="A194" s="37"/>
      <c r="B194" s="591" t="s">
        <v>527</v>
      </c>
      <c r="C194" s="592"/>
      <c r="D194" s="592"/>
      <c r="E194" s="592"/>
      <c r="F194" s="593"/>
      <c r="G194" s="36"/>
      <c r="H194" s="36"/>
      <c r="I194" s="34"/>
      <c r="J194" s="35"/>
      <c r="K194" s="34"/>
    </row>
    <row r="195" spans="1:11" ht="78.75" x14ac:dyDescent="0.2">
      <c r="A195" s="33" t="s">
        <v>145</v>
      </c>
      <c r="B195" s="31" t="s">
        <v>144</v>
      </c>
      <c r="C195" s="31" t="s">
        <v>0</v>
      </c>
      <c r="D195" s="32" t="s">
        <v>1</v>
      </c>
      <c r="E195" s="32" t="s">
        <v>90</v>
      </c>
      <c r="F195" s="31" t="s">
        <v>91</v>
      </c>
      <c r="G195" s="32" t="s">
        <v>143</v>
      </c>
      <c r="H195" s="32" t="s">
        <v>142</v>
      </c>
      <c r="I195" s="31" t="s">
        <v>94</v>
      </c>
      <c r="J195" s="31" t="s">
        <v>95</v>
      </c>
      <c r="K195" s="31" t="s">
        <v>141</v>
      </c>
    </row>
    <row r="196" spans="1:11" ht="30" x14ac:dyDescent="0.2">
      <c r="A196" s="143" t="s">
        <v>528</v>
      </c>
      <c r="B196" s="19" t="s">
        <v>140</v>
      </c>
      <c r="C196" s="25" t="s">
        <v>529</v>
      </c>
      <c r="D196" s="23">
        <v>1100000</v>
      </c>
      <c r="E196" s="23">
        <v>880000</v>
      </c>
      <c r="F196" s="446" t="s">
        <v>530</v>
      </c>
      <c r="G196" s="23">
        <v>880000</v>
      </c>
      <c r="H196" s="23">
        <f t="shared" ref="H196:H206" si="14">+E196-G196</f>
        <v>0</v>
      </c>
      <c r="I196" s="20" t="s">
        <v>136</v>
      </c>
      <c r="J196" s="501">
        <v>39599</v>
      </c>
      <c r="K196" s="227">
        <v>39618</v>
      </c>
    </row>
    <row r="197" spans="1:11" ht="30" x14ac:dyDescent="0.2">
      <c r="A197" s="503" t="s">
        <v>531</v>
      </c>
      <c r="B197" s="42" t="s">
        <v>532</v>
      </c>
      <c r="C197" s="499" t="s">
        <v>533</v>
      </c>
      <c r="D197" s="494">
        <v>2589453</v>
      </c>
      <c r="E197" s="494">
        <v>0</v>
      </c>
      <c r="F197" s="497" t="s">
        <v>534</v>
      </c>
      <c r="G197" s="23">
        <v>0</v>
      </c>
      <c r="H197" s="23">
        <v>0</v>
      </c>
      <c r="I197" s="20" t="s">
        <v>535</v>
      </c>
      <c r="J197" s="504" t="s">
        <v>139</v>
      </c>
      <c r="K197" s="504" t="s">
        <v>139</v>
      </c>
    </row>
    <row r="198" spans="1:11" ht="30" x14ac:dyDescent="0.2">
      <c r="A198" s="143" t="s">
        <v>536</v>
      </c>
      <c r="B198" s="19" t="s">
        <v>537</v>
      </c>
      <c r="C198" s="25" t="s">
        <v>538</v>
      </c>
      <c r="D198" s="23">
        <v>138134</v>
      </c>
      <c r="E198" s="23">
        <v>110507</v>
      </c>
      <c r="F198" s="446" t="s">
        <v>530</v>
      </c>
      <c r="G198" s="23">
        <v>110507</v>
      </c>
      <c r="H198" s="23">
        <f t="shared" si="14"/>
        <v>0</v>
      </c>
      <c r="I198" s="20" t="s">
        <v>136</v>
      </c>
      <c r="J198" s="501">
        <v>39862</v>
      </c>
      <c r="K198" s="227">
        <v>39862</v>
      </c>
    </row>
    <row r="199" spans="1:11" ht="30" x14ac:dyDescent="0.2">
      <c r="A199" s="143" t="s">
        <v>539</v>
      </c>
      <c r="B199" s="19" t="s">
        <v>540</v>
      </c>
      <c r="C199" s="25" t="s">
        <v>541</v>
      </c>
      <c r="D199" s="23">
        <v>66677</v>
      </c>
      <c r="E199" s="23">
        <v>53341</v>
      </c>
      <c r="F199" s="446" t="s">
        <v>530</v>
      </c>
      <c r="G199" s="23">
        <v>53341</v>
      </c>
      <c r="H199" s="23">
        <f t="shared" si="14"/>
        <v>0</v>
      </c>
      <c r="I199" s="20" t="s">
        <v>136</v>
      </c>
      <c r="J199" s="227">
        <v>40226</v>
      </c>
      <c r="K199" s="227">
        <v>40226</v>
      </c>
    </row>
    <row r="200" spans="1:11" ht="15" x14ac:dyDescent="0.2">
      <c r="A200" s="143" t="s">
        <v>542</v>
      </c>
      <c r="B200" s="19" t="s">
        <v>543</v>
      </c>
      <c r="C200" s="25" t="s">
        <v>544</v>
      </c>
      <c r="D200" s="23">
        <v>50000</v>
      </c>
      <c r="E200" s="23">
        <v>40000</v>
      </c>
      <c r="F200" s="446" t="s">
        <v>530</v>
      </c>
      <c r="G200" s="23">
        <v>40000</v>
      </c>
      <c r="H200" s="23">
        <f t="shared" si="14"/>
        <v>0</v>
      </c>
      <c r="I200" s="20" t="s">
        <v>136</v>
      </c>
      <c r="J200" s="501">
        <v>39707</v>
      </c>
      <c r="K200" s="227">
        <v>39707</v>
      </c>
    </row>
    <row r="201" spans="1:11" ht="45" x14ac:dyDescent="0.2">
      <c r="A201" s="143" t="s">
        <v>545</v>
      </c>
      <c r="B201" s="19" t="s">
        <v>546</v>
      </c>
      <c r="C201" s="25" t="s">
        <v>547</v>
      </c>
      <c r="D201" s="23">
        <f>E201/0.8</f>
        <v>40267.5</v>
      </c>
      <c r="E201" s="23">
        <v>32214</v>
      </c>
      <c r="F201" s="446" t="s">
        <v>530</v>
      </c>
      <c r="G201" s="23">
        <v>32214</v>
      </c>
      <c r="H201" s="23">
        <f t="shared" si="14"/>
        <v>0</v>
      </c>
      <c r="I201" s="20" t="s">
        <v>136</v>
      </c>
      <c r="J201" s="501">
        <v>39538</v>
      </c>
      <c r="K201" s="227">
        <v>39582</v>
      </c>
    </row>
    <row r="202" spans="1:11" ht="45" x14ac:dyDescent="0.2">
      <c r="A202" s="143" t="s">
        <v>548</v>
      </c>
      <c r="B202" s="19" t="s">
        <v>549</v>
      </c>
      <c r="C202" s="25" t="s">
        <v>550</v>
      </c>
      <c r="D202" s="23">
        <v>500000</v>
      </c>
      <c r="E202" s="23">
        <v>163085</v>
      </c>
      <c r="F202" s="446" t="s">
        <v>534</v>
      </c>
      <c r="G202" s="23">
        <v>163085</v>
      </c>
      <c r="H202" s="23">
        <v>0</v>
      </c>
      <c r="I202" s="20" t="s">
        <v>136</v>
      </c>
      <c r="J202" s="501">
        <v>40543</v>
      </c>
      <c r="K202" s="227">
        <v>40142</v>
      </c>
    </row>
    <row r="203" spans="1:11" ht="30" x14ac:dyDescent="0.2">
      <c r="A203" s="143" t="s">
        <v>551</v>
      </c>
      <c r="B203" s="19" t="s">
        <v>137</v>
      </c>
      <c r="C203" s="25" t="s">
        <v>552</v>
      </c>
      <c r="D203" s="23">
        <v>587500</v>
      </c>
      <c r="E203" s="23">
        <v>220000</v>
      </c>
      <c r="F203" s="446" t="s">
        <v>534</v>
      </c>
      <c r="G203" s="23">
        <v>220000</v>
      </c>
      <c r="H203" s="23">
        <f t="shared" si="14"/>
        <v>0</v>
      </c>
      <c r="I203" s="20" t="s">
        <v>136</v>
      </c>
      <c r="J203" s="501">
        <v>39721</v>
      </c>
      <c r="K203" s="227">
        <v>39708</v>
      </c>
    </row>
    <row r="204" spans="1:11" ht="60" x14ac:dyDescent="0.2">
      <c r="A204" s="144" t="s">
        <v>524</v>
      </c>
      <c r="B204" s="145" t="s">
        <v>525</v>
      </c>
      <c r="C204" s="30" t="s">
        <v>553</v>
      </c>
      <c r="D204" s="146">
        <f>334498/0.8</f>
        <v>418122.5</v>
      </c>
      <c r="E204" s="146">
        <f>125413+177731</f>
        <v>303144</v>
      </c>
      <c r="F204" s="505" t="s">
        <v>134</v>
      </c>
      <c r="G204" s="146">
        <v>303144</v>
      </c>
      <c r="H204" s="146">
        <f t="shared" si="14"/>
        <v>0</v>
      </c>
      <c r="I204" s="147" t="s">
        <v>136</v>
      </c>
      <c r="J204" s="225">
        <v>39629</v>
      </c>
      <c r="K204" s="226">
        <v>39660</v>
      </c>
    </row>
    <row r="205" spans="1:11" ht="30" x14ac:dyDescent="0.2">
      <c r="A205" s="143" t="s">
        <v>515</v>
      </c>
      <c r="B205" s="19" t="s">
        <v>554</v>
      </c>
      <c r="C205" s="25" t="s">
        <v>555</v>
      </c>
      <c r="D205" s="23">
        <f>177732/0.8</f>
        <v>222165</v>
      </c>
      <c r="E205" s="23">
        <v>177732</v>
      </c>
      <c r="F205" s="446" t="s">
        <v>138</v>
      </c>
      <c r="G205" s="23">
        <v>177732</v>
      </c>
      <c r="H205" s="23">
        <f t="shared" si="14"/>
        <v>0</v>
      </c>
      <c r="I205" s="20" t="s">
        <v>136</v>
      </c>
      <c r="J205" s="227">
        <v>40482</v>
      </c>
      <c r="K205" s="227">
        <v>40557</v>
      </c>
    </row>
    <row r="206" spans="1:11" ht="30" x14ac:dyDescent="0.2">
      <c r="A206" s="143" t="s">
        <v>518</v>
      </c>
      <c r="B206" s="19" t="s">
        <v>540</v>
      </c>
      <c r="C206" s="25" t="s">
        <v>556</v>
      </c>
      <c r="D206" s="23">
        <f>60000/0.8</f>
        <v>75000</v>
      </c>
      <c r="E206" s="23">
        <v>60000</v>
      </c>
      <c r="F206" s="446" t="s">
        <v>134</v>
      </c>
      <c r="G206" s="23">
        <v>60000</v>
      </c>
      <c r="H206" s="23">
        <f t="shared" si="14"/>
        <v>0</v>
      </c>
      <c r="I206" s="20" t="s">
        <v>136</v>
      </c>
      <c r="J206" s="227">
        <v>40485</v>
      </c>
      <c r="K206" s="227">
        <v>40485</v>
      </c>
    </row>
    <row r="207" spans="1:11" ht="30" x14ac:dyDescent="0.2">
      <c r="A207" s="143">
        <v>10483</v>
      </c>
      <c r="B207" s="19" t="s">
        <v>137</v>
      </c>
      <c r="C207" s="418" t="s">
        <v>557</v>
      </c>
      <c r="D207" s="23">
        <f>E207/0.8</f>
        <v>82053.75</v>
      </c>
      <c r="E207" s="23">
        <f>39537+26106</f>
        <v>65643</v>
      </c>
      <c r="F207" s="446" t="s">
        <v>534</v>
      </c>
      <c r="G207" s="23">
        <v>65643</v>
      </c>
      <c r="H207" s="23">
        <f>+E207-G207</f>
        <v>0</v>
      </c>
      <c r="I207" s="20" t="s">
        <v>136</v>
      </c>
      <c r="J207" s="501">
        <v>40017</v>
      </c>
      <c r="K207" s="501">
        <v>40017</v>
      </c>
    </row>
    <row r="208" spans="1:11" ht="45" x14ac:dyDescent="0.2">
      <c r="A208" s="26">
        <v>11760</v>
      </c>
      <c r="B208" s="19" t="s">
        <v>135</v>
      </c>
      <c r="C208" s="25" t="s">
        <v>558</v>
      </c>
      <c r="D208" s="29">
        <f>+E208/0.8</f>
        <v>71773.75</v>
      </c>
      <c r="E208" s="29">
        <v>57419</v>
      </c>
      <c r="F208" s="446" t="s">
        <v>134</v>
      </c>
      <c r="G208" s="23">
        <v>57419</v>
      </c>
      <c r="H208" s="23">
        <f>+E208-G208</f>
        <v>0</v>
      </c>
      <c r="I208" s="20" t="s">
        <v>136</v>
      </c>
      <c r="J208" s="501">
        <v>41319</v>
      </c>
      <c r="K208" s="501">
        <v>41319</v>
      </c>
    </row>
    <row r="209" spans="1:11" ht="30" x14ac:dyDescent="0.2">
      <c r="A209" s="486">
        <v>13417</v>
      </c>
      <c r="B209" s="460" t="s">
        <v>115</v>
      </c>
      <c r="C209" s="460" t="s">
        <v>559</v>
      </c>
      <c r="D209" s="28">
        <v>46143.75</v>
      </c>
      <c r="E209" s="27">
        <v>36915</v>
      </c>
      <c r="F209" s="446" t="s">
        <v>133</v>
      </c>
      <c r="G209" s="27">
        <v>36915</v>
      </c>
      <c r="H209" s="23">
        <f>+E209-G209</f>
        <v>0</v>
      </c>
      <c r="I209" s="20" t="s">
        <v>136</v>
      </c>
      <c r="J209" s="227">
        <v>41407</v>
      </c>
      <c r="K209" s="227">
        <v>41407</v>
      </c>
    </row>
    <row r="210" spans="1:11" ht="15.75" x14ac:dyDescent="0.2">
      <c r="A210" s="26"/>
      <c r="B210" s="25"/>
      <c r="C210" s="24" t="s">
        <v>132</v>
      </c>
      <c r="D210" s="23"/>
      <c r="E210" s="22">
        <f>SUM(E196:E208)+E209</f>
        <v>2200000</v>
      </c>
      <c r="F210" s="20"/>
      <c r="G210" s="22"/>
      <c r="H210" s="22">
        <f>SUM(H196:H209)</f>
        <v>0</v>
      </c>
      <c r="I210" s="20"/>
      <c r="J210" s="21"/>
      <c r="K210" s="20"/>
    </row>
  </sheetData>
  <mergeCells count="59">
    <mergeCell ref="B186:F186"/>
    <mergeCell ref="B194:F194"/>
    <mergeCell ref="A107:E107"/>
    <mergeCell ref="F107:G107"/>
    <mergeCell ref="H107:I107"/>
    <mergeCell ref="J107:K107"/>
    <mergeCell ref="A131:E131"/>
    <mergeCell ref="F131:G131"/>
    <mergeCell ref="H131:I131"/>
    <mergeCell ref="J131:K131"/>
    <mergeCell ref="A67:E67"/>
    <mergeCell ref="F67:G67"/>
    <mergeCell ref="H67:I67"/>
    <mergeCell ref="J67:K67"/>
    <mergeCell ref="A77:E77"/>
    <mergeCell ref="F77:G77"/>
    <mergeCell ref="H77:I77"/>
    <mergeCell ref="J77:K77"/>
    <mergeCell ref="A98:E98"/>
    <mergeCell ref="F98:G98"/>
    <mergeCell ref="H98:I98"/>
    <mergeCell ref="J98:K98"/>
    <mergeCell ref="A88:E88"/>
    <mergeCell ref="F88:G88"/>
    <mergeCell ref="H88:I88"/>
    <mergeCell ref="J88:K88"/>
    <mergeCell ref="A1:E1"/>
    <mergeCell ref="F1:G1"/>
    <mergeCell ref="H1:I1"/>
    <mergeCell ref="J1:K1"/>
    <mergeCell ref="A10:E10"/>
    <mergeCell ref="F10:G10"/>
    <mergeCell ref="H10:I10"/>
    <mergeCell ref="J10:K10"/>
    <mergeCell ref="A21:E21"/>
    <mergeCell ref="F21:G21"/>
    <mergeCell ref="H21:I21"/>
    <mergeCell ref="J21:K21"/>
    <mergeCell ref="A34:E34"/>
    <mergeCell ref="F34:G34"/>
    <mergeCell ref="H34:I34"/>
    <mergeCell ref="J34:K34"/>
    <mergeCell ref="A43:E43"/>
    <mergeCell ref="F43:G43"/>
    <mergeCell ref="H43:I43"/>
    <mergeCell ref="J43:K43"/>
    <mergeCell ref="A56:E56"/>
    <mergeCell ref="F56:G56"/>
    <mergeCell ref="H56:I56"/>
    <mergeCell ref="J56:K56"/>
    <mergeCell ref="A122:E122"/>
    <mergeCell ref="F122:G122"/>
    <mergeCell ref="H122:I122"/>
    <mergeCell ref="J122:K122"/>
    <mergeCell ref="B143:F143"/>
    <mergeCell ref="G143:H143"/>
    <mergeCell ref="I143:J143"/>
    <mergeCell ref="B155:F155"/>
    <mergeCell ref="B171:F171"/>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GAVI </vt:lpstr>
      <vt:lpstr>CSVI</vt:lpstr>
      <vt:lpstr>SRT</vt:lpstr>
      <vt:lpstr>RRLGP</vt:lpstr>
      <vt:lpstr>Passenger Rail</vt:lpstr>
      <vt:lpstr>PTIG</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Anderson, Stuart</cp:lastModifiedBy>
  <cp:lastPrinted>2015-01-14T18:22:09Z</cp:lastPrinted>
  <dcterms:created xsi:type="dcterms:W3CDTF">2006-11-27T14:03:20Z</dcterms:created>
  <dcterms:modified xsi:type="dcterms:W3CDTF">2024-01-12T14:16:14Z</dcterms:modified>
</cp:coreProperties>
</file>