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P:\data\Annual Reports\Infrastructure Status Reports\"/>
    </mc:Choice>
  </mc:AlternateContent>
  <xr:revisionPtr revIDLastSave="0" documentId="10_ncr:100000_{C4338BEA-C88E-45A1-BF27-52E51CA8C564}" xr6:coauthVersionLast="31" xr6:coauthVersionMax="31" xr10:uidLastSave="{00000000-0000-0000-0000-000000000000}"/>
  <bookViews>
    <workbookView xWindow="14385" yWindow="-15" windowWidth="14430" windowHeight="12855" xr2:uid="{00000000-000D-0000-FFFF-FFFF00000000}"/>
  </bookViews>
  <sheets>
    <sheet name="GAVI " sheetId="23" r:id="rId1"/>
    <sheet name="CSVI" sheetId="24" r:id="rId2"/>
    <sheet name="SRT" sheetId="22" r:id="rId3"/>
    <sheet name="RRLGP" sheetId="29" r:id="rId4"/>
    <sheet name="Passenger Rail" sheetId="30" r:id="rId5"/>
    <sheet name="PTIG" sheetId="25" r:id="rId6"/>
  </sheets>
  <definedNames>
    <definedName name="_xlnm.Print_Area" localSheetId="5">PTIG!#REF!</definedName>
    <definedName name="_xlnm.Print_Area" localSheetId="2">SRT!#REF!</definedName>
    <definedName name="_xlnm.Print_Titles" localSheetId="2">SRT!#REF!</definedName>
  </definedNames>
  <calcPr calcId="179017"/>
</workbook>
</file>

<file path=xl/calcChain.xml><?xml version="1.0" encoding="utf-8"?>
<calcChain xmlns="http://schemas.openxmlformats.org/spreadsheetml/2006/main">
  <c r="C9" i="30" l="1"/>
  <c r="H150" i="25" l="1"/>
  <c r="H149" i="25"/>
  <c r="D149" i="25"/>
  <c r="H148" i="25"/>
  <c r="E148" i="25"/>
  <c r="D148" i="25" s="1"/>
  <c r="H147" i="25"/>
  <c r="D147" i="25"/>
  <c r="H146" i="25"/>
  <c r="D146" i="25"/>
  <c r="H145" i="25"/>
  <c r="E145" i="25"/>
  <c r="E151" i="25" s="1"/>
  <c r="D145" i="25"/>
  <c r="H144" i="25"/>
  <c r="H142" i="25"/>
  <c r="D142" i="25"/>
  <c r="H141" i="25"/>
  <c r="H140" i="25"/>
  <c r="H139" i="25"/>
  <c r="H137" i="25"/>
  <c r="H151" i="25" s="1"/>
  <c r="E133" i="25"/>
  <c r="H132" i="25"/>
  <c r="D132" i="25"/>
  <c r="H131" i="25"/>
  <c r="H130" i="25"/>
  <c r="D130" i="25"/>
  <c r="H129" i="25"/>
  <c r="H133" i="25" s="1"/>
  <c r="D129" i="25"/>
  <c r="H124" i="25"/>
  <c r="H123" i="25"/>
  <c r="H122" i="25"/>
  <c r="H121" i="25"/>
  <c r="E121" i="25"/>
  <c r="D121" i="25" s="1"/>
  <c r="H120" i="25"/>
  <c r="H119" i="25"/>
  <c r="D119" i="25"/>
  <c r="H118" i="25"/>
  <c r="D118" i="25"/>
  <c r="H117" i="25"/>
  <c r="H116" i="25"/>
  <c r="H115" i="25"/>
  <c r="H125" i="25" s="1"/>
  <c r="E110" i="25"/>
  <c r="H109" i="25"/>
  <c r="H108" i="25"/>
  <c r="H107" i="25"/>
  <c r="H106" i="25"/>
  <c r="H105" i="25"/>
  <c r="E105" i="25"/>
  <c r="H104" i="25"/>
  <c r="H103" i="25"/>
  <c r="H102" i="25"/>
  <c r="H101" i="25"/>
  <c r="H100" i="25"/>
  <c r="H99" i="25"/>
  <c r="H98" i="25"/>
  <c r="H110" i="25" s="1"/>
  <c r="H93" i="25"/>
  <c r="H92" i="25"/>
  <c r="H91" i="25"/>
  <c r="E90" i="25"/>
  <c r="H90" i="25" s="1"/>
  <c r="H89" i="25"/>
  <c r="H88" i="25"/>
  <c r="E88" i="25"/>
  <c r="E87" i="25"/>
  <c r="H87" i="25" s="1"/>
  <c r="H86" i="25"/>
  <c r="E82" i="25"/>
  <c r="H81" i="25"/>
  <c r="G80" i="25"/>
  <c r="E80" i="25"/>
  <c r="H80" i="25" s="1"/>
  <c r="H79" i="25"/>
  <c r="H78" i="25"/>
  <c r="H77" i="25"/>
  <c r="H76" i="25"/>
  <c r="H82" i="25" s="1"/>
  <c r="G76" i="25"/>
  <c r="E76" i="25"/>
  <c r="H75" i="25"/>
  <c r="H74" i="25"/>
  <c r="E69" i="25"/>
  <c r="E70" i="25" s="1"/>
  <c r="H68" i="25"/>
  <c r="H67" i="25"/>
  <c r="E66" i="25"/>
  <c r="H66" i="25" s="1"/>
  <c r="H65" i="25"/>
  <c r="H59" i="25"/>
  <c r="H58" i="25"/>
  <c r="H57" i="25"/>
  <c r="E56" i="25"/>
  <c r="H56" i="25" s="1"/>
  <c r="G55" i="25"/>
  <c r="E55" i="25"/>
  <c r="H55" i="25" s="1"/>
  <c r="H54" i="25"/>
  <c r="G53" i="25"/>
  <c r="E53" i="25"/>
  <c r="H53" i="25" s="1"/>
  <c r="H52" i="25"/>
  <c r="E51" i="25"/>
  <c r="H51" i="25" s="1"/>
  <c r="H50" i="25"/>
  <c r="H45" i="25"/>
  <c r="E45" i="25"/>
  <c r="H44" i="25"/>
  <c r="H43" i="25"/>
  <c r="H42" i="25"/>
  <c r="H41" i="25"/>
  <c r="H46" i="25" s="1"/>
  <c r="G35" i="25"/>
  <c r="H35" i="25" s="1"/>
  <c r="H34" i="25"/>
  <c r="E33" i="25"/>
  <c r="E36" i="25" s="1"/>
  <c r="H32" i="25"/>
  <c r="H31" i="25"/>
  <c r="E27" i="25"/>
  <c r="E26" i="25"/>
  <c r="H26" i="25" s="1"/>
  <c r="H25" i="25"/>
  <c r="D25" i="25"/>
  <c r="H24" i="25"/>
  <c r="E24" i="25"/>
  <c r="E23" i="25"/>
  <c r="H23" i="25" s="1"/>
  <c r="H22" i="25"/>
  <c r="H21" i="25"/>
  <c r="E20" i="25"/>
  <c r="H20" i="25" s="1"/>
  <c r="H27" i="25" s="1"/>
  <c r="E16" i="25"/>
  <c r="H14" i="25"/>
  <c r="H13" i="25"/>
  <c r="E12" i="25"/>
  <c r="D12" i="25" s="1"/>
  <c r="E7" i="25"/>
  <c r="H7" i="25" s="1"/>
  <c r="H6" i="25"/>
  <c r="H5" i="25"/>
  <c r="H4" i="25"/>
  <c r="H3" i="25"/>
  <c r="H8" i="25" s="1"/>
  <c r="G123" i="22"/>
  <c r="E123" i="22"/>
  <c r="G117" i="22"/>
  <c r="E117" i="22"/>
  <c r="G108" i="22"/>
  <c r="E108" i="22"/>
  <c r="G99" i="22"/>
  <c r="E99" i="22"/>
  <c r="G87" i="22"/>
  <c r="E76" i="22"/>
  <c r="E87" i="22" s="1"/>
  <c r="G73" i="22"/>
  <c r="E73" i="22"/>
  <c r="G60" i="22"/>
  <c r="E60" i="22"/>
  <c r="J51" i="22"/>
  <c r="H51" i="22"/>
  <c r="J42" i="22"/>
  <c r="H42" i="22"/>
  <c r="F151" i="29"/>
  <c r="D151" i="29"/>
  <c r="C151" i="29"/>
  <c r="G147" i="29"/>
  <c r="G146" i="29"/>
  <c r="G143" i="29"/>
  <c r="G142" i="29"/>
  <c r="G151" i="29" s="1"/>
  <c r="F137" i="29"/>
  <c r="D137" i="29"/>
  <c r="C137" i="29"/>
  <c r="G135" i="29"/>
  <c r="G137" i="29" s="1"/>
  <c r="G129" i="29"/>
  <c r="F129" i="29"/>
  <c r="D129" i="29"/>
  <c r="C129" i="29"/>
  <c r="G115" i="29"/>
  <c r="F115" i="29"/>
  <c r="D115" i="29"/>
  <c r="C115" i="29"/>
  <c r="G114" i="29"/>
  <c r="G104" i="29"/>
  <c r="F104" i="29"/>
  <c r="D104" i="29"/>
  <c r="C104" i="29"/>
  <c r="G103" i="29"/>
  <c r="G93" i="29"/>
  <c r="F93" i="29"/>
  <c r="D93" i="29"/>
  <c r="C93" i="29"/>
  <c r="G84" i="29"/>
  <c r="F84" i="29"/>
  <c r="D84" i="29"/>
  <c r="C84" i="29"/>
  <c r="G71" i="29"/>
  <c r="F71" i="29"/>
  <c r="D71" i="29"/>
  <c r="C71" i="29"/>
  <c r="G58" i="29"/>
  <c r="F58" i="29"/>
  <c r="D58" i="29"/>
  <c r="C58" i="29"/>
  <c r="G49" i="29"/>
  <c r="F49" i="29"/>
  <c r="D49" i="29"/>
  <c r="C49" i="29"/>
  <c r="G39" i="29"/>
  <c r="F39" i="29"/>
  <c r="D39" i="29"/>
  <c r="C39" i="29"/>
  <c r="G30" i="29"/>
  <c r="F30" i="29"/>
  <c r="D30" i="29"/>
  <c r="C30" i="29"/>
  <c r="G15" i="29"/>
  <c r="F15" i="29"/>
  <c r="D15" i="29"/>
  <c r="C15" i="29"/>
  <c r="G14" i="29"/>
  <c r="G8" i="29"/>
  <c r="F8" i="29"/>
  <c r="D8" i="29"/>
  <c r="C8" i="29"/>
  <c r="B15" i="30"/>
  <c r="E10" i="30"/>
  <c r="C10" i="30"/>
  <c r="B10" i="30"/>
  <c r="F9" i="30"/>
  <c r="F8" i="30"/>
  <c r="F7" i="30"/>
  <c r="F6" i="30"/>
  <c r="F5" i="30"/>
  <c r="F4" i="30"/>
  <c r="F3" i="30"/>
  <c r="D102" i="24"/>
  <c r="C102" i="24"/>
  <c r="F100" i="24"/>
  <c r="G100" i="24" s="1"/>
  <c r="F99" i="24"/>
  <c r="G99" i="24" s="1"/>
  <c r="G97" i="24"/>
  <c r="F96" i="24"/>
  <c r="G96" i="24" s="1"/>
  <c r="F94" i="24"/>
  <c r="F102" i="24" s="1"/>
  <c r="G88" i="24"/>
  <c r="F88" i="24"/>
  <c r="D88" i="24"/>
  <c r="C88" i="24"/>
  <c r="G84" i="24"/>
  <c r="G83" i="24"/>
  <c r="G81" i="24"/>
  <c r="G80" i="24"/>
  <c r="G74" i="24"/>
  <c r="F74" i="24"/>
  <c r="D74" i="24"/>
  <c r="C73" i="24"/>
  <c r="C71" i="24"/>
  <c r="C70" i="24"/>
  <c r="C74" i="24" s="1"/>
  <c r="G60" i="24"/>
  <c r="F60" i="24"/>
  <c r="D60" i="24"/>
  <c r="C60" i="24"/>
  <c r="G48" i="24"/>
  <c r="F48" i="24"/>
  <c r="D48" i="24"/>
  <c r="C48" i="24"/>
  <c r="G35" i="24"/>
  <c r="F35" i="24"/>
  <c r="D35" i="24"/>
  <c r="C35" i="24"/>
  <c r="G23" i="24"/>
  <c r="F23" i="24"/>
  <c r="D23" i="24"/>
  <c r="C23" i="24"/>
  <c r="G11" i="24"/>
  <c r="F11" i="24"/>
  <c r="D11" i="24"/>
  <c r="C11" i="24"/>
  <c r="G84" i="23"/>
  <c r="F84" i="23"/>
  <c r="D84" i="23"/>
  <c r="C84" i="23"/>
  <c r="G83" i="23"/>
  <c r="G82" i="23"/>
  <c r="G80" i="23"/>
  <c r="G79" i="23"/>
  <c r="F75" i="23"/>
  <c r="D75" i="23"/>
  <c r="C75" i="23"/>
  <c r="G74" i="23"/>
  <c r="G73" i="23"/>
  <c r="G70" i="23"/>
  <c r="G68" i="23"/>
  <c r="G67" i="23"/>
  <c r="G75" i="23" s="1"/>
  <c r="G66" i="23"/>
  <c r="G63" i="23"/>
  <c r="F63" i="23"/>
  <c r="D63" i="23"/>
  <c r="C63" i="23"/>
  <c r="G51" i="23"/>
  <c r="F51" i="23"/>
  <c r="D51" i="23"/>
  <c r="C51" i="23"/>
  <c r="G36" i="23"/>
  <c r="F36" i="23"/>
  <c r="D36" i="23"/>
  <c r="C36" i="23"/>
  <c r="G22" i="23"/>
  <c r="F22" i="23"/>
  <c r="D22" i="23"/>
  <c r="C22" i="23"/>
  <c r="G12" i="23"/>
  <c r="D12" i="23"/>
  <c r="C12" i="23"/>
  <c r="F9" i="23"/>
  <c r="F3" i="23"/>
  <c r="F12" i="23" s="1"/>
  <c r="F10" i="30" l="1"/>
  <c r="H70" i="25"/>
  <c r="H94" i="25"/>
  <c r="H36" i="25"/>
  <c r="D36" i="25"/>
  <c r="H61" i="25"/>
  <c r="H12" i="25"/>
  <c r="H16" i="25" s="1"/>
  <c r="H33" i="25"/>
  <c r="H37" i="25" s="1"/>
  <c r="E15" i="25"/>
  <c r="H15" i="25" s="1"/>
  <c r="E125" i="25"/>
  <c r="E8" i="25"/>
  <c r="E94" i="25"/>
  <c r="E60" i="25"/>
  <c r="H60" i="25" s="1"/>
  <c r="H69" i="25"/>
  <c r="G94" i="24"/>
  <c r="G102" i="24" s="1"/>
</calcChain>
</file>

<file path=xl/sharedStrings.xml><?xml version="1.0" encoding="utf-8"?>
<sst xmlns="http://schemas.openxmlformats.org/spreadsheetml/2006/main" count="2365" uniqueCount="970">
  <si>
    <t>Description of Project</t>
  </si>
  <si>
    <t>Total Estimated Project Cost</t>
  </si>
  <si>
    <t>The FY 2010 SRT appropriation was for $3,500,000.  The total amount of SRT funding for projects listed in this report is over $3,500,000 as a result of awarding additional funding from previous project underruns.</t>
  </si>
  <si>
    <t xml:space="preserve">The FY 2009 SRT appropriation was for $3,000,000.  The total amount of SRT funding for projects listed in this report is $3,000,000.  </t>
  </si>
  <si>
    <t>The FY 2007 SRT appropriation was for $2,000,000.  The total amount of SRT funding for projects listed in this report is over $2,000,000 as result of awarding additional funding from previous project underruns.</t>
  </si>
  <si>
    <t>The FY 2006 SRT appropriation was for $1,000,000.  The total amount of SRT funding for projects listed in this report is over $1,000,000 as result of awarding additional funding from previous project underruns.</t>
  </si>
  <si>
    <t>State Recreational Trail (SRT) Fund and county funds</t>
  </si>
  <si>
    <t>Recreational Trails - RIIF - 0017</t>
  </si>
  <si>
    <t>State Recreational Trail (SRT) Fund and city hotel/motel tax</t>
  </si>
  <si>
    <t>Recreational Trails - RC2 - 0942</t>
  </si>
  <si>
    <t xml:space="preserve">State Recreational Trail (SRT) Fund </t>
  </si>
  <si>
    <t>Coon Rapids Town Loop Trail (Coon Rapids)</t>
  </si>
  <si>
    <t>Agreement not signed - work not started</t>
  </si>
  <si>
    <t>Alice's Road Greenbelt Trail Improvements (Clive)</t>
  </si>
  <si>
    <t>State Recreational Trail (SRT) Fund and City of Waterloo</t>
  </si>
  <si>
    <t>18th Street to Riverview Trail Development (Waterloo)</t>
  </si>
  <si>
    <t>4-Mile Creek Greenway Trail (Polk County Conservation Board/City of Ankeny Parks and Recreation Department)</t>
  </si>
  <si>
    <t>N/A</t>
  </si>
  <si>
    <t>Project was rescinded. Funding to be reprogrammed for flood damage projects.</t>
  </si>
  <si>
    <t>Maquoketa River Water Trail (Jones County Conservation Board)</t>
  </si>
  <si>
    <t>Lewis &amp; Clark Trail Planning Study (Iowa DOT)</t>
  </si>
  <si>
    <t>Heart of Iowa Nature Trail Phases VII &amp; VIII (Story County Conservation Board)</t>
  </si>
  <si>
    <t>State Recreational Trail (SRT) Fund, county, city, and private funds</t>
  </si>
  <si>
    <t>Ankeny to Woodward Trail Corridor (Boone County Conservation Board)</t>
  </si>
  <si>
    <t>Trout Run Trail - Bridging the Past and the Present (City of Decorah and Winneshiek County Conservation Board)</t>
  </si>
  <si>
    <t>State Recreational Trail (SRT) Fund and city funds</t>
  </si>
  <si>
    <t>Agreement signed 10/8/2009 - development in process</t>
  </si>
  <si>
    <t>Mississippi River Trail - Liberty Avenue Connection (Clinton)</t>
  </si>
  <si>
    <t>Linn Creek Trail Connection with Iowa Highway 330 Trail (Marshall County)</t>
  </si>
  <si>
    <t>State Recreational Trail (SRT) Fund, RPA, county, city, and private funds</t>
  </si>
  <si>
    <t>Trout Run Trail - Box Culverts and Bridge Project (City of Decorah and Winneshiek County Conservation Board)</t>
  </si>
  <si>
    <t>State Recreational Trail (SRT) Fund and County Budget</t>
  </si>
  <si>
    <t>Railbanking Purchase of IANW Railroad (Dickinson County Trails Board and Osceola County Conservation Board)</t>
  </si>
  <si>
    <t>State Recreational Trail (SRT) fund and Local Contributions</t>
  </si>
  <si>
    <t>State Recreational Trail (SRT) Fund and Local Contributions</t>
  </si>
  <si>
    <t>State Recreational Trail (SRT) Fund and City Funds</t>
  </si>
  <si>
    <t>State Recreational Trail (SRT) fund and Capital Improvement Funds</t>
  </si>
  <si>
    <t>Iowa Department of Natural Resources  (DNR) Trail Crew (Iowa DNR)</t>
  </si>
  <si>
    <t>Cedar Valley Nature Trail Bridge at McFarlane Park (Black Hawk County Conservation Board)</t>
  </si>
  <si>
    <t>State Recreational Trail (SRT) Fund, Private and Local, Federal Earmark and Other State and Federal Grants</t>
  </si>
  <si>
    <t>Date of Completion / Estimated Completion</t>
  </si>
  <si>
    <t>Funds Expended</t>
  </si>
  <si>
    <t>Revenue Sources</t>
  </si>
  <si>
    <t>Progress of Work</t>
  </si>
  <si>
    <t>Fiscal Year</t>
  </si>
  <si>
    <t>Fund</t>
  </si>
  <si>
    <t>Rescinded</t>
  </si>
  <si>
    <t>State Recreational Trails</t>
  </si>
  <si>
    <t>State Recreational Trail (SRT) Fund and ATV registration funds</t>
  </si>
  <si>
    <t>Buffalo to Wild Cat Den Road MRT (City of Buffalo)</t>
  </si>
  <si>
    <t>Central IA Trail Loop-Chichaqua Valley Trail to Gay Lea Wilson Trail (Polk County Conservation Board)</t>
  </si>
  <si>
    <t>Dickinson County Spine Trail-Henderson Woods to US71 in Arnolds Park (Arnolds Park and Dickinson County Trails Board)</t>
  </si>
  <si>
    <t>State Recreational Trail (SRT) Fund, city CIP, Gray's Lake Neighborhood Association and land donations</t>
  </si>
  <si>
    <t>Gypsum City OHV Park  (WCIC and Iowa DNR)</t>
  </si>
  <si>
    <t>Iowa DNR Trails Program (Iowa DNR)</t>
  </si>
  <si>
    <t>NW Beaver Drive Trail (City of Johnston)</t>
  </si>
  <si>
    <t>State Recreational Trail (SRT) Fund, city G.O. bond and city park and trail improvement fund</t>
  </si>
  <si>
    <t>Turkey River Recreational Corridor Trail-Elkader to Motor Mill (Clayton County Conservation Board)</t>
  </si>
  <si>
    <t>Water Trails Planning, Design and Construction Activities (Iowa DNR)</t>
  </si>
  <si>
    <t>State Recreational Trail (SRT) Fund, marine fuel tax, U.S. Coast Guard, boat registration fees and RIIF</t>
  </si>
  <si>
    <t>Agreement signed  1/4/2010 - project completed</t>
  </si>
  <si>
    <t>Agreement signed 11/5/2008 - project completed</t>
  </si>
  <si>
    <t>Agreement signed 7/8/2008 - project completed</t>
  </si>
  <si>
    <t>Agreement signed 12/3/2008 - project completed</t>
  </si>
  <si>
    <t>Agreement signed 3/16/2009 - project completed</t>
  </si>
  <si>
    <t>Agreement signed 12/13/2007 - project completed</t>
  </si>
  <si>
    <t>Agreement signed 3/29/2007 - project completed</t>
  </si>
  <si>
    <t>Agreement signed 4/16/2007 - project completed</t>
  </si>
  <si>
    <t>Agreement signed 8/21/2006 - project completed</t>
  </si>
  <si>
    <t>Agreement signed 7/10/2006 - project completed</t>
  </si>
  <si>
    <t>Agreement signed 7/31/2006 - project completed</t>
  </si>
  <si>
    <t>The FY 2012 SRT appropriation was for $3,000,000.  The total amount of SRT funding for projects listed in this report is $3,000,000.</t>
  </si>
  <si>
    <t>The FY 2013 SRT appropriation was for $3,000,000.  The total amount of SRT funding for projects listed in this report is over $3,000,000 as a result of awarding additional funding from previous project underruns.</t>
  </si>
  <si>
    <t>City of Clinton Mississippi River Trail Final Connection (City of Clinton)</t>
  </si>
  <si>
    <t>Mines of Spain Trail and Trailhead (City of Dubuque and Iowa DNR)</t>
  </si>
  <si>
    <t>Musser Park to Wiggens Road Trail (City of Muscatine)</t>
  </si>
  <si>
    <t>Shaulis Road Trail Extension – Phase I (City of Waterloo)</t>
  </si>
  <si>
    <t>South Troy Park Trail (City of Robins)</t>
  </si>
  <si>
    <t>Iowa River Trail – Phase 8 of 8 (City of Iowa City)</t>
  </si>
  <si>
    <t>Agreement signed 1/5/2010 - project completed</t>
  </si>
  <si>
    <t>Agreement signed 11/25/2009 - project completed</t>
  </si>
  <si>
    <t>Agreement signed 12/6/2009 - project completed</t>
  </si>
  <si>
    <t>Agreement signed 3/10/2009 - project completed</t>
  </si>
  <si>
    <t>Agreement signed 1/29/2010 - project completed</t>
  </si>
  <si>
    <t>Agreement signed 11/3/2008 - project completed</t>
  </si>
  <si>
    <t>Agreement signed 4/16/2007 - $30,000 was awarded to city of Eldon - project completed</t>
  </si>
  <si>
    <t>Agreement signed 11/6/2009 - project completed</t>
  </si>
  <si>
    <t>State Recreational Trail (SRT) Fund and city G.O. Bonds</t>
  </si>
  <si>
    <t>State Recreational Trail (SRT) Fund, city funds and fundraising/naming opportunities</t>
  </si>
  <si>
    <t>State Recreational Trail (SRT) Fund, Federal Earmark funds and local contribution</t>
  </si>
  <si>
    <t>Agreement signed 6/8/2009 - funding rescinded</t>
  </si>
  <si>
    <t>Bee Branch Creek Trail-MRT Route (City of Dubuque)</t>
  </si>
  <si>
    <t>State Recreational Trail (SRT) Fund, Community Attraction and Tourism Program, State Enhancement Project, Central Iowa Regional Transportation Planning Alliance, Dallas County, City of Perry, City of Waukee, Guthrie County Cash and Stimulus, City of Dallas Center, City of Jamaica, City of Redfield, City of Linden, Raccoon Valley Bank, Bock Family Foundation, Dallas County Conservation Foundation, Raccoon River Valley Trail Association, Celebrations Committee Dallas Center, Committee for Super Cooper, Dallas Center Beta Sigma Phi, Rotary Club of Dallas Center, Community of Herndon, Waukee YMCA, City of Dawson, Casey's Stores, Alliant Energy, Bikes Belong, Letter campaign, Prairie Meadows Community Betterment, Prairie Woodland Conservation Foundation and Bock Family Foundation October 08</t>
  </si>
  <si>
    <t>Agreement signed 11/20/2009  - project completed</t>
  </si>
  <si>
    <t>Brushy Creek All-Weather Multi-Use Lake Trail Bridge (Iowa DNR)</t>
  </si>
  <si>
    <t>Fayette-Volga River Multi-Use Trail (Upper Iowa University and Fayette County)</t>
  </si>
  <si>
    <t>FY 2013 RIIF - General Aviation Vertical Infrastructure Program</t>
  </si>
  <si>
    <t>Airport</t>
  </si>
  <si>
    <t>State Share</t>
  </si>
  <si>
    <t>Other Revenue Sources</t>
  </si>
  <si>
    <t>State Funds Used</t>
  </si>
  <si>
    <t>Remaining Obligated</t>
  </si>
  <si>
    <t>Status of Project</t>
  </si>
  <si>
    <t>Date Completed or Estimated Completion Date</t>
  </si>
  <si>
    <t>Boone Municipal Airport</t>
  </si>
  <si>
    <t>Construct hangar</t>
  </si>
  <si>
    <t>Airport funds</t>
  </si>
  <si>
    <t>Clinton Municipal Airport</t>
  </si>
  <si>
    <t>Construct transient hangar</t>
  </si>
  <si>
    <t>Iowa Falls Municipal Airport</t>
  </si>
  <si>
    <t>Red Oak Municipal Airport</t>
  </si>
  <si>
    <t>Vinton Veterans Airpark</t>
  </si>
  <si>
    <t>Total</t>
  </si>
  <si>
    <t>Rehabilitate hangar</t>
  </si>
  <si>
    <t>Completed</t>
  </si>
  <si>
    <t>Fairfield Municipal Airport</t>
  </si>
  <si>
    <t>Iowa City Municipal Airport</t>
  </si>
  <si>
    <t>Rehabilitate terminal building</t>
  </si>
  <si>
    <t>Osceola Municipal Airport</t>
  </si>
  <si>
    <t>Davenport</t>
  </si>
  <si>
    <t>FY 2013 RIIF - Commercial Service Vertical Infrastructure (CSVI) Projects</t>
  </si>
  <si>
    <t>Replace hangar</t>
  </si>
  <si>
    <t>Renovate terminal building lobby</t>
  </si>
  <si>
    <t>Des Moines</t>
  </si>
  <si>
    <t>Dubuque</t>
  </si>
  <si>
    <t>Construct terminal building</t>
  </si>
  <si>
    <t>Fort Dodge</t>
  </si>
  <si>
    <t>Renovate terminal operation area and former flight service station building</t>
  </si>
  <si>
    <t>Mason City</t>
  </si>
  <si>
    <t>Construct office addition</t>
  </si>
  <si>
    <t>Sioux City</t>
  </si>
  <si>
    <t>Rehabilitate hangars</t>
  </si>
  <si>
    <t>Waterloo</t>
  </si>
  <si>
    <t>Rehabilitate hangars and snow removal equipment building</t>
  </si>
  <si>
    <t>FY 2012 RIIF - Commercial Service Vertical Infrastructure (CSVI) Projects</t>
  </si>
  <si>
    <t>Construct hangars</t>
  </si>
  <si>
    <t>Renovate terminal - relocate baggage screening area</t>
  </si>
  <si>
    <t>Renovate terminal to prevent drainage issues; design renovation to flight service station; hangar A and B demolition</t>
  </si>
  <si>
    <t>TOTAL</t>
  </si>
  <si>
    <t>Renovate hangar</t>
  </si>
  <si>
    <t>GRAND TOTAL</t>
  </si>
  <si>
    <t>Local Funds</t>
  </si>
  <si>
    <t>Transit Agency Funds</t>
  </si>
  <si>
    <t>City of Coralville</t>
  </si>
  <si>
    <t>Project complete</t>
  </si>
  <si>
    <t>Western Iowa Transit System (Region 12) - Carroll</t>
  </si>
  <si>
    <t>Federal Transit Funds, Transit Agency Funds</t>
  </si>
  <si>
    <t>NA</t>
  </si>
  <si>
    <t>Ames Transit Agency (CyRide)</t>
  </si>
  <si>
    <t>Final Payment</t>
  </si>
  <si>
    <t>Remaining Balance</t>
  </si>
  <si>
    <t>State Funds Paid to Date</t>
  </si>
  <si>
    <t>Transit System</t>
  </si>
  <si>
    <t>Contract Number</t>
  </si>
  <si>
    <t>Storage barn (partial--also see supplemental funding from FY07, FY10, FY11, FY12)</t>
  </si>
  <si>
    <t>Storm water rack and sanitation sewer (see FY10 and FY11)</t>
  </si>
  <si>
    <t>Administrative/operations offices (partial--also see funding from FY10, FY13)</t>
  </si>
  <si>
    <t>Construct satellite transit operations and vehicle storage/maintenance facility in Webster City to support MIDAS transit services in Hamilaton Co. (partial see also funding in FY10)</t>
  </si>
  <si>
    <t>MIDAS Regional Transit (Region 5) -  Ft. Dodge</t>
  </si>
  <si>
    <t>Rehabitate west wall exterior insulation finish system (EIFS) of Cy-Ride maintenance facility</t>
  </si>
  <si>
    <t>CyRide (Ames)</t>
  </si>
  <si>
    <t>FEMA Funds, Transit Agency Funds</t>
  </si>
  <si>
    <t>Relocate transit office/maintenance facility out of floodway</t>
  </si>
  <si>
    <t>Construct a vehicle storage addition (partial - see also supplimental funding from FY07)</t>
  </si>
  <si>
    <t>Project switched to ARRA</t>
  </si>
  <si>
    <t>0</t>
  </si>
  <si>
    <t>$491,300</t>
  </si>
  <si>
    <r>
      <t>Vehicle storage and wash bays</t>
    </r>
    <r>
      <rPr>
        <sz val="12"/>
        <rFont val="Arial"/>
        <family val="2"/>
      </rPr>
      <t xml:space="preserve"> (Moved to ARRA)</t>
    </r>
  </si>
  <si>
    <t>River Bend Transit (Region 9) - Davenport</t>
  </si>
  <si>
    <t>Construct bus wash bash and expanded parts storage, etc. for relocated transit maintenance facility  (partial -- see also supplemental funding from FY07 and FY10)</t>
  </si>
  <si>
    <t>Est. 6/30/2010</t>
  </si>
  <si>
    <t>Project Cancelled</t>
  </si>
  <si>
    <r>
      <t xml:space="preserve">Relocate transit offices </t>
    </r>
    <r>
      <rPr>
        <sz val="12"/>
        <rFont val="Arial"/>
        <family val="2"/>
      </rPr>
      <t>(Cancelled 8-9-10)</t>
    </r>
  </si>
  <si>
    <t>City of Davenport</t>
  </si>
  <si>
    <t>$640,000</t>
  </si>
  <si>
    <r>
      <rPr>
        <strike/>
        <sz val="12"/>
        <rFont val="Arial"/>
        <family val="2"/>
      </rPr>
      <t>Reconstruction of the steam cleaning area</t>
    </r>
    <r>
      <rPr>
        <sz val="12"/>
        <rFont val="Arial"/>
        <family val="2"/>
      </rPr>
      <t xml:space="preserve">  (Moved to ARRA)</t>
    </r>
  </si>
  <si>
    <t>FY 2009 - RC3 511 - Health Restricted Capital Bond Fund (Revenue Bonds Capitals)</t>
  </si>
  <si>
    <t>Storage barn (partial--also see supplemental funding from FY07, FY09, FY11, FY12)</t>
  </si>
  <si>
    <t>Storm water rack and sanitation sewer (see FY11 and supplemental funding from FY09)</t>
  </si>
  <si>
    <t>Administrative/operations offices (partial--also see funding from FY09, FY13)</t>
  </si>
  <si>
    <t>Participate in transit share of purchase and remodeling of existing building  to house planning commission functions including transit administration and operations</t>
  </si>
  <si>
    <t>Southeast Iowa Bus (region 16) - Burlington</t>
  </si>
  <si>
    <t>Expand bus wash portion of River Bend facility to accommodate larger vehicles now being operated</t>
  </si>
  <si>
    <t>Construct satellite transit operations and vehicle storage/maintenance facility in Webster City to support MIDAS transit services in Hamilton Co. (partial see also funding in FY09)</t>
  </si>
  <si>
    <t>Expand/renovate facility shared with Mason City Transit to accommodate dispatch function now required to support direct operation of transit services in Cerro Gordo County by regional system</t>
  </si>
  <si>
    <t>Region 2 Transit - Mason City</t>
  </si>
  <si>
    <t>Expand maintenance shop serving OTA and 10-15 regional transit fleets to accommodate more vehicles and provide sufficient headroom to allow use of vehicle hoists</t>
  </si>
  <si>
    <t>Ottumwa Transit Authority</t>
  </si>
  <si>
    <t>Restoration of masonry structures and upgrade of energy management system at DART facility</t>
  </si>
  <si>
    <t>Des Moines Area Regional Transit</t>
  </si>
  <si>
    <t>Construct bus wash bash and expanded parts storage, etc. for relocated transit maintenance facility  (partial -- see also supplemental funding from FY07 and FY09)</t>
  </si>
  <si>
    <t>Locker/washroom renovations</t>
  </si>
  <si>
    <t xml:space="preserve">FY 2010 - RIIF 017 - Rebuild Iowa Infrastructure Fund </t>
  </si>
  <si>
    <t>Storage barn (partial--also see supplemental funding from FY07, FY09, FY10, FY12)</t>
  </si>
  <si>
    <t>Construct a vehicle storage facility</t>
  </si>
  <si>
    <t>Southwest Iowa Transit Agency-SWITA (Region 13)</t>
  </si>
  <si>
    <t>Wash rack rehabilitation</t>
  </si>
  <si>
    <t>Transfer facility</t>
  </si>
  <si>
    <t>Replace roof over maintenance area</t>
  </si>
  <si>
    <t>Construct additional bus storage/maintenance areas</t>
  </si>
  <si>
    <t>FY 2011 - I-Jobs Bonding (Revenue Bonds Capitals II)</t>
  </si>
  <si>
    <t>Passenger shelter</t>
  </si>
  <si>
    <t>Muscatine</t>
  </si>
  <si>
    <t>Roof replacement</t>
  </si>
  <si>
    <t>Sprinkler replacement</t>
  </si>
  <si>
    <t>Storage barn (partial--also see supplemental funding from FY07, FY09, FY10, FY11)</t>
  </si>
  <si>
    <t>local &amp; FEMA</t>
  </si>
  <si>
    <t>New facility to replace transit garage and admin. facility</t>
  </si>
  <si>
    <t>Cedar Rapids</t>
  </si>
  <si>
    <t xml:space="preserve">Facility renovation </t>
  </si>
  <si>
    <t>Ames</t>
  </si>
  <si>
    <t xml:space="preserve">FY 2012 - Rebuild Iowa Infrastructure Fund </t>
  </si>
  <si>
    <t>federal transit funds
 local funds</t>
  </si>
  <si>
    <t>Fuel delivery system</t>
  </si>
  <si>
    <t>Storage barn portals restoration</t>
  </si>
  <si>
    <t>Administrative/operations offices (partial--also see funding from FY09, FY10)</t>
  </si>
  <si>
    <t>Administration facility/garage</t>
  </si>
  <si>
    <t xml:space="preserve">FY 2013 - Rebuild Iowa Infrastructure Fund </t>
  </si>
  <si>
    <t>None</t>
  </si>
  <si>
    <t>Burlington</t>
  </si>
  <si>
    <t>Local</t>
  </si>
  <si>
    <t>Local funds</t>
  </si>
  <si>
    <t>Project Sponsor</t>
  </si>
  <si>
    <t>Local match</t>
  </si>
  <si>
    <t xml:space="preserve">FY 2013 Railroad Revolving Loan and Grant Program </t>
  </si>
  <si>
    <t>CRANDIC Iowa River Crossing North Bridge</t>
  </si>
  <si>
    <t>Consruct replacement rail bridge</t>
  </si>
  <si>
    <t>Company match</t>
  </si>
  <si>
    <t>Iowa Falls UP/CN Connector</t>
  </si>
  <si>
    <t>Upgrade rail infrastructure in industrial area</t>
  </si>
  <si>
    <t>Rail One</t>
  </si>
  <si>
    <t>Industrial Rail Spur Construction</t>
  </si>
  <si>
    <t>BJRY Rail/Truck/Barge Planning Study</t>
  </si>
  <si>
    <t>Planning Study</t>
  </si>
  <si>
    <t>Central Iowa Transloading Facility Feasibility Study</t>
  </si>
  <si>
    <t>Iowa Falls/Hardin County Rail Port Planning Study</t>
  </si>
  <si>
    <t>Mills/Pottawattamie County Rail Port Study</t>
  </si>
  <si>
    <t>North Central Ag Park Planning Study</t>
  </si>
  <si>
    <t>Sioux City Rail Study Phase II</t>
  </si>
  <si>
    <t xml:space="preserve">FY 2012 Railroad Revolving Loan and Grant Program </t>
  </si>
  <si>
    <t>Burlington Junction Railway Spur rehabilitation</t>
  </si>
  <si>
    <t>Butler Cross Dock</t>
  </si>
  <si>
    <t>Cherokee Industrial Spur</t>
  </si>
  <si>
    <t>Complete</t>
  </si>
  <si>
    <t>CRANDIC Iowa River Crossing Improvement</t>
  </si>
  <si>
    <t>Global Foods</t>
  </si>
  <si>
    <t>Rail Spur upgrade</t>
  </si>
  <si>
    <t>Iowa River Railroad</t>
  </si>
  <si>
    <t>Rail line acquisition &amp; preservation</t>
  </si>
  <si>
    <t xml:space="preserve">Project withdrawn by applicant </t>
  </si>
  <si>
    <t>Not applicable</t>
  </si>
  <si>
    <t>North Central Iowa Rail Corridor, LLC</t>
  </si>
  <si>
    <t>Valley Distribution Corporation</t>
  </si>
  <si>
    <t>$                       297, 525</t>
  </si>
  <si>
    <t>Waverly GMT Rail Spur</t>
  </si>
  <si>
    <t xml:space="preserve">FY 2011 Railroad Revolving Loan and Grant Program </t>
  </si>
  <si>
    <t>Adams County Rail</t>
  </si>
  <si>
    <t>Industrial Rail Spur Extension</t>
  </si>
  <si>
    <t xml:space="preserve">Project withdrawn </t>
  </si>
  <si>
    <t>Eastern Iowa Industrial  Center</t>
  </si>
  <si>
    <t>Construct Transloading Facility</t>
  </si>
  <si>
    <t>Federal, state and local match</t>
  </si>
  <si>
    <t>Lomont Molding Inc</t>
  </si>
  <si>
    <t>Nypro Kannaak</t>
  </si>
  <si>
    <t xml:space="preserve">FY 2010 Railroad Revolving Loan and Grant Program </t>
  </si>
  <si>
    <t>Burlington Junction Railway</t>
  </si>
  <si>
    <t>Upgrade rail infrastructure in industrial park</t>
  </si>
  <si>
    <t>Railroad match</t>
  </si>
  <si>
    <t>Cedar Rapids and Iowa City Railroad (CRANDIC)</t>
  </si>
  <si>
    <t xml:space="preserve">Rebuild rail bridge </t>
  </si>
  <si>
    <t>Schau Recycling</t>
  </si>
  <si>
    <t>Install industrial rail spur</t>
  </si>
  <si>
    <t>Shine Brothers Corp.</t>
  </si>
  <si>
    <t>City of Waterloo</t>
  </si>
  <si>
    <t>City match</t>
  </si>
  <si>
    <t>Webster County Board of Supervisors</t>
  </si>
  <si>
    <t>Install industrial rail spur in industrial park</t>
  </si>
  <si>
    <t>County match and company investment</t>
  </si>
  <si>
    <t>Project withdrawn</t>
  </si>
  <si>
    <t>Union Pacific Railroad and Iowa Northern Railway</t>
  </si>
  <si>
    <t xml:space="preserve">Rebuild rail bridge in Waterloo* </t>
  </si>
  <si>
    <t>Railroad match and FRA grant award</t>
  </si>
  <si>
    <t>FY 2009 Railroad Revolving Loan and Grant Program (Flood Recovery)</t>
  </si>
  <si>
    <t>Repair rail infrastructure damaged by flooding</t>
  </si>
  <si>
    <t>Keokuk Junction Railway Company</t>
  </si>
  <si>
    <t>Iowa, Chicago &amp; Eastern Railroad Corp.</t>
  </si>
  <si>
    <t>Iowa Interstate Railroad</t>
  </si>
  <si>
    <t>Iowa Northern Railway Co.</t>
  </si>
  <si>
    <t>FY 2008 Railroad Revolving Loan and Grant Program</t>
  </si>
  <si>
    <t>List of all revenue sources</t>
  </si>
  <si>
    <t xml:space="preserve">FY 2008 Funds used </t>
  </si>
  <si>
    <t>FY 2008 Remaining Funds Obligated</t>
  </si>
  <si>
    <t>Status of project</t>
  </si>
  <si>
    <t>Cedar Rapids Terminal (Iowa Northern Railroad)   Construct rail spur and intermodal loading facility in Palo</t>
  </si>
  <si>
    <t>State grant and loan; Private investment; local  investment</t>
  </si>
  <si>
    <t>Not Applicable</t>
  </si>
  <si>
    <t>Big River Resources Ethanol Plant industrial rail spur</t>
  </si>
  <si>
    <t>State grant; Private investment</t>
  </si>
  <si>
    <t>Lincolnway Railport Industrial Park</t>
  </si>
  <si>
    <t>Project was withdrawn by applicant. Funding has been reprogrammed to flood recovery assistance.</t>
  </si>
  <si>
    <t>Norfolk Iron and Metal Company industrial rail spur</t>
  </si>
  <si>
    <t>Oregon Trail Energy Rail spur</t>
  </si>
  <si>
    <t>Project was withdrawn. Funding has been reprogrammed to FY2012</t>
  </si>
  <si>
    <t>Prairie Creek Ethanol rail spur</t>
  </si>
  <si>
    <t>State Grant; Private investment</t>
  </si>
  <si>
    <t>Project withdrawn by applicant. Funding has been reprogrammed to flood recovery assistance.</t>
  </si>
  <si>
    <t>Raccoon Valley BioDiesel Rail spur</t>
  </si>
  <si>
    <t>Trinity Towers</t>
  </si>
  <si>
    <t>Unity Ethanol Cedar River</t>
  </si>
  <si>
    <t>State loan; Private investment</t>
  </si>
  <si>
    <t>Project withdrawn. Funding has been reprogrammed to FY12.</t>
  </si>
  <si>
    <t>Unity Ethanol Ottumwa</t>
  </si>
  <si>
    <t>State grant and loan; Private Investment</t>
  </si>
  <si>
    <t>FY 2007 Railroad Revolving Loan and Grant Program</t>
  </si>
  <si>
    <t xml:space="preserve">FY 2007 Funds used </t>
  </si>
  <si>
    <t>FY 2007 Remaining Funds Obligated</t>
  </si>
  <si>
    <t>Alternative Energy Resources Ethanol  Plant industrial rail spur</t>
  </si>
  <si>
    <t>Seimens Wind Power industrial rail spur</t>
  </si>
  <si>
    <t>Southern Bio Energy industrial rail spur</t>
  </si>
  <si>
    <t>FY 2006 Railroad Revolving Loan and Grant Program</t>
  </si>
  <si>
    <t xml:space="preserve">FY 2006 Funds used </t>
  </si>
  <si>
    <t>FY 2006 Remaining Funds Obligated</t>
  </si>
  <si>
    <t>Absolute Energy industrial rail spur</t>
  </si>
  <si>
    <t>Cascade Lumber Company industrial rail spur</t>
  </si>
  <si>
    <t>Eastern Iowa Industrial Center rail development for industrial park expansion</t>
  </si>
  <si>
    <t>State grant; Private investment; FHWA grant</t>
  </si>
  <si>
    <t>Green Plains Renewable Energy</t>
  </si>
  <si>
    <t>Midwest I,LLC industrial rail spur</t>
  </si>
  <si>
    <t>Iowa Renewable Energy LLC industrial rail spur</t>
  </si>
  <si>
    <t>Lincolnway Railport Industrial park rail development</t>
  </si>
  <si>
    <t>Project was withdrawn by applicant. Funding has  been reprogrammed  for flood recovery activities.</t>
  </si>
  <si>
    <t>Marco Group International industrial rail spur switching improvements</t>
  </si>
  <si>
    <t>Metzler Automotive</t>
  </si>
  <si>
    <t>State grant</t>
  </si>
  <si>
    <t>2010 Passenger Rail Service Revolving Fund (RIIF)</t>
  </si>
  <si>
    <t>Remaining Obligated Funds</t>
  </si>
  <si>
    <t>Support in Development of Intercity Passenger Rail efforts</t>
  </si>
  <si>
    <t>Funding reserved to match FY 2009 Recovery Act award to Iowa DOT for Chicago to Omaha Planning Study</t>
  </si>
  <si>
    <t>Federal Railroad Administration FY 2009 HSIPR award</t>
  </si>
  <si>
    <t>In Progress</t>
  </si>
  <si>
    <t>Federal Railroad Administration FY 2010 HSIPR award</t>
  </si>
  <si>
    <t>2011 Passenger Rail Service Revolving Fund (funding from Underground Storage Tank Fund)</t>
  </si>
  <si>
    <t>FY 2014 RIIF - General Aviation Vertical Infrastructure Program</t>
  </si>
  <si>
    <t>Ankeny Regional</t>
  </si>
  <si>
    <t>Construct 6-unit tee hangar</t>
  </si>
  <si>
    <t>Davenport Municipal</t>
  </si>
  <si>
    <t>Rehabilitate hangar 8970</t>
  </si>
  <si>
    <t xml:space="preserve">City funds  </t>
  </si>
  <si>
    <t>Emmetsburg Municipal</t>
  </si>
  <si>
    <t>Construct 80x100 hangar</t>
  </si>
  <si>
    <t>Local funding uncertain</t>
  </si>
  <si>
    <t>Marshalltown Municipal</t>
  </si>
  <si>
    <t xml:space="preserve">Renovate hangar </t>
  </si>
  <si>
    <t>Northeast Iowa Regional</t>
  </si>
  <si>
    <t>Construct 70x120 hangar</t>
  </si>
  <si>
    <t>Ottumwa Regional</t>
  </si>
  <si>
    <t>Local airport funds</t>
  </si>
  <si>
    <t>Perry Municipal</t>
  </si>
  <si>
    <t>Construct 45x100 hangar</t>
  </si>
  <si>
    <t>City bonding</t>
  </si>
  <si>
    <t>Red Oak Municipal</t>
  </si>
  <si>
    <t xml:space="preserve">Renovate hangar door </t>
  </si>
  <si>
    <t>Webster City Municipal</t>
  </si>
  <si>
    <t>Renovate maintenance hangar</t>
  </si>
  <si>
    <t>FY 2014 RIIF - Commercial Service Vertical Infrastructure (CSVI) Projects</t>
  </si>
  <si>
    <t>Replace roofs on four buildings</t>
  </si>
  <si>
    <t xml:space="preserve">Re-design flight service station, replace overhead doors in ARFF/Maintenance building, demolish two hangars </t>
  </si>
  <si>
    <t>Rehabilitate terminal: replace terminal cooling system, install security cameras, improve entrance soffit and ceiling</t>
  </si>
  <si>
    <t>Rehabilitate and construct new hangars</t>
  </si>
  <si>
    <t>In progress</t>
  </si>
  <si>
    <t>State Recreational Trail (SRT) Fund, city funds and county funds</t>
  </si>
  <si>
    <t>Bellevue Rivervue Trail-Phase II (City of Bellevue and Jackson County Conservation Board)</t>
  </si>
  <si>
    <t>Bridging the Gap: Phase I Dry Run Trail-Connecting Decorah's Trout Run Trail to the Prairie Farmer Recreational Trail (Winneshiek County Conservation Board and City of Decorah)</t>
  </si>
  <si>
    <t>Farragut to Shenandoah Trail Connection (City of Farragut)</t>
  </si>
  <si>
    <t>State Recreational Trail (SRT) Fund and land value</t>
  </si>
  <si>
    <t>Iowa River Scenic Trail (Hardin County Board of Supervisors and City of Marshalltown)</t>
  </si>
  <si>
    <t>State Recreational Trail (SRT) Fund, Regional Transportation Alternative funds and land value</t>
  </si>
  <si>
    <t>Multiuse Mississippi River Trail, Riverdale Section, Phase 2 (City of Riverdale)</t>
  </si>
  <si>
    <t>Pioneer Beach Road Trail (City of Orleans and Dickinson County Trails Board)</t>
  </si>
  <si>
    <t>State Recreational Trail (SRT) Fund, city funds and County Trails Board funds</t>
  </si>
  <si>
    <t>Raccoon River Valley Trail to High Trestle Trail Connector (Dallas County Conservation Board)</t>
  </si>
  <si>
    <t>Agreement signed 7/30/2013 - development in process</t>
  </si>
  <si>
    <t>State Recreational Trail (SRT) Fund, other grants, donations and foundations</t>
  </si>
  <si>
    <t>Agreement signed 12/20/2011 - project completed with other funding</t>
  </si>
  <si>
    <t>Agreement signed 12/22/2011 - project completed</t>
  </si>
  <si>
    <t>Agreement signed 11/20/2009 - project completed</t>
  </si>
  <si>
    <t>Agreement signed 2/1/2010 - project completed</t>
  </si>
  <si>
    <t>Agreement signed 12/2/2009 - project completed</t>
  </si>
  <si>
    <t>Agreement signed 7/20/2009 - project completed</t>
  </si>
  <si>
    <t>Agreement signed 11/4/2008 - project completed</t>
  </si>
  <si>
    <t>Agreement signed 3/25/2008 - project completed</t>
  </si>
  <si>
    <t>Agreement signed 3/06/2007 - project completed</t>
  </si>
  <si>
    <t>NOTE: To avoid loss of funding, it is the Iowa Department of Transportation's policy to expend the oldest funding first when reimbursing any project costs. Thus, the FY 2006 $1,000,000 appropriation was spent, even though some of the FY 2006 projects listed don't show all their funding was utilized by the expiration date.</t>
  </si>
  <si>
    <t>The FY 2008 SRT appropriation was for $2,000,000.  The total amount of SRT funding for projects listed in this report is $2,000,000.</t>
  </si>
  <si>
    <t>There was no SRT appropriation for FY 2011.</t>
  </si>
  <si>
    <t>The FY 2014 SRT appropriation was for $3,000,000.  The total amount of SRT funding for projects listed in this report is over $3,000,000 as a result of awarding additional funding from previous project underruns.</t>
  </si>
  <si>
    <t xml:space="preserve">FY 2014 Railroad Revolving Loan and Grant Program </t>
  </si>
  <si>
    <t>HFCA (HF Chlor Alkali) Rail Road Project</t>
  </si>
  <si>
    <t>Construction of three miles of new (private) track for new Cargill Plant</t>
  </si>
  <si>
    <t>Iowa Corn Processors (ICP) Rail Expansion</t>
  </si>
  <si>
    <t>Construction of two spur tracks on ICP property to add capacity</t>
  </si>
  <si>
    <t>Company Match</t>
  </si>
  <si>
    <t>Carter Lake Metals Processing Building (Owen Industries)</t>
  </si>
  <si>
    <t>Construction of new rail spur to accommodate new production building</t>
  </si>
  <si>
    <t>Heartland Co-op Greenfield Rail Loading Elevator</t>
  </si>
  <si>
    <t xml:space="preserve">Build a 125-car load out facility </t>
  </si>
  <si>
    <t>CRANDIC - Millrace &amp; Price Creek Bridges</t>
  </si>
  <si>
    <t>Replacement of two bridges</t>
  </si>
  <si>
    <t>City of Knoxville - Red Rock Industrial Park</t>
  </si>
  <si>
    <t>Complete:  loan portion of award declined</t>
  </si>
  <si>
    <t xml:space="preserve">FY 2014 - Rebuild Iowa Infrastructure Fund </t>
  </si>
  <si>
    <t>Region 5</t>
  </si>
  <si>
    <t>Construct new vehicle and administration facility</t>
  </si>
  <si>
    <t>Region 9</t>
  </si>
  <si>
    <t>Purchase and install new generator</t>
  </si>
  <si>
    <t>Region 13</t>
  </si>
  <si>
    <t>Construct wash bay addition</t>
  </si>
  <si>
    <t>Renovate operations office (partial-- see funding from FY10, FY11 and FY13)</t>
  </si>
  <si>
    <t>Rehabilitate maintenance lane</t>
  </si>
  <si>
    <t xml:space="preserve">Replace bus wash system     </t>
  </si>
  <si>
    <t>Rehabilitate roof</t>
  </si>
  <si>
    <t>Replace transit operations heating, ventilating, and air conditioning system</t>
  </si>
  <si>
    <t>Renovate operations office (partial-- see funding from FY10, FY11 and FY14)</t>
  </si>
  <si>
    <t>Renovate operations office (partial-- see funding from FY10, FY13 and FY14)</t>
  </si>
  <si>
    <t>Renovate operations office (partial-- see funding from FY11, FY13 and FY14)</t>
  </si>
  <si>
    <t xml:space="preserve">Note 1:  CRANDIC was awarded $2,000,000 from RRLG, however $386,404 of the award is from federal Rail Assistance Program (RAP) funds.  </t>
  </si>
  <si>
    <t>FY 2015 RIIF - General Aviation Vertical Infrastructure Program</t>
  </si>
  <si>
    <t>Atlantic Municipal Airport</t>
  </si>
  <si>
    <t>Construct 60' x 80' hangar</t>
  </si>
  <si>
    <t>Construct 2-unit, 45' x 80' hangar</t>
  </si>
  <si>
    <t>Decorah Municipal Airport</t>
  </si>
  <si>
    <t>Construct 3-stall rectangular hangar</t>
  </si>
  <si>
    <t>Construct new public terminal building</t>
  </si>
  <si>
    <t>Grinnell Regional Airport</t>
  </si>
  <si>
    <t>Terminal building and maintenance hangar renovation</t>
  </si>
  <si>
    <t>Construct 33' x 42' rectangular hangar</t>
  </si>
  <si>
    <t>Rock Rapids Municipal Airport</t>
  </si>
  <si>
    <t>Rehabilitate hangar roof</t>
  </si>
  <si>
    <t>Sibley Municipal Airport</t>
  </si>
  <si>
    <t xml:space="preserve">Renovate terminal building roof and addition of insulation in hangar </t>
  </si>
  <si>
    <t>Washington Municipal Airport</t>
  </si>
  <si>
    <t>Utility company loan</t>
  </si>
  <si>
    <t xml:space="preserve">Rehabilitate terminal and building roofs </t>
  </si>
  <si>
    <t>Expand four unit t-hangar and apron</t>
  </si>
  <si>
    <t>Ankeny Connector - High Trestle Trail (Polk County Conservation Board)</t>
  </si>
  <si>
    <t>Cedar Valley Nature Trail Bridge E4 Replacement (Black Hawk County Conservation Board)</t>
  </si>
  <si>
    <t>Coon Rapids Connector Trail Underpass (City of Coon Rapids)</t>
  </si>
  <si>
    <t>State Recreational Trail (SRT) Fund and Scenic Byways grant</t>
  </si>
  <si>
    <t>Hoover Trail - "The Missing Link" (Johnson County Conservation Board)</t>
  </si>
  <si>
    <t>Iowa DNR AmeriCorps Trail Crew (Iowa Department of Natural Resources)</t>
  </si>
  <si>
    <t>Iowa River Trail Phase 1 Development (City of Marshalltown and Hardin County)</t>
  </si>
  <si>
    <t>State Recreational Trail (SRT) Fund and local option sales tax</t>
  </si>
  <si>
    <t>Pottawattamie County Trail-Phase I (Pottawattamie County Conservation Board and Pottawattamie County Trail Board)</t>
  </si>
  <si>
    <t>Red Cedar Trail and Connector (Linn County Conservation Board and Linn Area Mountain Bike Association)</t>
  </si>
  <si>
    <t>State Recreational Trail (SRT) Fund, Specialized Dealer Grant, Marion Hotel/Motel and other local grants, LAMBA and other donors</t>
  </si>
  <si>
    <t>Ankeny Connector - High Trestle Trail (Polk County Conservation Board and Ankeny)</t>
  </si>
  <si>
    <t>Agreement signed 10/25/2013 - project completed</t>
  </si>
  <si>
    <t>Agreement signed 1/09/2014 - development in process</t>
  </si>
  <si>
    <t>Agreement signed 3/24/2014 - development in process</t>
  </si>
  <si>
    <t>Agreement signed 12/20/2011 - project completed</t>
  </si>
  <si>
    <t>Agreement signed 1/18/2012 - development in process</t>
  </si>
  <si>
    <t>Trout Run Trail - Decorah Fish Hatchery's Interpretive Restroom Facility (Northeast Iowa Resources Conservation and Development, Inc. and Iowa DNR's Fisheries)</t>
  </si>
  <si>
    <t>Agreement signed 12/14/2007 - project completed</t>
  </si>
  <si>
    <t>Agreement signed 2/07/2007 - project completed</t>
  </si>
  <si>
    <t>Phase I of the Gypsum City OHV Park (Webster County)</t>
  </si>
  <si>
    <t>Trail construction connecting the Little Sioux County Park to the city of Correctionville (Woodbury County Conservation Board)</t>
  </si>
  <si>
    <t>Phase 4 of the Clear Creek Trail from Mormon Handcart Park to the Clear Creek bridge on U.S. Highway 6 (Coralville)</t>
  </si>
  <si>
    <t>Construction of trail connecting existing trails in Johnston to the Neal Smith Trail in Des Moines (Polk County Conservation Board)</t>
  </si>
  <si>
    <t>Development of a trail to fill a gap in the trail network around Clear Lake and extending to Mason City (Cerro Gordo County)</t>
  </si>
  <si>
    <t xml:space="preserve">The FY 2015 SRT appropriation was for $6,000,000 with $1,000,000 for existing historic trail bridges. The total amount of SRT funding for projects listed in this report is over $5,500,000 as a result of awarding additional funding from a previous project underrun. </t>
  </si>
  <si>
    <t xml:space="preserve">FY 2015 Railroad Revolving Loan and Grant Program </t>
  </si>
  <si>
    <t xml:space="preserve">West Charles Street Viaduct </t>
  </si>
  <si>
    <t>Reconstruction, removal and replacement of the east side of the West Charles Street Viaduct</t>
  </si>
  <si>
    <t>Local Match</t>
  </si>
  <si>
    <t xml:space="preserve">Five Star Coop </t>
  </si>
  <si>
    <t>Expansion of current rail siding from 3 car capacity to 35 car capacity</t>
  </si>
  <si>
    <t>Des Moines Transload Facility</t>
  </si>
  <si>
    <t>Development of a transload facility to improve the overall freight capacity in Des Moines Metro area</t>
  </si>
  <si>
    <t>Crossroads of Global Innovation</t>
  </si>
  <si>
    <t>Phase two allows for connection to the CN mailline in the ICGI certrified site</t>
  </si>
  <si>
    <t>KJRY Railnetwork Improvements</t>
  </si>
  <si>
    <t>Upgrade a mainline yard switch along with heavily traveled mainline yard tracks</t>
  </si>
  <si>
    <t>Sioux Center Rail Port Study</t>
  </si>
  <si>
    <t xml:space="preserve">A planning study to determine the potential for a rail port adjacent to a BNSF line that runs north/south through the City limits </t>
  </si>
  <si>
    <t xml:space="preserve">Local Match </t>
  </si>
  <si>
    <t>Project Complete</t>
  </si>
  <si>
    <t xml:space="preserve"> </t>
  </si>
  <si>
    <t xml:space="preserve">FY 2015 - Rebuild Iowa Infrastructure Fund </t>
  </si>
  <si>
    <t>Bus depot improvements</t>
  </si>
  <si>
    <t>DART Way front office remodel</t>
  </si>
  <si>
    <t>Bus storage facility</t>
  </si>
  <si>
    <t>Maintenance, repairs, and improvements for MLK Center</t>
  </si>
  <si>
    <t>FY 2015 RIIF - Commercial Service Vertical Infrastructure (CSVI) Projects</t>
  </si>
  <si>
    <t xml:space="preserve">Date Completed or Expected to be Completed </t>
  </si>
  <si>
    <t>Burlington- Southeast Iowa</t>
  </si>
  <si>
    <t>Replace three hangars</t>
  </si>
  <si>
    <t>Not Started</t>
  </si>
  <si>
    <t>Cedar Rapids- Eastern Iowa</t>
  </si>
  <si>
    <t>Customs &amp; Border Protection relocation</t>
  </si>
  <si>
    <t>Construct new hangar</t>
  </si>
  <si>
    <t>Upgrade terminal electrical service and replace overhead door in west maintenance facility</t>
  </si>
  <si>
    <t>Rehabilitate and build hangars</t>
  </si>
  <si>
    <t>Upgrade emergency generator, replace door at bag make-up, and terminal electrical improvements</t>
  </si>
  <si>
    <t>Relocate US Customs building</t>
  </si>
  <si>
    <t>Construct parking garage bridge</t>
  </si>
  <si>
    <t>Cedar Valley Trail "Paving the Way for the American Discovery Trail" (Linn County &amp; Black Hawk County Conservation Boards)</t>
  </si>
  <si>
    <t>Flint River Trail: Phase I South (Burlington)</t>
  </si>
  <si>
    <t>Hoover Trail -- "The Missing Link" (Johnson County Conservation Board)</t>
  </si>
  <si>
    <t>Agreement signed 12/21/2015 - development in process</t>
  </si>
  <si>
    <t>Mitchellville to Prairie City Rails-to-Trails Corridor Development (Jasper County Conservation Board)</t>
  </si>
  <si>
    <t>Agreement signed 11/24/2015 - development in process</t>
  </si>
  <si>
    <t>Turkey River Recreational Corridor - Elgin to Gilbertson Park and the Turkey River (Fayette County Conservation Board)</t>
  </si>
  <si>
    <t>Agreement signed 12/15/2014 - project completed</t>
  </si>
  <si>
    <t>Agreement signed 9/21/2015 - development in process</t>
  </si>
  <si>
    <t>Agreement signed 12/15/2014 -development in process</t>
  </si>
  <si>
    <t>Agreement signed 12/05/2012 - project completed</t>
  </si>
  <si>
    <t>Agreement signed 11/28/2012 - project completed</t>
  </si>
  <si>
    <t>Agreement signed 9/16/2014 - development in process</t>
  </si>
  <si>
    <t>State Recreational Trail (SRT) Fund, SAFETEA-LU earmark funds, and city funds</t>
  </si>
  <si>
    <t>Agreement signed 12/15/2011 - project completed</t>
  </si>
  <si>
    <t>Agreement signed 2/6/2012 - project completed</t>
  </si>
  <si>
    <t>Agreement signed 2/23/2012 - project completed</t>
  </si>
  <si>
    <t>The FY 2016 SRT appropriation was for $3,400,000.  The total amount of SRT funding for projects listed in this report is $3,400,000.</t>
  </si>
  <si>
    <t xml:space="preserve">FY 2016 - Rebuild Iowa Infrastructure Fund </t>
  </si>
  <si>
    <t>Building improvements</t>
  </si>
  <si>
    <t>Rehabilitate facility</t>
  </si>
  <si>
    <t>Federal transit funds
 Local funds</t>
  </si>
  <si>
    <t>Maintenance, repairs, and replacement of bus shelters (partial funding---also see FY11, FY12, FY14 )</t>
  </si>
  <si>
    <t>Region 2</t>
  </si>
  <si>
    <t>Construction of indoor parking facility</t>
  </si>
  <si>
    <t>Region 8</t>
  </si>
  <si>
    <t>Roof mounted solar array (partial funding--also see FY15)</t>
  </si>
  <si>
    <t>Roof mounted solar array (partial funding---also see FY16)</t>
  </si>
  <si>
    <t>Maintenance, repairs, and replacement of bus shelters (partial-- see funding from FY11, FY12 and FY16)</t>
  </si>
  <si>
    <t>Maintenance, repairs, and replacement of bus shelters (partial-- see funding from FY11, FY14 and FY16)</t>
  </si>
  <si>
    <t>Maintenance, repairs, and replacement of bus shelters (partial-- see funding from FY12, FY14 and FY16)</t>
  </si>
  <si>
    <t xml:space="preserve">FY 2008 - RIIF 017 - Rebuild Iowa Infrastructure Fund </t>
  </si>
  <si>
    <t>09522</t>
  </si>
  <si>
    <t>University of Iowa (Cambus)</t>
  </si>
  <si>
    <t>Construct new vehicle storage building for CAMBUS (partial - see also supplimental funding from FY07)</t>
  </si>
  <si>
    <t>09523</t>
  </si>
  <si>
    <t>Des Moines (DART)</t>
  </si>
  <si>
    <t>Construct addition to vehicle storage building (partial - see also supplimental funding from FY07)</t>
  </si>
  <si>
    <t>09524</t>
  </si>
  <si>
    <t>Region Six Planning Commission (Region 6) - Marshalltown</t>
  </si>
  <si>
    <t>Transit portion of Joint Facility</t>
  </si>
  <si>
    <t>09525</t>
  </si>
  <si>
    <t>Delaware, Dubuque and Jackson County Regional Transit Authority (Region 8) - Dubuque</t>
  </si>
  <si>
    <t>Construct new regional transit office, storage and maintenance facility in Dubuque (partial - see also supplimental funding from FY07)</t>
  </si>
  <si>
    <t xml:space="preserve">FY 2007 -  RC2 942  - Health Restricted Capitals Fund </t>
  </si>
  <si>
    <t>09410</t>
  </si>
  <si>
    <t>Expand operations/administration area of CyRide maintenance facility-Ride Facility</t>
  </si>
  <si>
    <t>Transit Agency funds</t>
  </si>
  <si>
    <t>09409</t>
  </si>
  <si>
    <t>City of Cedar Rapids</t>
  </si>
  <si>
    <t>Construct transit portion of new downtown Intermodal facility</t>
  </si>
  <si>
    <t>Federal Transit Funds, Transit Agency funds</t>
  </si>
  <si>
    <t>Project dropped after city reorganization</t>
  </si>
  <si>
    <t>09402</t>
  </si>
  <si>
    <t>City of Davenport (CitiBus)</t>
  </si>
  <si>
    <t>Construct new transit hubs adjacent to regional shopping center and on campus of local university</t>
  </si>
  <si>
    <t>09408</t>
  </si>
  <si>
    <t>Des Moines Area Regional Transit (DART)</t>
  </si>
  <si>
    <t>Renovate maintenance area of DART facility</t>
  </si>
  <si>
    <t>09404</t>
  </si>
  <si>
    <t>City of Sioux City</t>
  </si>
  <si>
    <t>Construct new parts storage building at transit maintenance facility</t>
  </si>
  <si>
    <t>09407</t>
  </si>
  <si>
    <t>North Iowa Area Regional Transit (Region 2) - Mason City</t>
  </si>
  <si>
    <t>Construct a variety of projects to finish out recently constructed transit maintenance facility shared with City of Mason City</t>
  </si>
  <si>
    <t>09406</t>
  </si>
  <si>
    <t>RIDES/Regional Transit Authority (Region 3) - Spencer</t>
  </si>
  <si>
    <t>Construct new satellite facility in Sheldon for transit vehicle storage and maintenance</t>
  </si>
  <si>
    <t>09405</t>
  </si>
  <si>
    <t>Expand transit maintenance and storage facility in Carroll</t>
  </si>
  <si>
    <t xml:space="preserve">Partial funding for FY08 project to construct new regional transit office, storage and maintenance facility in Dubuque </t>
  </si>
  <si>
    <t>University of Iowa (Cambus) - Iowa City</t>
  </si>
  <si>
    <t>Construct new vehicle storage building for CAMBUS (partial - see also funding from FY08)</t>
  </si>
  <si>
    <t>Construct addition to vehicle storage building (partial - see also  funding from FY08)</t>
  </si>
  <si>
    <t>Partial funding for FY09 project to construct a vehicle storage addition in Carroll</t>
  </si>
  <si>
    <t>Construct bus wash bash and expanded parts storage, etc. for relocated transit maintenance facility  (partial -- see also funding from FY09 and FY10)</t>
  </si>
  <si>
    <t>Storage barn (partial--also see supplemental funding from FY09, FY10, FY11, FY12)</t>
  </si>
  <si>
    <t xml:space="preserve">FY 2016 Railroad Revolving Loan and Grant Program </t>
  </si>
  <si>
    <t>ADM "S" Curve</t>
  </si>
  <si>
    <t>Current rail spur into the Clinton facility has an "s" curve.  Project proposes to straighten the curveto allow greater rail capacity and better safety.</t>
  </si>
  <si>
    <t>A to Z Drying Rail Enhancement</t>
  </si>
  <si>
    <t>A to Z Drying is replacing and changing the location of an exisiting spur due to expansion of neighboring company.</t>
  </si>
  <si>
    <t>Boone Scenic Valley Industrial Park Line Phase I</t>
  </si>
  <si>
    <t>Construction of a 1700 ft passing track.  Includes grading ballast, and installation of rail ties.  Will also be replacing ties and adding ballast where needed to maintain 286K service.  Company also constructing 1425 feet of track extending to their facility in nearby industrial park.</t>
  </si>
  <si>
    <t>In Kind Match</t>
  </si>
  <si>
    <t>Iowa Traction Transload Project</t>
  </si>
  <si>
    <t>IATR improving their current site by constructing 950 ft siding to support currently transload operation.  Project also includes installing a 90lb switch to accommodate 286K</t>
  </si>
  <si>
    <t>KJRY Yard Enhancements II</t>
  </si>
  <si>
    <t>Project involves replacing four switches and improving tracks, ties and ballast in the yard</t>
  </si>
  <si>
    <t>Project withdrawn by applicant</t>
  </si>
  <si>
    <t>Funding reserved for PE/NEPA activities to match a federal FY 2010 High Speed and Intercity Passenger Rail (HSIPR) award to Iowa DOT for Chicago to Iowa City.  Award announced by FRA in October 2010 to Iowa.</t>
  </si>
  <si>
    <t>CRANDIC and MPOJC</t>
  </si>
  <si>
    <t>Funding reserved for Final Design &amp; Construction to match federal FY 2010 High Speed and Intercity Passenger Rail (HSIPR) award to Iowa DOT for Chicago to Iowa City.  Award announced by FRA in October 2010 to Iowa.</t>
  </si>
  <si>
    <t>TBD</t>
  </si>
  <si>
    <t>FY 2016 RIIF - General Aviation Vertical Infrastructure Program</t>
  </si>
  <si>
    <t>Ames Municipal Airport</t>
  </si>
  <si>
    <t>Site improvements for future terminal building</t>
  </si>
  <si>
    <t>Council Bluffs Municipal Airport</t>
  </si>
  <si>
    <t>T-hangar Improvements</t>
  </si>
  <si>
    <t>Cresco Municipal Airport</t>
  </si>
  <si>
    <t>Rehabilitate hangar and construct pilot lounge</t>
  </si>
  <si>
    <t>Lamoni Municipal Airport</t>
  </si>
  <si>
    <t>Marshalltown Municipal Airport</t>
  </si>
  <si>
    <t>Pave hangar floor</t>
  </si>
  <si>
    <t>Perry Municipal Airport</t>
  </si>
  <si>
    <t>Repair hangar roof</t>
  </si>
  <si>
    <t>Sioux County Regional Airport</t>
  </si>
  <si>
    <t>Construct maintenance and electrical vault buildings</t>
  </si>
  <si>
    <t>Spencer Municipal Airport</t>
  </si>
  <si>
    <t>Rehabilate hangar floor</t>
  </si>
  <si>
    <t>FY 2016 RIIF - Commercial Service Vertical Infrastructure (CSVI) Projects</t>
  </si>
  <si>
    <t>Replace Hangars</t>
  </si>
  <si>
    <t>Design Phase</t>
  </si>
  <si>
    <t>Rehabilitate Terminal Building</t>
  </si>
  <si>
    <t>General Aviation Improvements</t>
  </si>
  <si>
    <t>Construct Hangar and Flight Service Station redesign</t>
  </si>
  <si>
    <t>Replace Overhead Garage Doors and Perform Terminal Systems Study</t>
  </si>
  <si>
    <t>Rehabilitate and Build Hangars</t>
  </si>
  <si>
    <t>Hangar rehabilitation and baggage area renovation</t>
  </si>
  <si>
    <t>FY 2017 Aviation Trust Fund* - General Aviation Vertical Infrastructure Program</t>
  </si>
  <si>
    <t>Cherokee County Regional Airport</t>
  </si>
  <si>
    <t>Eight Unit T-Hangar</t>
  </si>
  <si>
    <t>Airport Fuel System</t>
  </si>
  <si>
    <t>Davenport Municipal Airport</t>
  </si>
  <si>
    <t>Rehabilitate Hangar 8990</t>
  </si>
  <si>
    <t>Denison Municipal Airport</t>
  </si>
  <si>
    <t>Hangar Upgrades</t>
  </si>
  <si>
    <t>George L Scott Municipal Airport</t>
  </si>
  <si>
    <t>Replace T-Hangar Roof</t>
  </si>
  <si>
    <t>North T-Hangar Restroom</t>
  </si>
  <si>
    <t>Northeast Iowa Regional Airport</t>
  </si>
  <si>
    <t>Hangar Development</t>
  </si>
  <si>
    <t>Terminal Building</t>
  </si>
  <si>
    <t>Hangar Rehabilitation - Replace Roof, Sill, Repaint</t>
  </si>
  <si>
    <t>* Not subject to Infrastructure Annual Status Report requirement due to appropriation funding source.  However, the status is included for information.</t>
  </si>
  <si>
    <t>FY 2017 RIIF/Aviation Trust Fund* - Commercial Service Vertical Infrastructure (CSVI) Projects</t>
  </si>
  <si>
    <t>Hangar Construction and Improve Terminal Area Infrastructure</t>
  </si>
  <si>
    <t>Construct Hangar, Hangar roofing and Flight Service Station redesign</t>
  </si>
  <si>
    <t>Replace Terminal Chiller Phase Two</t>
  </si>
  <si>
    <t>GA Terminal Building Rehabilitation and Hangar 5 Rehabilitation</t>
  </si>
  <si>
    <t>* $60,000 of the FY 2017 appropriation is from the Aviation Trust Fund and not subject to Infrastructure Annual Status Report requirement.  However, the status of the entire appropriation is included for information.</t>
  </si>
  <si>
    <t>East Blue Creek Bridge Replacement along Cedar Valley Nature Trail (Linn and Black Hawk County Conservation Boards)</t>
  </si>
  <si>
    <t>State Recreational Trail (SRT) Fund, Regional Transportation Alternative funds and County Conservation Board CIP funds</t>
  </si>
  <si>
    <t>Extension of Felderman Trail (Bellevue and Iowa Department of Natural Resources)</t>
  </si>
  <si>
    <t>State Recreational Trail (SRT) Fund, DNR REAP award, Northeast State Parks Region and Iowa Parks Foundation funds, private donation and Wellmark Foundation</t>
  </si>
  <si>
    <t>Interstate 29 Riverfront Trail Connection (Sioux City)</t>
  </si>
  <si>
    <t>State Recreational Trail (SRT) Fund, Regional Transportation Alternative funds, Missouri River Historical Development funds and city funds</t>
  </si>
  <si>
    <t>Iowa River Trail-Marshalltown to South Side of Iowa River (Marshalltown)</t>
  </si>
  <si>
    <t>State Recreational Trail (SRT) Fund, Regional Transportation Alternative funds, DNR REAP award and fundraising</t>
  </si>
  <si>
    <t>Rolling Prairie Trail-Allison to Bristow (Butler County Conservation Board)</t>
  </si>
  <si>
    <t>State Recreational Trail (SRT) Fund, County Board of Supervisors and County Conservation Board funds, Cities of Allison, Bristow, Dumont, Clarksville and Shell Rock funds, private donations and anticipated Guernsey's Foundation funds</t>
  </si>
  <si>
    <t>State Recreational Trail (SRT) Fund, County Conservation Board CIP funds, Linn County Trails Association funds and anticipated city of Center Point funds</t>
  </si>
  <si>
    <t>State Recreational Trail (SRT) Fund, Regional Transportation Alternative funds, Two DNR REAP grants, city sales tax and local fundraising</t>
  </si>
  <si>
    <t>State Recreational Trail (SRT) Fund, County Conservation Board funds, other grants and donations</t>
  </si>
  <si>
    <t>State Recreational Trail (SRT) Fund, Regional Transportation Alternative funds and Great Places funding</t>
  </si>
  <si>
    <t>State Recreational Trail (SRT) Fund and Federal Recreational Trails Fund</t>
  </si>
  <si>
    <t>State Recreational Trail (SRT) Fund, Regional Transportation Alternative funds and private contributions</t>
  </si>
  <si>
    <t>State Recreational Trail (SRT) Fund, city funds, County Conservation Board funds, and Iowa Natural Heritage Foundation funds</t>
  </si>
  <si>
    <t>Agreement signed 11/25/2014 - project completed</t>
  </si>
  <si>
    <t>State Recreational Trail (SRT) Fund and County Conservation Board funds</t>
  </si>
  <si>
    <t>Agreement signed 12/17/2014 - project completed</t>
  </si>
  <si>
    <t>State Recreational Trail (SRT) Fund, DNR REAP grant and Lake Restoration Fund</t>
  </si>
  <si>
    <t>State Recreational Trail (SRT) Fund, Regional Transportation Alternative funds and DNR REAP grant</t>
  </si>
  <si>
    <t>State Recreational Trail (SRT) Fund, FEMA funds and city funds</t>
  </si>
  <si>
    <t>State Recreational Trail (SRT) Fund, Regional Transportation Enhancement funds, cash from local entities and private donations</t>
  </si>
  <si>
    <t xml:space="preserve">State Recreational Trail (SRT) Fund, Federal Recreational Trails Fund, County Conservation Board funds and Iowa West Foundation funds </t>
  </si>
  <si>
    <t>State Recreational Trail (SRT) Fund, City CIP funds, TIGER funds and private fundraising</t>
  </si>
  <si>
    <t>Agreement signed 1/30/2014 - project completed</t>
  </si>
  <si>
    <t>State Recreational Trail (SRT) Fund, city funds, DNR REAP grant, Regional Transportation Alternative funds and private donations</t>
  </si>
  <si>
    <t>State Recreational Trail (SRT) Fund, Statewide Transportation Enhancement grant, DNR REAP grant and local public/private funds</t>
  </si>
  <si>
    <t>Agreement signed 10/31/2013 - development in process</t>
  </si>
  <si>
    <t>Agreement signed 11/12/2013 - project completed</t>
  </si>
  <si>
    <t>State Recreational Trail (SRT) Fund, city funds, County Regional Authority grant and National Scenic Byways grant</t>
  </si>
  <si>
    <t>Agreement signed 12/23/2013 - project completed</t>
  </si>
  <si>
    <t>State Recreational Trail (SRT) Fund and DNR REAP grant</t>
  </si>
  <si>
    <t>State Recreational Trail (SRT) Fund, Upper Iowa University, city funds, County Community Foundation, Black Hills Energy, private donors, additional fundraising and DNR REAP grant</t>
  </si>
  <si>
    <t>State Recreational Trail (SRT) Fund, city G.O. Bonds, Regional STP Funds, Earmark funds and Regional Transportation Enhancement funds</t>
  </si>
  <si>
    <t>State Recreational Trail (SRT) Fund, Regional Transportation Alternative funds and city funds</t>
  </si>
  <si>
    <t>State Recreational Trail (SRT) Fund, National Scenic Byway funds and city funds</t>
  </si>
  <si>
    <t>State Recreational Trail (SRT) Fund and CDBG Jumpstart Infrastructure funds</t>
  </si>
  <si>
    <t>State Recreational Trail (SRT) Fund, Polk County Conservation and Partners funds</t>
  </si>
  <si>
    <t>Agreement signed 5/15/2012 - project completed</t>
  </si>
  <si>
    <t>State Recreational Trail (SRT) Fund, Federal Recreational Trails Fund, Webster County Conservation and ATV Registration funds</t>
  </si>
  <si>
    <t>Agreement signed 1/10/2012 - project completed</t>
  </si>
  <si>
    <t>State Recreational Trail (SRT) Fund, statewide Transportation Enhancement grant and local contributions</t>
  </si>
  <si>
    <t xml:space="preserve">Agreement signed 1/5/2010- project completed </t>
  </si>
  <si>
    <t>State Recreational Trail (SRT) Fund, CDBG - Jumpstart Infrastructure and FEMA-PA Funds</t>
  </si>
  <si>
    <t>State Recreational Trail (SRT) Fund, DNR REAP grant, Iowa Clean Air Attainment Program funds and City of Des Moines Capital Funds</t>
  </si>
  <si>
    <t>State Recreational Trail (SRT) Fund, IANWRR Donated Land and Transportation Enhancement grant</t>
  </si>
  <si>
    <t>State Recreational Trail (SRT) Fund, County Foundation, Winneshiek County and Winneshiek County Bridge grant</t>
  </si>
  <si>
    <t>State Recreational Trail (SRT) Fund and Friends of the Decorah Hatchery funds</t>
  </si>
  <si>
    <t>State Recreational Trail (SRT) Fund, Dickinson County Conservation, MPO, and City of West Okoboji funds</t>
  </si>
  <si>
    <t>State Recreational Trail (SRT) Fund and City of Clinton funds</t>
  </si>
  <si>
    <t>State Recreational Trail (SRT) Fund and City of Des Moines funds</t>
  </si>
  <si>
    <t>State Recreational Trail (SRT) Fund, SAFETEA-LU earmark funds and city funds</t>
  </si>
  <si>
    <t xml:space="preserve">State Recreational Trail (SRT) Fund, Winneshiek County Conservation and City of Decorah funds </t>
  </si>
  <si>
    <t>State Recreational Trail (SRT) Fund, Land Value and Regional Transportation Enhancement funds</t>
  </si>
  <si>
    <t>Agreement IDOT - project completed</t>
  </si>
  <si>
    <t>State Recreational Trail (SRT) Fund, Polk County Conservation, MPO, and City of Ankeny funds</t>
  </si>
  <si>
    <t>State Recreational Trail (SRT) Fund and City of Clive funds</t>
  </si>
  <si>
    <t>State Recreational Trail (SRT) Fund, federal earmark funds, Transportation Alternative funds, and Cedar Rapids CIP funds</t>
  </si>
  <si>
    <t>State Recreational Trail (SRT) Fund and City of Coon Rapids/Whiterock Conservancy funds</t>
  </si>
  <si>
    <t>State Recreational Trail (SRT) Fund, Federal Recreational Trails Fund, Regional Transportation Alternative funds and county funds</t>
  </si>
  <si>
    <t>Agreement signed 6/27/2007 - project completed</t>
  </si>
  <si>
    <t>State Recreational Trail (SRT) Fund and All-Terrain Vehicle Registration funds</t>
  </si>
  <si>
    <t>State Recreational Trail (SRT) Fund, Federal Transportation Enhancement funds, DNR REAP grant, county, city, and private funds</t>
  </si>
  <si>
    <t>Agreement signed 8/9/2006 - Final Voucher dated 6/11/08; Remaining funds to be used on next phase of project-project completed</t>
  </si>
  <si>
    <t>State Recreational Trail (SRT) Fund, county funds, Federal Transportation Enhancement funds and MPO Transportation Enhancement funds</t>
  </si>
  <si>
    <t>The FY 2017 SRT appropriation was for $2,500,000.  The total amount of SRT funding for projects listed in this report is over $2,500,000 as a result of awarding additional funding from previous project underruns.</t>
  </si>
  <si>
    <t xml:space="preserve">FY 2017 Railroad Revolving Loan and Grant Program </t>
  </si>
  <si>
    <t>Total Estimated Rail Project Cost</t>
  </si>
  <si>
    <t>Elite Octane</t>
  </si>
  <si>
    <t>Improvement to an exisiting spur to serve a grain elevator.</t>
  </si>
  <si>
    <t>Project in Process</t>
  </si>
  <si>
    <t>Barilla America</t>
  </si>
  <si>
    <t>Expansion of rail yard to receive 110 hopper cars with one switch.  Includes addition of 8700 feet of new track, ties, plates, 6 turnouts and repositioning of all 6 switches at the east end of the rail yard.</t>
  </si>
  <si>
    <t>The required earthwork, installation of #111 mainline switch, two #9 yard switches, and approx. 6,625 feet of rail branching into the start of the main unit train storage tracks.</t>
  </si>
  <si>
    <t>Hydrite Chemical</t>
  </si>
  <si>
    <t>Adding additional track on the south side of the production facility to heat an unload railcars of sulfur.</t>
  </si>
  <si>
    <t>Progressive Rail</t>
  </si>
  <si>
    <t>Installation of 600 ties per mile for the southernmost 12 miles of the APNC line between Albia, Iowa and Centervill, Iowa.</t>
  </si>
  <si>
    <t>BJRY Le Mars</t>
  </si>
  <si>
    <t>Includes 500 feet of rail, ties, ballast and other materials located at the south end of the spur track serving the industrial park in Le Mars, Iowa.</t>
  </si>
  <si>
    <t>Des Moines Cold Storage</t>
  </si>
  <si>
    <t>Project will repair an exisiting spur track and add additional track length to extend it to the cold storage facility in Des Moines.</t>
  </si>
  <si>
    <t>Oelwein Track Rehab</t>
  </si>
  <si>
    <t>Project is a wood crosstie replacement project from Dewar, Iowa at Mile Post 322 to East of Fairbank, Iowa at Mile Post 346.</t>
  </si>
  <si>
    <t>Eastern Iowa Logistics Park/CRANDIC</t>
  </si>
  <si>
    <t>RRLG fund will go toward the site grading and track construction to support the proposed transload facility in SW Cedar Rapids.</t>
  </si>
  <si>
    <t>KJRY Yard Enhancements III</t>
  </si>
  <si>
    <t>Project will replace 400 ties, 27 sticks of rail and install two new switches in the KJRY middle yard area.  OTM and ballast are included in the project as well.</t>
  </si>
  <si>
    <t>Council Bluffs Transload Study</t>
  </si>
  <si>
    <t xml:space="preserve">Study will address the market potential of an expanded transload area in Council Bluffs, Iowa.  </t>
  </si>
  <si>
    <t>Project withdrawn by appliant</t>
  </si>
  <si>
    <t>Complete - Certificate of completion pending</t>
  </si>
  <si>
    <t>Withdrawn - funds returned 2017</t>
  </si>
  <si>
    <t xml:space="preserve">Completed - remianing funds put back in </t>
  </si>
  <si>
    <t xml:space="preserve">Completed - remaining funds put back in </t>
  </si>
  <si>
    <t>Study Completed</t>
  </si>
  <si>
    <t>Complete - remaining returned</t>
  </si>
  <si>
    <t>Funding reserved for the Iowa City-Cedar Rapids Passenger Rail Conceptual Feasibility Study - Phase 1 (Task A)</t>
  </si>
  <si>
    <t>Funding reserved for the Iowa City-North Liberty Passenger Rail Conceptual Feasibility Study - Phase 1 (Task B)</t>
  </si>
  <si>
    <t xml:space="preserve">FY 2017 - Rebuild Iowa Infrastructure Fund </t>
  </si>
  <si>
    <t>Reconstruct roof</t>
  </si>
  <si>
    <t>Dubuque - The Jule</t>
  </si>
  <si>
    <t>Region 10</t>
  </si>
  <si>
    <t>Monticello bus faclity construction</t>
  </si>
  <si>
    <t>Region 12</t>
  </si>
  <si>
    <t>Replace overhead doors</t>
  </si>
  <si>
    <t>Region 15</t>
  </si>
  <si>
    <t>Purchase of transit facility</t>
  </si>
  <si>
    <t>Federal transit funds
 Amoco Loan</t>
  </si>
  <si>
    <t>Purchase of transit facility (partial funding--also see FY17)</t>
  </si>
  <si>
    <t>FY 2018 RIIF/Aviation Trust Fund - General Aviation Vertical Infrastructure Program*</t>
  </si>
  <si>
    <t>75x75 Hangar Construction</t>
  </si>
  <si>
    <t>Muscatine Municipal Airport</t>
  </si>
  <si>
    <t>T-Hangar Building Construction</t>
  </si>
  <si>
    <t>Rehab Hangar - New Bifold Doors</t>
  </si>
  <si>
    <t>10 Unit T - Hangar</t>
  </si>
  <si>
    <t>Waverly Municipal Airport</t>
  </si>
  <si>
    <t>Bulk Hangar Insulation Renovation</t>
  </si>
  <si>
    <t>* State share includes $20,200 of Aviation Trust Fund revenue not subject to Infrastructure Annual Status Report requirement but is included for information.</t>
  </si>
  <si>
    <t>FY 2018 RIIF - Commercial Service Vertical Infrastructure (CSVI) Projects</t>
  </si>
  <si>
    <t>Terminal Improvements</t>
  </si>
  <si>
    <t>Terminal Modernization PH 3</t>
  </si>
  <si>
    <t>Guidance Signage, Relocate Airfield Infrastructure, Terminal Fuel Facility</t>
  </si>
  <si>
    <t>Hangar Construction and Rehabilitation, Flight Service Station Reconfiguration</t>
  </si>
  <si>
    <t>Construct T-Hangar</t>
  </si>
  <si>
    <t>Rehabilitate Terminal and Hangar</t>
  </si>
  <si>
    <t>Hangar Improvements</t>
  </si>
  <si>
    <t xml:space="preserve"> Guidance Signage, Relocate Airfield Infrastructure, Terminal Fuel Facility</t>
  </si>
  <si>
    <t>Construct new terminal building and Guidance Signage</t>
  </si>
  <si>
    <r>
      <t>Funds Obligated</t>
    </r>
    <r>
      <rPr>
        <vertAlign val="superscript"/>
        <sz val="10"/>
        <color indexed="8"/>
        <rFont val="Arial"/>
        <family val="2"/>
      </rPr>
      <t>b</t>
    </r>
  </si>
  <si>
    <t>Heritage Trail Bridge 27 Replacement (Dubuque County Conservation Board)</t>
  </si>
  <si>
    <t>Louisa County Fairground Trailhead and Connection to the Hoover Nature Trail (Louisa County Conservation Board and Louisa County Trails Council)</t>
  </si>
  <si>
    <t>State Recreational Trail (SRT) Fund, Regional Transportation Alternative funds, CFLC, CJUW Endowment, Riverboat Foundation, County Conservation Board funds, Trails Council and private donations</t>
  </si>
  <si>
    <t>Pottawattamie County Trail - Railroad Highway Trail Phase II (Pottawattamie County Conservation Board and Pottawattamie County Trail Association)</t>
  </si>
  <si>
    <t>State Recreational Trail (SRT) Fund, Regional Transportation Alternative funds and Iowa West Foundation</t>
  </si>
  <si>
    <t>Raccoon River Valley Trail to High Trestle Trail Phase I Construction (Dallas County Conservation Board)</t>
  </si>
  <si>
    <t>State Recreational Trail (SRT) Fund, private donations and Wellmark Foundation</t>
  </si>
  <si>
    <t>Wapsipinicon Trail - Phase I (Jones County and Anamosa)</t>
  </si>
  <si>
    <t>State Recreational Trail (SRT) Fund, Regional Transportation Alternative funds, DNR REAP award, Iowa Parks Foundation/GWMRR, Wellmark Foundation, Anamosa and Jones County Community Foundations, Ignite Young Professionals and private donations</t>
  </si>
  <si>
    <t>Agreement signed 3/2/2017 - development in process</t>
  </si>
  <si>
    <t>Agreement signed 9/18/2017- development in process</t>
  </si>
  <si>
    <t>Agreement signed 12/21/2015 - project completed</t>
  </si>
  <si>
    <t>h</t>
  </si>
  <si>
    <t>Agreement signed 2/10/2015 - project completed</t>
  </si>
  <si>
    <t>Agreement signed 6/19/2014 - project completed</t>
  </si>
  <si>
    <t>Agreement signed 3/2/2015 - project completed</t>
  </si>
  <si>
    <r>
      <t>Jurgensen Bridge Refurbishment (Winterset and Winterset Municipal Utility)</t>
    </r>
    <r>
      <rPr>
        <vertAlign val="superscript"/>
        <sz val="10"/>
        <color indexed="8"/>
        <rFont val="Arial"/>
        <family val="2"/>
      </rPr>
      <t>f</t>
    </r>
  </si>
  <si>
    <t>f</t>
  </si>
  <si>
    <t>Agreement signed 1/27/2015 - project completed</t>
  </si>
  <si>
    <r>
      <t>SW 5th (Jackson) Street Bridge Rehabilitation (City of Des Moines)</t>
    </r>
    <r>
      <rPr>
        <vertAlign val="superscript"/>
        <sz val="10"/>
        <color indexed="8"/>
        <rFont val="Arial"/>
        <family val="2"/>
      </rPr>
      <t>f</t>
    </r>
  </si>
  <si>
    <t>Agreement signed 9/29/2015 - project completed</t>
  </si>
  <si>
    <t>Agreement signed 6/3/2014 - project completed</t>
  </si>
  <si>
    <t>Agreement signed 11/13/2012 - project completed</t>
  </si>
  <si>
    <t>Agreement signed 12/12/2012 - project completed</t>
  </si>
  <si>
    <r>
      <t>Cedar Valley Nature Trail Bridge at McFarlane Park (Black Hawk County Conservation Board)</t>
    </r>
    <r>
      <rPr>
        <vertAlign val="superscript"/>
        <sz val="10"/>
        <rFont val="Arial"/>
        <family val="2"/>
      </rPr>
      <t>e</t>
    </r>
  </si>
  <si>
    <t>e</t>
  </si>
  <si>
    <r>
      <t>Gray's Lake Neighborhood Connecting Trail &amp; SW 14th Quiet Street (City of Des Moines)</t>
    </r>
    <r>
      <rPr>
        <vertAlign val="superscript"/>
        <sz val="10"/>
        <rFont val="Arial"/>
        <family val="2"/>
      </rPr>
      <t>g</t>
    </r>
  </si>
  <si>
    <t>g</t>
  </si>
  <si>
    <r>
      <t>Des Moines River Regional Trail Phase 1 (City of Des Moines)</t>
    </r>
    <r>
      <rPr>
        <vertAlign val="superscript"/>
        <sz val="10"/>
        <rFont val="Arial"/>
        <family val="2"/>
      </rPr>
      <t>c</t>
    </r>
  </si>
  <si>
    <t>c</t>
  </si>
  <si>
    <r>
      <t>Iowa River Corridor Trail Connection - Sand Lake (City of Iowa City)</t>
    </r>
    <r>
      <rPr>
        <vertAlign val="superscript"/>
        <sz val="10"/>
        <rFont val="Arial"/>
        <family val="2"/>
      </rPr>
      <t>c,h</t>
    </r>
  </si>
  <si>
    <t>c,h</t>
  </si>
  <si>
    <r>
      <t>Lewis and Clark Historic Riverfront Trail (City of Sioux City and Iowa DOT)</t>
    </r>
    <r>
      <rPr>
        <vertAlign val="superscript"/>
        <sz val="10"/>
        <rFont val="Arial"/>
        <family val="2"/>
      </rPr>
      <t>c</t>
    </r>
  </si>
  <si>
    <r>
      <t>Pinicon Ridge Trail (Linn County Conservation Board)</t>
    </r>
    <r>
      <rPr>
        <vertAlign val="superscript"/>
        <sz val="10"/>
        <rFont val="Arial"/>
        <family val="2"/>
      </rPr>
      <t>a</t>
    </r>
  </si>
  <si>
    <t>a</t>
  </si>
  <si>
    <r>
      <t>Principal Riverwalk Recreational Trail (city of Des Moines)</t>
    </r>
    <r>
      <rPr>
        <vertAlign val="superscript"/>
        <sz val="10"/>
        <rFont val="Arial"/>
        <family val="2"/>
      </rPr>
      <t>a</t>
    </r>
  </si>
  <si>
    <r>
      <t>Raccoon River Valley Trail Addition--Forest Park to Minburn Trail (Dallas County Conservation Board)</t>
    </r>
    <r>
      <rPr>
        <vertAlign val="superscript"/>
        <sz val="10"/>
        <rFont val="Arial"/>
        <family val="2"/>
      </rPr>
      <t>c</t>
    </r>
  </si>
  <si>
    <r>
      <t>Summerset Trail Flood Repairs (Warren County Conservation Board)</t>
    </r>
    <r>
      <rPr>
        <vertAlign val="superscript"/>
        <sz val="10"/>
        <rFont val="Arial"/>
        <family val="2"/>
      </rPr>
      <t>d</t>
    </r>
  </si>
  <si>
    <t>d</t>
  </si>
  <si>
    <r>
      <t>American Gothic Regional Trail Project (Area 15 Regional Planning Commission)</t>
    </r>
    <r>
      <rPr>
        <vertAlign val="superscript"/>
        <sz val="10"/>
        <rFont val="Arial"/>
        <family val="2"/>
      </rPr>
      <t>a</t>
    </r>
  </si>
  <si>
    <r>
      <t>Crawford County Trail (Crawford County)</t>
    </r>
    <r>
      <rPr>
        <vertAlign val="superscript"/>
        <sz val="10"/>
        <rFont val="Arial"/>
        <family val="2"/>
      </rPr>
      <t>a</t>
    </r>
  </si>
  <si>
    <r>
      <t>Garlock Slough Recreational Trail (City of West Okoboji and Dickinson County Tails Board)</t>
    </r>
    <r>
      <rPr>
        <vertAlign val="superscript"/>
        <sz val="10"/>
        <rFont val="Arial"/>
        <family val="2"/>
      </rPr>
      <t>e</t>
    </r>
  </si>
  <si>
    <r>
      <t>Maquoketa River Water Trail (Jones County)</t>
    </r>
    <r>
      <rPr>
        <vertAlign val="superscript"/>
        <sz val="10"/>
        <rFont val="Arial"/>
        <family val="2"/>
      </rPr>
      <t>a</t>
    </r>
  </si>
  <si>
    <r>
      <t>Principal Riverwalk (Des Moines)</t>
    </r>
    <r>
      <rPr>
        <vertAlign val="superscript"/>
        <sz val="10"/>
        <rFont val="Arial"/>
        <family val="2"/>
      </rPr>
      <t>a</t>
    </r>
  </si>
  <si>
    <r>
      <t>Riverview Recreation Area Expansion (Trailblazers Off Road Club)</t>
    </r>
    <r>
      <rPr>
        <vertAlign val="superscript"/>
        <sz val="10"/>
        <rFont val="Arial"/>
        <family val="2"/>
      </rPr>
      <t>e</t>
    </r>
  </si>
  <si>
    <r>
      <t>Stone State Park Trail (Woodbury County/DNR)</t>
    </r>
    <r>
      <rPr>
        <vertAlign val="superscript"/>
        <sz val="10"/>
        <rFont val="Arial"/>
        <family val="2"/>
      </rPr>
      <t>a</t>
    </r>
  </si>
  <si>
    <r>
      <t>Summerset Trail (Cities of Indianola, Carlisle and Des Moines)</t>
    </r>
    <r>
      <rPr>
        <vertAlign val="superscript"/>
        <sz val="10"/>
        <rFont val="Arial"/>
        <family val="2"/>
      </rPr>
      <t>a</t>
    </r>
  </si>
  <si>
    <r>
      <t>Crawford County Trails (Crawford County)</t>
    </r>
    <r>
      <rPr>
        <vertAlign val="superscript"/>
        <sz val="10"/>
        <rFont val="Arial"/>
        <family val="2"/>
      </rPr>
      <t>a</t>
    </r>
  </si>
  <si>
    <r>
      <t>Fairfield Loop Trail (Fairfield)</t>
    </r>
    <r>
      <rPr>
        <vertAlign val="superscript"/>
        <sz val="10"/>
        <rFont val="Arial"/>
        <family val="2"/>
      </rPr>
      <t>a</t>
    </r>
  </si>
  <si>
    <r>
      <t>Jewell to Ellsworth Trail (Hamilton County Conservation Board)</t>
    </r>
    <r>
      <rPr>
        <vertAlign val="superscript"/>
        <sz val="10"/>
        <rFont val="Arial"/>
        <family val="2"/>
      </rPr>
      <t>a</t>
    </r>
  </si>
  <si>
    <r>
      <t>Mississippi River Trail Upper Scott County (Le Claire)</t>
    </r>
    <r>
      <rPr>
        <vertAlign val="superscript"/>
        <sz val="10"/>
        <rFont val="Arial"/>
        <family val="2"/>
      </rPr>
      <t>c</t>
    </r>
  </si>
  <si>
    <r>
      <t>Des Moines County Recreational Trail - Phase 1 Burlington to Starr's Cave (Des Moines County)</t>
    </r>
    <r>
      <rPr>
        <vertAlign val="superscript"/>
        <sz val="10"/>
        <rFont val="Arial"/>
        <family val="2"/>
      </rPr>
      <t>h</t>
    </r>
  </si>
  <si>
    <t>Agreement signed 2/19/2007 - project completed</t>
  </si>
  <si>
    <r>
      <t>Lakeview OHV Park Upgrades (Dirt Surfers Inc.)</t>
    </r>
    <r>
      <rPr>
        <vertAlign val="superscript"/>
        <sz val="10"/>
        <rFont val="Arial"/>
        <family val="2"/>
      </rPr>
      <t>g</t>
    </r>
  </si>
  <si>
    <r>
      <t>Trail Projects in Wapello County (Wapello County)</t>
    </r>
    <r>
      <rPr>
        <vertAlign val="superscript"/>
        <sz val="10"/>
        <rFont val="Arial"/>
        <family val="2"/>
      </rPr>
      <t>a</t>
    </r>
  </si>
  <si>
    <t>c.  FY 2006 and FY 2008 Funding Rescinded by Local Sponsors - Funding Reallocated to SRT Projects in FY 2010</t>
  </si>
  <si>
    <t>d.  The initial $87,500 is from I-Jobs and the remaining $19,771 from rescinded funds from FY 2008.</t>
  </si>
  <si>
    <t>e.  Funding for 2 Projects Rescinded by Local Sponsors and a $32,543 project underrun - Funding Reallocated to SRT Projects in FY 2014</t>
  </si>
  <si>
    <t>g.  Identifies 2 Project Underruns - Funding Balance Reallocated to SRT Projects in FY 2017</t>
  </si>
  <si>
    <t>The FY 2018 SRT appropriation was for $1,000,000.  The total amount of SRT funding for projects listed in this report is over $1,200,000 as a result of awarding additional funding from previous project underruns.</t>
  </si>
  <si>
    <t xml:space="preserve">FY 2018 Railroad Revolving Loan and Grant Program </t>
  </si>
  <si>
    <t>Construction of approximately 9,800 lineal feet of track with 7 turnouts in order to meet the supply and demand needs of Sterilite</t>
  </si>
  <si>
    <t>$0</t>
  </si>
  <si>
    <t>Fall 2020</t>
  </si>
  <si>
    <t xml:space="preserve">The rehabilitation of the rail line between Emery and Clear Lake, Iowa on the Iowa Traction Railway.  The project consists of replacement of 3.6 mi of rail and will open up Clear Lake, Iowa for purpose of rail served industrail development on the community's east side in close proximity of I-35..  </t>
  </si>
  <si>
    <t xml:space="preserve">Pattison Sand Company </t>
  </si>
  <si>
    <t>Phase II of the project includes the required earthwork, the addition of 3,300 track feet and a rail scale resulting in 78 additional rail car spots.</t>
  </si>
  <si>
    <t>January 2020</t>
  </si>
  <si>
    <t>Pattison Sand Company</t>
  </si>
  <si>
    <t>In Agreement Phase - project also has federal funding</t>
  </si>
  <si>
    <t>January 2019</t>
  </si>
  <si>
    <t>4/13/216</t>
  </si>
  <si>
    <t>Project in process - extensive project, extension was granted</t>
  </si>
  <si>
    <t>January 2021</t>
  </si>
  <si>
    <t>Completed - unspent funds put back in pot</t>
  </si>
  <si>
    <t>Complete - remaining funds put back in pot</t>
  </si>
  <si>
    <t xml:space="preserve">FY 2018 - Rebuild Iowa Infrastructure Fund </t>
  </si>
  <si>
    <t>Three in-ground hoists  (partial funding---also see FY16, FY17)</t>
  </si>
  <si>
    <t>Awarded 8-1-2017</t>
  </si>
  <si>
    <t>Est. 7/10/19</t>
  </si>
  <si>
    <t>Cambus</t>
  </si>
  <si>
    <t>Maintenance facility rehab</t>
  </si>
  <si>
    <t>Humboldt land/construction of transit storage</t>
  </si>
  <si>
    <t>Three in-ground hoists  (partial funding---also see FY16, FY18)</t>
  </si>
  <si>
    <t>Three in-ground hoists  (partial funding---also see FY17, FY18)</t>
  </si>
  <si>
    <t>FY 2019 RIIF - General Aviation Vertical Infrastructure Program</t>
  </si>
  <si>
    <t>Algona Municipal Airport</t>
  </si>
  <si>
    <t>3 Stall Hangar Extension</t>
  </si>
  <si>
    <t>Construct 8 Unit T-Hangar</t>
  </si>
  <si>
    <t>In Design</t>
  </si>
  <si>
    <t>Paint and Repair Hangars</t>
  </si>
  <si>
    <t>Estherville Municipal Airport</t>
  </si>
  <si>
    <t>Hangar Paint and Roof Repairs</t>
  </si>
  <si>
    <t xml:space="preserve">Construct 100x100 Hangar </t>
  </si>
  <si>
    <t>Rehabilitate Hangar Doors</t>
  </si>
  <si>
    <t>Close Out</t>
  </si>
  <si>
    <t>Rehabilitate Hanger Bi-fold Doors</t>
  </si>
  <si>
    <t>Webster City Municipal Airport</t>
  </si>
  <si>
    <t>Terminal Building and Hangar Repairs</t>
  </si>
  <si>
    <t>FY 2019 RIIF - Commercial Service Vertical Infrastructure (CSVI) Projects</t>
  </si>
  <si>
    <t>Signage Improvements</t>
  </si>
  <si>
    <t>South Quadrant Site Imp. Phase 1</t>
  </si>
  <si>
    <t>Relocate Airfield Infrastructure and GA Terminal Renovations</t>
  </si>
  <si>
    <t>Renovate Maintance Facility, Hangars and AFSS Building</t>
  </si>
  <si>
    <t>Boiler Replacement</t>
  </si>
  <si>
    <t>Hangar Repair</t>
  </si>
  <si>
    <t>Hangar and Terminal Improvements</t>
  </si>
  <si>
    <t>Funding reserved for the Iowa City-North Liberty Passenger Rail Conceptual Feasibility Study - Phase 1 (Task C)</t>
  </si>
  <si>
    <t xml:space="preserve">FY 2019 Railroad Revolving Loan and Grant Program </t>
  </si>
  <si>
    <t xml:space="preserve">Heartland Goodwill </t>
  </si>
  <si>
    <t>Goodwill of the Heartland has contract to package vegetable oil for the USDA international and domestic food aid program – rail best way to transport these goods and are building a rail spur to connect to IAIS.  (IAIS)</t>
  </si>
  <si>
    <t>Agreement Phase</t>
  </si>
  <si>
    <t>Fall 2021</t>
  </si>
  <si>
    <t>Reconstruction of switches and track re-configuration along the Cedar River due to installation and impacts from the Cedar River flood control system being built to better protect Quaker Oats facility.</t>
  </si>
  <si>
    <t>EDA/City Match</t>
  </si>
  <si>
    <t>Phase III, which is a continuation of phase II by adding an additional 1,800 feet of track to the previously installed 3,330 feet of track adding an additional 78 rail car spots and a rail scale.</t>
  </si>
  <si>
    <t>Agreement signed</t>
  </si>
  <si>
    <t>Farmers Feed and Grain Company</t>
  </si>
  <si>
    <t>Rehabilitation of track and sidings at their grain elevator site.  The track is old and in poor condition.  Elevator owners want to re-connect it to CP mainline</t>
  </si>
  <si>
    <t>Keokuk Junction Railway</t>
  </si>
  <si>
    <t xml:space="preserve">Surfacing and tie replacement of a mainline switch along with surfacing and tie replacement of two heavily utilized yard tracks in Keokuk. </t>
  </si>
  <si>
    <t>Spring 2019</t>
  </si>
  <si>
    <t>Complete - will be making reimbursment requests this winter</t>
  </si>
  <si>
    <t>11/20/2018</t>
  </si>
  <si>
    <t>To be closed Summer 2019</t>
  </si>
  <si>
    <t>Project complete - remaining funds to go back in pot.</t>
  </si>
  <si>
    <t>8/13/2018</t>
  </si>
  <si>
    <t>Project complete - Certificate of completion pending</t>
  </si>
  <si>
    <t>Project complete - pending certificate of completion</t>
  </si>
  <si>
    <t>11/27/18</t>
  </si>
  <si>
    <t>Project Complete - Certificate of completion pending</t>
  </si>
  <si>
    <t>Project proposed to be withdrawn - project stalled</t>
  </si>
  <si>
    <t>Project in process - multiple extensions granted</t>
  </si>
  <si>
    <t>Summer 2019</t>
  </si>
  <si>
    <t>Complete -  (remaing funds back in pot)</t>
  </si>
  <si>
    <t xml:space="preserve">In process of finalizing  </t>
  </si>
  <si>
    <t>Cedar Valley Nature Trail Wolf Creek Bridge Replacement (Black Hawk County Conservation Board)</t>
  </si>
  <si>
    <t>State Recreational Trail (SRT) Fund, Regional Transportation Alternative funds and local fundraising</t>
  </si>
  <si>
    <t>Connecting Fort Madison! Phase 3-Community Hospital Connector (Fort Madison)</t>
  </si>
  <si>
    <t>State Recreational Trail (SRT) Fund, Regional Transportation Alternative funds and Wellmark Foundation Large Match Grant</t>
  </si>
  <si>
    <t>Davis County Regional Trail Construction-Phase 3 (Davis County and Davis County Trails Council)</t>
  </si>
  <si>
    <t>Agreement signed 11/28/2018 - work not started</t>
  </si>
  <si>
    <t>State Recreational Trail (SRT) Fund, Wellmark Foundation, DNR REAP City Park and Open Spaces and Davis County Trails Council</t>
  </si>
  <si>
    <t>Heart of Iowa Nature Trail-Slater to Huxley Hard Surfacing and Trail Improvements (Story County Conservation Board)</t>
  </si>
  <si>
    <t>State Recreational Trail (SRT) Fund, Regional Transportation Alternative funds and Story County Conservation</t>
  </si>
  <si>
    <t>Lake Belva Deer Area Trail-Phase 3 (Keokuk County and Keokuk County Highway Department)</t>
  </si>
  <si>
    <t>State Recreational Trail (SRT) Fund and Regional Transportation Alternative funds</t>
  </si>
  <si>
    <t>Agreement signed 12/27/2017 - development in process</t>
  </si>
  <si>
    <t>Agreement signed 2/1/2018 - development in process</t>
  </si>
  <si>
    <t>Agreement signed 3/19/2018- development in process</t>
  </si>
  <si>
    <t>Agreement signed 1/16/2018 - development in process</t>
  </si>
  <si>
    <t>Agreement signed 1/18/2017 - project completed</t>
  </si>
  <si>
    <t>Agreement signed 3/13/17 - development in process</t>
  </si>
  <si>
    <t>Agreement signed 5/18/17 - development in process</t>
  </si>
  <si>
    <t>Agreement signed 2/12/2016 - project completed</t>
  </si>
  <si>
    <t>Agreement signed 3/14/2016 - project completed</t>
  </si>
  <si>
    <r>
      <t>Hospital Connector Trail Bridge (Manning)</t>
    </r>
    <r>
      <rPr>
        <vertAlign val="superscript"/>
        <sz val="10"/>
        <color indexed="8"/>
        <rFont val="Arial"/>
        <family val="2"/>
      </rPr>
      <t>h</t>
    </r>
  </si>
  <si>
    <r>
      <t>Great River Road Bike Lane (Louisa County Secondary Roads)</t>
    </r>
    <r>
      <rPr>
        <vertAlign val="superscript"/>
        <sz val="10"/>
        <color indexed="8"/>
        <rFont val="Arial"/>
        <family val="2"/>
      </rPr>
      <t>i</t>
    </r>
  </si>
  <si>
    <t>i</t>
  </si>
  <si>
    <t>Agreement signed 12/14/2014 - project completed</t>
  </si>
  <si>
    <r>
      <t>Lake Path Trail/JewEllsworth Trail Segment (Hamilton County Conservation Board)</t>
    </r>
    <r>
      <rPr>
        <vertAlign val="superscript"/>
        <sz val="10"/>
        <color indexed="8"/>
        <rFont val="Arial"/>
        <family val="2"/>
      </rPr>
      <t>i</t>
    </r>
  </si>
  <si>
    <t>Agreement signed 1/6/2015 - project completed</t>
  </si>
  <si>
    <r>
      <t>Mississippi River Trail - Pikes Peak Road to Guttenberg (Clayton County)</t>
    </r>
    <r>
      <rPr>
        <vertAlign val="superscript"/>
        <sz val="10"/>
        <color indexed="8"/>
        <rFont val="Arial"/>
        <family val="2"/>
      </rPr>
      <t>i</t>
    </r>
  </si>
  <si>
    <t>Agreement signed 8/31/2015 -project completed</t>
  </si>
  <si>
    <t>Agreement signed 7/11/2013 - project completed</t>
  </si>
  <si>
    <r>
      <t>Bluff Creek OHV Park Development Plan (Iowa DNR)</t>
    </r>
    <r>
      <rPr>
        <vertAlign val="superscript"/>
        <sz val="10"/>
        <rFont val="Arial"/>
        <family val="2"/>
      </rPr>
      <t>i</t>
    </r>
  </si>
  <si>
    <t>Agreement signed 5/05/2012 - project completed</t>
  </si>
  <si>
    <r>
      <t xml:space="preserve">Allamakee County Mississippi River Bike Trail (Allamakee County and Allamakee County Economic Development) </t>
    </r>
    <r>
      <rPr>
        <vertAlign val="superscript"/>
        <sz val="10"/>
        <rFont val="Arial"/>
        <family val="2"/>
      </rPr>
      <t>h</t>
    </r>
  </si>
  <si>
    <t>Agreement signed 3/9/2009 - project completed</t>
  </si>
  <si>
    <t>Agreement signed 9/5/2007 - project completed</t>
  </si>
  <si>
    <r>
      <t>Cemar Trail - Phase 2 (Cedar Rapids)</t>
    </r>
    <r>
      <rPr>
        <vertAlign val="superscript"/>
        <sz val="10"/>
        <rFont val="Arial"/>
        <family val="2"/>
      </rPr>
      <t>i</t>
    </r>
    <r>
      <rPr>
        <sz val="10"/>
        <rFont val="Arial"/>
        <family val="2"/>
      </rPr>
      <t xml:space="preserve"> </t>
    </r>
    <r>
      <rPr>
        <sz val="10"/>
        <color rgb="FFFF0000"/>
        <rFont val="Arial"/>
        <family val="2"/>
      </rPr>
      <t xml:space="preserve"> </t>
    </r>
  </si>
  <si>
    <t>Agreement signed 1/12/2010 - project completed</t>
  </si>
  <si>
    <t>a.  Direct Appropriation from Iowa Legislature</t>
  </si>
  <si>
    <t>b.  Funds obligated per Department of Transportation Commission Order</t>
  </si>
  <si>
    <t>f.   Identifies 2 Projects funded through $1 million existing historic trail bridges allocation that was part of the FY 2015 appropriation</t>
  </si>
  <si>
    <t>h.  Identifies 4 Project Underruns - Funding Balance Reallocated to SRT Projects in FY 2018 (includes underrun for 2010 Allamakee Co. project that was included in error)</t>
  </si>
  <si>
    <t>i.   Identifies 5 Project Underruns - Funding Balance Reallocated to SRT Projects in FY 2019 (total underun balance applied adjusted for amount included in FY 2018 in error)</t>
  </si>
  <si>
    <t>The FY 2019 SRT appropriation was for $1,000,000.  The total amount of SRT funding for projects listed in this report is over $1,300,000 as a result of awarding additional funding from previous project underruns.</t>
  </si>
  <si>
    <t xml:space="preserve">FY 2019 - Rebuild Iowa Infrastructure Fund </t>
  </si>
  <si>
    <t>Bus washer and HVAC system</t>
  </si>
  <si>
    <t>Awarded 8-1-2018</t>
  </si>
  <si>
    <t>Est. 7/9/20</t>
  </si>
  <si>
    <t>Update electrical system</t>
  </si>
  <si>
    <t>Est. 7/9/19</t>
  </si>
  <si>
    <t>Earlville new bus storage facility</t>
  </si>
  <si>
    <t>Security cameras and vehicle fuel system</t>
  </si>
  <si>
    <t>Ottumwa bus storage facility (partial funding --also see FY12, FY14, FY17, FY18)</t>
  </si>
  <si>
    <t>Ottumwa bus storage facility (partial funding --also see FY12, FY14, FY17,  FY19)</t>
  </si>
  <si>
    <t>Ottumwa bus storage facility (partial funding --also see FY12, FY 14, FY18, FY19)</t>
  </si>
  <si>
    <t>Ottumwa bus storage facility (partial funding --also see FY12, FY17, FY18, FY19)</t>
  </si>
  <si>
    <t>Ottumwa bus storage facility (partial funding --also see FY14, FY17, FY18, FY19)</t>
  </si>
  <si>
    <t>Federal Transit Funds 
Local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</si>
</sst>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0"/>
    <numFmt numFmtId="167" formatCode="_([$$-409]* #,##0_);_([$$-409]* \(#,##0\);_([$$-409]* &quot;-&quot;??_);_(@_)"/>
    <numFmt numFmtId="168" formatCode="[$$-409]#,##0_);\([$$-409]#,##0\)"/>
    <numFmt numFmtId="169" formatCode="_(&quot;$&quot;* #,##0.00_);_(&quot;$&quot;* \(#,##0.00\);_(&quot;$&quot;* &quot;-&quot;_);_(@_)"/>
    <numFmt numFmtId="170" formatCode="_(* #,##0_);_(* \(#,##0\);_(* &quot;-&quot;??_);_(@_)"/>
  </numFmts>
  <fonts count="35"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sz val="10"/>
      <name val="Arial"/>
    </font>
    <font>
      <b/>
      <sz val="10"/>
      <color indexed="8"/>
      <name val="Arial"/>
      <family val="2"/>
    </font>
    <font>
      <b/>
      <sz val="18"/>
      <name val="Arial"/>
      <family val="2"/>
    </font>
    <font>
      <b/>
      <sz val="12"/>
      <name val="Arial"/>
      <family val="2"/>
    </font>
    <font>
      <sz val="12"/>
      <name val="Arial"/>
      <family val="2"/>
    </font>
    <font>
      <sz val="10"/>
      <color indexed="8"/>
      <name val="Arial"/>
      <family val="2"/>
    </font>
    <font>
      <sz val="10"/>
      <color rgb="FF000000"/>
      <name val="Arial"/>
      <family val="2"/>
    </font>
    <font>
      <b/>
      <sz val="16"/>
      <name val="Arial"/>
      <family val="2"/>
    </font>
    <font>
      <strike/>
      <sz val="12"/>
      <name val="Arial"/>
      <family val="2"/>
    </font>
    <font>
      <b/>
      <sz val="14"/>
      <name val="Arial"/>
      <family val="2"/>
    </font>
    <font>
      <sz val="12"/>
      <name val="Arial"/>
    </font>
    <font>
      <b/>
      <sz val="11"/>
      <color theme="1"/>
      <name val="Calibri"/>
      <family val="2"/>
      <scheme val="minor"/>
    </font>
    <font>
      <sz val="18"/>
      <name val="Arial"/>
      <family val="2"/>
    </font>
    <font>
      <sz val="10"/>
      <color rgb="FFFF0000"/>
      <name val="Arial"/>
      <family val="2"/>
    </font>
    <font>
      <b/>
      <sz val="12"/>
      <color rgb="FF00B050"/>
      <name val="Arial"/>
      <family val="2"/>
    </font>
    <font>
      <sz val="12"/>
      <color rgb="FF00B050"/>
      <name val="Arial"/>
      <family val="2"/>
    </font>
    <font>
      <sz val="11"/>
      <name val="Calibri"/>
      <family val="2"/>
      <scheme val="minor"/>
    </font>
    <font>
      <sz val="9"/>
      <color rgb="FFC00000"/>
      <name val="Arial"/>
      <family val="2"/>
    </font>
    <font>
      <sz val="8"/>
      <color rgb="FFC00000"/>
      <name val="Arial"/>
      <family val="2"/>
    </font>
    <font>
      <b/>
      <strike/>
      <sz val="12"/>
      <name val="Arial"/>
      <family val="2"/>
    </font>
    <font>
      <vertAlign val="superscript"/>
      <sz val="10"/>
      <color indexed="8"/>
      <name val="Arial"/>
      <family val="2"/>
    </font>
    <font>
      <vertAlign val="superscript"/>
      <sz val="10"/>
      <name val="Arial"/>
      <family val="2"/>
    </font>
    <font>
      <sz val="10"/>
      <color theme="0" tint="-0.499984740745262"/>
      <name val="Arial"/>
      <family val="2"/>
    </font>
    <font>
      <sz val="12"/>
      <color theme="1"/>
      <name val="Arial"/>
      <family val="2"/>
    </font>
    <font>
      <sz val="11"/>
      <color theme="1"/>
      <name val="Calibri"/>
      <family val="2"/>
    </font>
    <font>
      <sz val="11"/>
      <name val="Arial"/>
      <family val="2"/>
    </font>
    <font>
      <b/>
      <vertAlign val="superscript"/>
      <sz val="10"/>
      <name val="Arial"/>
      <family val="2"/>
    </font>
    <font>
      <sz val="12"/>
      <name val="Calibri"/>
      <family val="2"/>
    </font>
    <font>
      <sz val="12"/>
      <color theme="1"/>
      <name val="Calibri"/>
      <family val="2"/>
    </font>
  </fonts>
  <fills count="9">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s>
  <cellStyleXfs count="17">
    <xf numFmtId="0" fontId="0" fillId="0" borderId="0"/>
    <xf numFmtId="44" fontId="6" fillId="0" borderId="0" applyFont="0" applyFill="0" applyBorder="0" applyAlignment="0" applyProtection="0"/>
    <xf numFmtId="0" fontId="3" fillId="0" borderId="0"/>
    <xf numFmtId="0" fontId="5" fillId="0" borderId="0"/>
    <xf numFmtId="0" fontId="3" fillId="0" borderId="0"/>
    <xf numFmtId="0" fontId="3" fillId="0" borderId="0" applyBorder="0"/>
    <xf numFmtId="0" fontId="11" fillId="0" borderId="0"/>
    <xf numFmtId="44" fontId="3" fillId="0" borderId="0" applyFont="0" applyFill="0" applyBorder="0" applyAlignment="0" applyProtection="0"/>
    <xf numFmtId="0" fontId="10" fillId="0" borderId="0"/>
    <xf numFmtId="0" fontId="3" fillId="0" borderId="0" applyBorder="0"/>
    <xf numFmtId="43" fontId="6" fillId="0" borderId="0" applyFont="0" applyFill="0" applyBorder="0" applyAlignment="0" applyProtection="0"/>
    <xf numFmtId="0" fontId="3" fillId="0" borderId="0"/>
    <xf numFmtId="0" fontId="16" fillId="0" borderId="0"/>
    <xf numFmtId="44" fontId="3" fillId="0" borderId="0" applyFont="0" applyFill="0" applyBorder="0" applyAlignment="0" applyProtection="0"/>
    <xf numFmtId="0" fontId="2" fillId="0" borderId="0"/>
    <xf numFmtId="44" fontId="6" fillId="0" borderId="0" applyFont="0" applyFill="0" applyBorder="0" applyAlignment="0" applyProtection="0"/>
    <xf numFmtId="0" fontId="1" fillId="0" borderId="0"/>
  </cellStyleXfs>
  <cellXfs count="637">
    <xf numFmtId="0" fontId="0" fillId="0" borderId="0" xfId="0"/>
    <xf numFmtId="0" fontId="0" fillId="0" borderId="0" xfId="0" applyAlignment="1">
      <alignment wrapText="1"/>
    </xf>
    <xf numFmtId="0" fontId="0" fillId="0" borderId="1" xfId="0" applyBorder="1" applyAlignment="1">
      <alignment wrapText="1"/>
    </xf>
    <xf numFmtId="0" fontId="0" fillId="0" borderId="0" xfId="0" applyFill="1"/>
    <xf numFmtId="0" fontId="4" fillId="0" borderId="0" xfId="0" applyFont="1" applyAlignment="1">
      <alignment horizontal="right" wrapText="1"/>
    </xf>
    <xf numFmtId="165" fontId="4" fillId="0" borderId="0" xfId="0" applyNumberFormat="1" applyFont="1" applyAlignment="1">
      <alignment horizontal="left" wrapText="1"/>
    </xf>
    <xf numFmtId="165" fontId="4" fillId="0" borderId="0" xfId="0" applyNumberFormat="1" applyFont="1" applyAlignment="1">
      <alignment horizontal="right" wrapText="1"/>
    </xf>
    <xf numFmtId="164" fontId="4" fillId="3" borderId="3" xfId="0" applyNumberFormat="1" applyFont="1" applyFill="1" applyBorder="1" applyAlignment="1">
      <alignment horizontal="left" wrapText="1"/>
    </xf>
    <xf numFmtId="164" fontId="4" fillId="3" borderId="2" xfId="0" applyNumberFormat="1" applyFont="1" applyFill="1" applyBorder="1" applyAlignment="1">
      <alignment horizontal="right" wrapText="1"/>
    </xf>
    <xf numFmtId="164" fontId="4" fillId="3" borderId="1" xfId="0" applyNumberFormat="1" applyFont="1" applyFill="1" applyBorder="1" applyAlignment="1">
      <alignment horizontal="right" wrapText="1"/>
    </xf>
    <xf numFmtId="0" fontId="0" fillId="0" borderId="1" xfId="0" applyFill="1" applyBorder="1" applyAlignment="1">
      <alignment wrapText="1"/>
    </xf>
    <xf numFmtId="0" fontId="3" fillId="0" borderId="1" xfId="0" applyFont="1" applyBorder="1" applyAlignment="1">
      <alignment wrapText="1"/>
    </xf>
    <xf numFmtId="14" fontId="3" fillId="3" borderId="1" xfId="0" applyNumberFormat="1" applyFont="1" applyFill="1" applyBorder="1" applyAlignment="1">
      <alignment horizontal="center" wrapText="1"/>
    </xf>
    <xf numFmtId="0" fontId="3" fillId="0" borderId="1" xfId="0" applyFont="1" applyFill="1" applyBorder="1" applyAlignment="1">
      <alignment wrapText="1"/>
    </xf>
    <xf numFmtId="0" fontId="7" fillId="2" borderId="1" xfId="3" applyFont="1" applyFill="1" applyBorder="1" applyAlignment="1">
      <alignment horizontal="center" wrapText="1"/>
    </xf>
    <xf numFmtId="0" fontId="8" fillId="0" borderId="0" xfId="0" applyFont="1" applyAlignment="1">
      <alignment vertical="center"/>
    </xf>
    <xf numFmtId="0" fontId="3" fillId="2" borderId="1" xfId="5" applyFont="1" applyFill="1" applyBorder="1" applyAlignment="1">
      <alignment horizontal="left" vertical="center"/>
    </xf>
    <xf numFmtId="0" fontId="3" fillId="2" borderId="1" xfId="5" applyFont="1" applyFill="1" applyBorder="1" applyAlignment="1">
      <alignment horizontal="left" vertical="center" wrapText="1"/>
    </xf>
    <xf numFmtId="164" fontId="3" fillId="2" borderId="1" xfId="5" applyNumberFormat="1" applyFont="1" applyFill="1" applyBorder="1" applyAlignment="1">
      <alignment horizontal="center" vertical="center" wrapText="1"/>
    </xf>
    <xf numFmtId="44" fontId="3" fillId="2" borderId="1" xfId="5" applyNumberFormat="1" applyFont="1" applyFill="1" applyBorder="1" applyAlignment="1">
      <alignment horizontal="center" vertical="center" wrapText="1"/>
    </xf>
    <xf numFmtId="0" fontId="10" fillId="0" borderId="0" xfId="5" applyFont="1" applyAlignment="1">
      <alignment horizontal="center" vertical="center"/>
    </xf>
    <xf numFmtId="164" fontId="3" fillId="0" borderId="1" xfId="0" applyNumberFormat="1" applyFont="1" applyFill="1" applyBorder="1" applyAlignment="1">
      <alignment horizontal="center" vertical="center"/>
    </xf>
    <xf numFmtId="14" fontId="3" fillId="0" borderId="1" xfId="0" applyNumberFormat="1" applyFont="1" applyBorder="1" applyAlignment="1">
      <alignment horizontal="center" vertical="center"/>
    </xf>
    <xf numFmtId="0" fontId="10" fillId="0" borderId="0" xfId="0" applyFont="1" applyAlignment="1">
      <alignment vertical="center"/>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xf>
    <xf numFmtId="14" fontId="0" fillId="0" borderId="1" xfId="0" applyNumberFormat="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right" vertical="center" wrapText="1"/>
    </xf>
    <xf numFmtId="164" fontId="3" fillId="2" borderId="1" xfId="0" applyNumberFormat="1" applyFont="1" applyFill="1" applyBorder="1" applyAlignment="1">
      <alignment horizontal="center" vertical="center"/>
    </xf>
    <xf numFmtId="164" fontId="3" fillId="2" borderId="1" xfId="7"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0" xfId="5" applyFont="1" applyAlignment="1">
      <alignment horizontal="left" vertical="center"/>
    </xf>
    <xf numFmtId="0" fontId="3" fillId="0" borderId="0" xfId="5" applyFont="1" applyAlignment="1">
      <alignment horizontal="left" vertical="center" wrapText="1"/>
    </xf>
    <xf numFmtId="164" fontId="3" fillId="0" borderId="0" xfId="5" applyNumberFormat="1" applyFont="1" applyAlignment="1">
      <alignment horizontal="center" vertical="center"/>
    </xf>
    <xf numFmtId="164" fontId="3" fillId="0" borderId="0" xfId="5" applyNumberFormat="1" applyFont="1" applyAlignment="1">
      <alignment horizontal="center" vertical="center" wrapText="1"/>
    </xf>
    <xf numFmtId="44" fontId="3" fillId="0" borderId="0" xfId="5" applyNumberFormat="1" applyFont="1" applyAlignment="1">
      <alignment horizontal="center" vertical="center" wrapText="1"/>
    </xf>
    <xf numFmtId="0" fontId="3" fillId="0" borderId="0" xfId="5" applyFont="1" applyAlignment="1">
      <alignment horizontal="center" vertical="center"/>
    </xf>
    <xf numFmtId="0" fontId="3" fillId="0" borderId="1" xfId="0" applyFont="1" applyFill="1" applyBorder="1" applyAlignment="1">
      <alignment vertical="center" wrapText="1"/>
    </xf>
    <xf numFmtId="44" fontId="3" fillId="0" borderId="1" xfId="0" applyNumberFormat="1" applyFont="1" applyBorder="1" applyAlignment="1">
      <alignment horizontal="center" vertical="center" wrapText="1"/>
    </xf>
    <xf numFmtId="0" fontId="3" fillId="2" borderId="1" xfId="5" applyFont="1" applyFill="1" applyBorder="1" applyAlignment="1">
      <alignment horizontal="center" vertical="center"/>
    </xf>
    <xf numFmtId="164" fontId="3" fillId="0" borderId="1" xfId="0" applyNumberFormat="1" applyFont="1" applyBorder="1" applyAlignment="1">
      <alignment horizontal="center" vertical="center" wrapText="1"/>
    </xf>
    <xf numFmtId="164" fontId="3" fillId="2" borderId="1" xfId="5" applyNumberFormat="1" applyFont="1" applyFill="1" applyBorder="1" applyAlignment="1">
      <alignment horizontal="center" vertical="center"/>
    </xf>
    <xf numFmtId="164" fontId="3" fillId="2" borderId="1" xfId="5" applyNumberFormat="1" applyFont="1" applyFill="1" applyBorder="1" applyAlignment="1">
      <alignment horizontal="right" vertical="center"/>
    </xf>
    <xf numFmtId="44" fontId="3" fillId="2" borderId="1" xfId="5" applyNumberFormat="1" applyFont="1" applyFill="1" applyBorder="1" applyAlignment="1">
      <alignment horizontal="left" vertical="center" wrapText="1"/>
    </xf>
    <xf numFmtId="164" fontId="10" fillId="2" borderId="1" xfId="5" applyNumberFormat="1" applyFont="1" applyFill="1" applyBorder="1" applyAlignment="1">
      <alignment horizontal="center" vertical="center" wrapText="1"/>
    </xf>
    <xf numFmtId="44" fontId="10" fillId="2" borderId="1" xfId="5" applyNumberFormat="1"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64" fontId="9" fillId="0" borderId="1" xfId="0" applyNumberFormat="1" applyFont="1" applyBorder="1" applyAlignment="1">
      <alignment vertical="center"/>
    </xf>
    <xf numFmtId="164" fontId="10" fillId="0" borderId="1" xfId="0" applyNumberFormat="1" applyFont="1" applyBorder="1" applyAlignment="1">
      <alignment vertical="center"/>
    </xf>
    <xf numFmtId="0" fontId="9"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left" vertical="center"/>
    </xf>
    <xf numFmtId="164" fontId="10" fillId="0" borderId="1" xfId="2" applyNumberFormat="1" applyFont="1" applyBorder="1" applyAlignment="1">
      <alignment vertical="center"/>
    </xf>
    <xf numFmtId="6" fontId="10" fillId="0" borderId="1" xfId="0" applyNumberFormat="1" applyFont="1" applyFill="1" applyBorder="1" applyAlignment="1">
      <alignment horizontal="center" vertical="center" wrapText="1"/>
    </xf>
    <xf numFmtId="6" fontId="10" fillId="0" borderId="1" xfId="2" applyNumberFormat="1" applyFont="1" applyBorder="1" applyAlignment="1">
      <alignment vertical="center"/>
    </xf>
    <xf numFmtId="6" fontId="10" fillId="0" borderId="1" xfId="0" applyNumberFormat="1" applyFont="1" applyBorder="1" applyAlignment="1">
      <alignment vertical="center"/>
    </xf>
    <xf numFmtId="1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164" fontId="10" fillId="0" borderId="1" xfId="0" applyNumberFormat="1" applyFont="1" applyFill="1" applyBorder="1" applyAlignment="1">
      <alignment vertical="center"/>
    </xf>
    <xf numFmtId="0" fontId="10" fillId="0" borderId="1" xfId="0" applyFont="1" applyFill="1" applyBorder="1" applyAlignment="1">
      <alignment vertical="center"/>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6" xfId="0" applyFont="1" applyBorder="1" applyAlignment="1">
      <alignment vertical="center" wrapText="1"/>
    </xf>
    <xf numFmtId="6"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0" fontId="9" fillId="5" borderId="1" xfId="0" applyFont="1" applyFill="1" applyBorder="1" applyAlignment="1">
      <alignment horizontal="left" vertical="center" wrapText="1"/>
    </xf>
    <xf numFmtId="0" fontId="10" fillId="6" borderId="0" xfId="0" applyFont="1" applyFill="1" applyAlignment="1">
      <alignment horizontal="center" vertical="center" wrapText="1"/>
    </xf>
    <xf numFmtId="0" fontId="10" fillId="6" borderId="0" xfId="0" applyFont="1" applyFill="1" applyAlignment="1">
      <alignment horizontal="center" vertical="center"/>
    </xf>
    <xf numFmtId="164" fontId="10" fillId="6" borderId="0" xfId="0" applyNumberFormat="1" applyFont="1" applyFill="1" applyAlignment="1">
      <alignment vertical="center"/>
    </xf>
    <xf numFmtId="0" fontId="10" fillId="6" borderId="1" xfId="0" applyFont="1" applyFill="1" applyBorder="1" applyAlignment="1">
      <alignment horizontal="lef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164" fontId="10" fillId="0" borderId="0" xfId="0" applyNumberFormat="1" applyFont="1" applyBorder="1" applyAlignment="1">
      <alignment vertical="center"/>
    </xf>
    <xf numFmtId="164" fontId="10" fillId="0" borderId="0" xfId="0" applyNumberFormat="1" applyFont="1" applyBorder="1"/>
    <xf numFmtId="0" fontId="10" fillId="0" borderId="0" xfId="0" applyFont="1" applyBorder="1" applyAlignment="1">
      <alignment horizontal="center" wrapText="1"/>
    </xf>
    <xf numFmtId="0" fontId="10" fillId="0" borderId="0" xfId="0" applyFont="1" applyBorder="1" applyAlignment="1">
      <alignment wrapText="1"/>
    </xf>
    <xf numFmtId="0" fontId="10" fillId="0" borderId="0" xfId="0" applyFont="1" applyBorder="1" applyAlignment="1">
      <alignment horizontal="left" vertical="center"/>
    </xf>
    <xf numFmtId="164" fontId="10" fillId="0" borderId="1" xfId="0" applyNumberFormat="1" applyFont="1" applyBorder="1"/>
    <xf numFmtId="0" fontId="10" fillId="0" borderId="1" xfId="0" applyFont="1" applyBorder="1" applyAlignment="1">
      <alignment horizontal="center" wrapText="1"/>
    </xf>
    <xf numFmtId="0" fontId="9" fillId="0" borderId="1" xfId="0" applyFont="1" applyBorder="1" applyAlignment="1">
      <alignment vertical="center" wrapText="1"/>
    </xf>
    <xf numFmtId="0" fontId="10" fillId="0" borderId="1" xfId="0" applyFont="1" applyBorder="1" applyAlignment="1">
      <alignment wrapText="1"/>
    </xf>
    <xf numFmtId="6" fontId="10" fillId="0" borderId="5" xfId="0" applyNumberFormat="1" applyFont="1" applyFill="1" applyBorder="1" applyAlignment="1">
      <alignment horizontal="center" vertical="center" wrapText="1"/>
    </xf>
    <xf numFmtId="164" fontId="10" fillId="0" borderId="5" xfId="0" applyNumberFormat="1" applyFont="1" applyFill="1" applyBorder="1" applyAlignment="1">
      <alignment vertical="center"/>
    </xf>
    <xf numFmtId="0" fontId="10" fillId="0" borderId="1" xfId="8" applyFont="1" applyFill="1" applyBorder="1" applyAlignment="1">
      <alignment vertical="center" wrapText="1"/>
    </xf>
    <xf numFmtId="0" fontId="10" fillId="0" borderId="1" xfId="8" applyFont="1" applyFill="1" applyBorder="1" applyAlignment="1">
      <alignment horizontal="left" vertical="center"/>
    </xf>
    <xf numFmtId="0" fontId="10" fillId="0" borderId="5" xfId="0" applyFont="1" applyFill="1" applyBorder="1" applyAlignment="1">
      <alignment horizontal="left" vertical="center" wrapText="1"/>
    </xf>
    <xf numFmtId="14" fontId="10" fillId="0" borderId="1" xfId="0" applyNumberFormat="1" applyFont="1" applyFill="1" applyBorder="1" applyAlignment="1">
      <alignment horizontal="right" vertical="center" wrapText="1"/>
    </xf>
    <xf numFmtId="14" fontId="10" fillId="0" borderId="1" xfId="0" applyNumberFormat="1" applyFont="1" applyFill="1" applyBorder="1" applyAlignment="1">
      <alignment horizontal="right" vertical="center"/>
    </xf>
    <xf numFmtId="6" fontId="10" fillId="0" borderId="1" xfId="0" applyNumberFormat="1" applyFont="1" applyFill="1" applyBorder="1" applyAlignment="1">
      <alignment vertical="center"/>
    </xf>
    <xf numFmtId="49" fontId="14" fillId="0" borderId="1" xfId="0" applyNumberFormat="1" applyFont="1" applyFill="1" applyBorder="1" applyAlignment="1">
      <alignment horizontal="right" vertical="center"/>
    </xf>
    <xf numFmtId="0" fontId="14" fillId="0" borderId="1" xfId="0" applyFont="1" applyFill="1" applyBorder="1" applyAlignment="1">
      <alignment vertical="center"/>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164" fontId="9" fillId="6" borderId="0" xfId="0" applyNumberFormat="1" applyFont="1" applyFill="1" applyAlignment="1">
      <alignment horizontal="center" vertical="center" wrapText="1"/>
    </xf>
    <xf numFmtId="14" fontId="10" fillId="0" borderId="0" xfId="0" applyNumberFormat="1" applyFont="1" applyFill="1" applyBorder="1" applyAlignment="1">
      <alignment horizontal="center" vertical="center"/>
    </xf>
    <xf numFmtId="6" fontId="10" fillId="0" borderId="0" xfId="0" applyNumberFormat="1" applyFont="1" applyFill="1" applyBorder="1" applyAlignment="1">
      <alignment horizontal="center" vertical="center" wrapText="1"/>
    </xf>
    <xf numFmtId="6" fontId="10" fillId="0" borderId="0" xfId="0" applyNumberFormat="1" applyFont="1" applyBorder="1" applyAlignment="1">
      <alignment vertical="center"/>
    </xf>
    <xf numFmtId="0" fontId="10" fillId="0" borderId="0" xfId="0" applyFont="1" applyBorder="1" applyAlignment="1">
      <alignment vertical="center" wrapText="1"/>
    </xf>
    <xf numFmtId="6" fontId="9" fillId="0" borderId="1" xfId="0" applyNumberFormat="1" applyFont="1" applyBorder="1" applyAlignment="1">
      <alignment vertical="center"/>
    </xf>
    <xf numFmtId="0" fontId="10" fillId="0" borderId="5" xfId="0" applyFont="1" applyFill="1" applyBorder="1" applyAlignment="1">
      <alignment vertical="center" wrapText="1"/>
    </xf>
    <xf numFmtId="0" fontId="10" fillId="0" borderId="5" xfId="0" applyFont="1" applyFill="1" applyBorder="1" applyAlignment="1">
      <alignment horizontal="left" vertical="center"/>
    </xf>
    <xf numFmtId="6" fontId="10" fillId="0" borderId="5" xfId="0" applyNumberFormat="1" applyFont="1" applyFill="1" applyBorder="1" applyAlignment="1">
      <alignment vertical="center"/>
    </xf>
    <xf numFmtId="0" fontId="10" fillId="0" borderId="0" xfId="8" applyFont="1" applyFill="1" applyAlignment="1">
      <alignment vertical="center" wrapText="1"/>
    </xf>
    <xf numFmtId="164" fontId="10" fillId="6" borderId="0" xfId="0" applyNumberFormat="1" applyFont="1" applyFill="1"/>
    <xf numFmtId="0" fontId="10" fillId="6" borderId="6" xfId="0" applyFont="1" applyFill="1" applyBorder="1" applyAlignment="1">
      <alignment horizontal="center" vertical="center" wrapText="1"/>
    </xf>
    <xf numFmtId="0" fontId="10" fillId="6" borderId="6" xfId="0" applyFont="1" applyFill="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164" fontId="9" fillId="0" borderId="1" xfId="0" applyNumberFormat="1" applyFont="1" applyBorder="1" applyAlignment="1">
      <alignment horizontal="center"/>
    </xf>
    <xf numFmtId="0" fontId="9" fillId="0" borderId="1" xfId="0" applyFont="1" applyBorder="1"/>
    <xf numFmtId="0" fontId="9" fillId="0" borderId="1" xfId="0" applyFont="1" applyBorder="1" applyAlignment="1">
      <alignment horizontal="center" wrapText="1"/>
    </xf>
    <xf numFmtId="6" fontId="10" fillId="0" borderId="1" xfId="0" applyNumberFormat="1" applyFont="1" applyFill="1" applyBorder="1" applyAlignment="1">
      <alignment horizontal="center" wrapText="1"/>
    </xf>
    <xf numFmtId="0" fontId="9" fillId="5" borderId="1" xfId="0" applyFont="1" applyFill="1" applyBorder="1" applyAlignment="1">
      <alignment horizontal="center" wrapText="1"/>
    </xf>
    <xf numFmtId="164" fontId="10" fillId="0" borderId="1" xfId="8" applyNumberFormat="1" applyFont="1" applyFill="1" applyBorder="1" applyAlignment="1">
      <alignment horizontal="right" vertical="center"/>
    </xf>
    <xf numFmtId="6" fontId="10" fillId="0" borderId="1" xfId="2" applyNumberFormat="1" applyFont="1" applyFill="1" applyBorder="1" applyAlignment="1">
      <alignment horizontal="right" vertical="center"/>
    </xf>
    <xf numFmtId="6" fontId="3" fillId="0" borderId="1" xfId="0" applyNumberFormat="1" applyFont="1" applyFill="1" applyBorder="1" applyAlignment="1">
      <alignment horizontal="center" wrapText="1"/>
    </xf>
    <xf numFmtId="6" fontId="3" fillId="0" borderId="1" xfId="0" applyNumberFormat="1" applyFont="1" applyFill="1" applyBorder="1" applyAlignment="1">
      <alignment horizontal="center" vertical="center" wrapText="1"/>
    </xf>
    <xf numFmtId="0" fontId="10" fillId="0" borderId="1" xfId="8" applyFont="1" applyFill="1" applyBorder="1" applyAlignment="1">
      <alignment vertical="center"/>
    </xf>
    <xf numFmtId="0" fontId="10" fillId="2" borderId="6" xfId="5" applyFont="1" applyFill="1" applyBorder="1" applyAlignment="1">
      <alignment horizontal="center" vertical="center"/>
    </xf>
    <xf numFmtId="0" fontId="10" fillId="2" borderId="6" xfId="5" applyFont="1" applyFill="1" applyBorder="1" applyAlignment="1">
      <alignment horizontal="center" vertical="center" wrapText="1"/>
    </xf>
    <xf numFmtId="164" fontId="10" fillId="2" borderId="6" xfId="5" applyNumberFormat="1" applyFont="1" applyFill="1" applyBorder="1" applyAlignment="1">
      <alignment horizontal="center" vertical="center" wrapText="1"/>
    </xf>
    <xf numFmtId="44" fontId="10" fillId="2" borderId="6" xfId="5" applyNumberFormat="1" applyFont="1" applyFill="1" applyBorder="1" applyAlignment="1">
      <alignment horizontal="center" vertical="center" wrapText="1"/>
    </xf>
    <xf numFmtId="0" fontId="0" fillId="0" borderId="1" xfId="0" applyBorder="1"/>
    <xf numFmtId="6" fontId="0" fillId="0" borderId="1" xfId="0" applyNumberFormat="1" applyBorder="1"/>
    <xf numFmtId="14" fontId="0" fillId="0" borderId="1" xfId="0" applyNumberFormat="1" applyBorder="1"/>
    <xf numFmtId="0" fontId="0" fillId="7" borderId="1" xfId="0" applyFill="1" applyBorder="1"/>
    <xf numFmtId="165" fontId="0" fillId="7" borderId="1" xfId="0" applyNumberFormat="1" applyFill="1" applyBorder="1"/>
    <xf numFmtId="0" fontId="3" fillId="0" borderId="0" xfId="0" applyFont="1"/>
    <xf numFmtId="0" fontId="0" fillId="0" borderId="0" xfId="0" applyAlignment="1">
      <alignment horizontal="center" vertical="center"/>
    </xf>
    <xf numFmtId="0" fontId="10" fillId="2" borderId="1" xfId="5" applyFont="1" applyFill="1" applyBorder="1" applyAlignment="1">
      <alignment horizontal="center" vertical="center" wrapText="1"/>
    </xf>
    <xf numFmtId="166" fontId="0" fillId="0" borderId="1" xfId="7" applyNumberFormat="1" applyFont="1" applyBorder="1"/>
    <xf numFmtId="166" fontId="3" fillId="0" borderId="1" xfId="7" applyNumberFormat="1" applyFont="1" applyBorder="1"/>
    <xf numFmtId="14" fontId="0" fillId="0" borderId="1" xfId="0" applyNumberFormat="1" applyBorder="1" applyAlignment="1">
      <alignment horizontal="center"/>
    </xf>
    <xf numFmtId="14" fontId="3" fillId="0" borderId="1" xfId="0" applyNumberFormat="1" applyFont="1" applyBorder="1" applyAlignment="1">
      <alignment horizontal="center"/>
    </xf>
    <xf numFmtId="0" fontId="0" fillId="7" borderId="1" xfId="0" applyFill="1" applyBorder="1" applyAlignment="1">
      <alignment wrapText="1"/>
    </xf>
    <xf numFmtId="166" fontId="0" fillId="7" borderId="1" xfId="0" applyNumberFormat="1" applyFill="1" applyBorder="1"/>
    <xf numFmtId="164" fontId="0" fillId="0" borderId="1" xfId="7" applyNumberFormat="1" applyFont="1" applyBorder="1"/>
    <xf numFmtId="165" fontId="0" fillId="0" borderId="1" xfId="7" applyNumberFormat="1" applyFont="1" applyBorder="1"/>
    <xf numFmtId="167" fontId="0" fillId="0" borderId="1" xfId="7" applyNumberFormat="1" applyFont="1" applyBorder="1"/>
    <xf numFmtId="164" fontId="0" fillId="0" borderId="0" xfId="0" applyNumberFormat="1"/>
    <xf numFmtId="164" fontId="3" fillId="0" borderId="1" xfId="7" applyNumberFormat="1" applyFont="1" applyBorder="1"/>
    <xf numFmtId="164" fontId="0" fillId="7" borderId="1" xfId="0" applyNumberFormat="1" applyFill="1" applyBorder="1"/>
    <xf numFmtId="5" fontId="0" fillId="0" borderId="1" xfId="7" applyNumberFormat="1" applyFont="1" applyBorder="1"/>
    <xf numFmtId="6" fontId="3" fillId="0" borderId="1" xfId="0" applyNumberFormat="1" applyFont="1" applyBorder="1"/>
    <xf numFmtId="165" fontId="3" fillId="7" borderId="1" xfId="7" applyNumberFormat="1" applyFont="1" applyFill="1" applyBorder="1"/>
    <xf numFmtId="0" fontId="10" fillId="2" borderId="1" xfId="5" applyFont="1" applyFill="1" applyBorder="1" applyAlignment="1">
      <alignment horizontal="center" vertical="center"/>
    </xf>
    <xf numFmtId="0" fontId="10" fillId="2" borderId="0" xfId="5" applyFont="1" applyFill="1" applyAlignment="1">
      <alignment horizontal="center" vertical="center"/>
    </xf>
    <xf numFmtId="164" fontId="10" fillId="2" borderId="1" xfId="5" applyNumberFormat="1" applyFont="1" applyFill="1" applyBorder="1" applyAlignment="1">
      <alignment vertical="center"/>
    </xf>
    <xf numFmtId="164" fontId="10" fillId="2" borderId="1" xfId="5" applyNumberFormat="1" applyFont="1" applyFill="1" applyBorder="1" applyAlignment="1">
      <alignment horizontal="right" vertical="center"/>
    </xf>
    <xf numFmtId="44" fontId="10" fillId="2" borderId="1" xfId="5" applyNumberFormat="1" applyFont="1" applyFill="1" applyBorder="1" applyAlignment="1">
      <alignment horizontal="left" vertical="center" wrapText="1"/>
    </xf>
    <xf numFmtId="164" fontId="10" fillId="2" borderId="1" xfId="5" applyNumberFormat="1" applyFont="1" applyFill="1" applyBorder="1" applyAlignment="1">
      <alignment vertical="center" wrapText="1"/>
    </xf>
    <xf numFmtId="164" fontId="3" fillId="0" borderId="0" xfId="5" applyNumberFormat="1" applyFont="1" applyAlignment="1">
      <alignment vertical="center"/>
    </xf>
    <xf numFmtId="164" fontId="3" fillId="0" borderId="0" xfId="5" applyNumberFormat="1" applyFont="1" applyAlignment="1">
      <alignment horizontal="right" vertical="center"/>
    </xf>
    <xf numFmtId="44" fontId="3" fillId="0" borderId="0" xfId="5" applyNumberFormat="1" applyFont="1" applyAlignment="1">
      <alignment horizontal="left" vertical="center" wrapText="1"/>
    </xf>
    <xf numFmtId="0" fontId="0" fillId="2" borderId="1" xfId="0" applyFill="1" applyBorder="1" applyAlignment="1">
      <alignment horizontal="center" wrapText="1"/>
    </xf>
    <xf numFmtId="164" fontId="0" fillId="2" borderId="1" xfId="0" applyNumberFormat="1" applyFill="1" applyBorder="1" applyAlignment="1">
      <alignment horizontal="center" wrapText="1"/>
    </xf>
    <xf numFmtId="0" fontId="0" fillId="0" borderId="1" xfId="0" applyBorder="1" applyAlignment="1">
      <alignment vertical="center" wrapText="1"/>
    </xf>
    <xf numFmtId="164" fontId="0" fillId="0" borderId="1" xfId="0" applyNumberFormat="1" applyBorder="1" applyAlignment="1">
      <alignment vertical="center"/>
    </xf>
    <xf numFmtId="164" fontId="0" fillId="0" borderId="1" xfId="0" applyNumberFormat="1" applyBorder="1" applyAlignment="1">
      <alignment horizontal="center" vertical="center" wrapText="1"/>
    </xf>
    <xf numFmtId="164" fontId="3" fillId="0" borderId="1" xfId="0" applyNumberFormat="1" applyFont="1" applyBorder="1" applyAlignment="1">
      <alignment vertical="center"/>
    </xf>
    <xf numFmtId="0" fontId="3" fillId="0" borderId="1" xfId="0" applyFont="1" applyFill="1" applyBorder="1" applyAlignment="1">
      <alignment vertical="center"/>
    </xf>
    <xf numFmtId="164" fontId="3" fillId="0" borderId="1" xfId="0" applyNumberFormat="1" applyFont="1" applyFill="1" applyBorder="1" applyAlignment="1">
      <alignment horizontal="right" vertical="center" wrapText="1"/>
    </xf>
    <xf numFmtId="164" fontId="0" fillId="0" borderId="1" xfId="0" applyNumberFormat="1" applyFill="1" applyBorder="1" applyAlignment="1">
      <alignment vertical="center"/>
    </xf>
    <xf numFmtId="164" fontId="3" fillId="2" borderId="1" xfId="5" applyNumberFormat="1" applyFont="1" applyFill="1" applyBorder="1" applyAlignment="1">
      <alignment vertical="center"/>
    </xf>
    <xf numFmtId="164" fontId="0" fillId="0" borderId="0" xfId="0" applyNumberFormat="1" applyAlignment="1">
      <alignment horizontal="center" wrapText="1"/>
    </xf>
    <xf numFmtId="14" fontId="0" fillId="0" borderId="0" xfId="0" applyNumberFormat="1"/>
    <xf numFmtId="14" fontId="0" fillId="0" borderId="10" xfId="0" applyNumberFormat="1" applyBorder="1" applyAlignment="1">
      <alignment horizontal="center" vertical="center"/>
    </xf>
    <xf numFmtId="0" fontId="0" fillId="2" borderId="1" xfId="0" applyFill="1" applyBorder="1" applyAlignment="1">
      <alignment vertical="center" wrapText="1"/>
    </xf>
    <xf numFmtId="164" fontId="0" fillId="2" borderId="1" xfId="0" applyNumberFormat="1" applyFill="1" applyBorder="1" applyAlignment="1">
      <alignment vertical="center"/>
    </xf>
    <xf numFmtId="164" fontId="0" fillId="2" borderId="1" xfId="0" applyNumberFormat="1" applyFill="1" applyBorder="1" applyAlignment="1">
      <alignment horizontal="center" vertical="center" wrapText="1"/>
    </xf>
    <xf numFmtId="14" fontId="0" fillId="2" borderId="1" xfId="0" applyNumberFormat="1" applyFill="1" applyBorder="1" applyAlignment="1">
      <alignment vertical="center"/>
    </xf>
    <xf numFmtId="0" fontId="10" fillId="2" borderId="1" xfId="9" applyFont="1" applyFill="1" applyBorder="1" applyAlignment="1">
      <alignment horizontal="center" vertical="center" wrapText="1"/>
    </xf>
    <xf numFmtId="164" fontId="10" fillId="2" borderId="1" xfId="9" applyNumberFormat="1" applyFont="1" applyFill="1" applyBorder="1" applyAlignment="1">
      <alignment horizontal="center" vertical="center" wrapText="1"/>
    </xf>
    <xf numFmtId="44" fontId="10" fillId="2" borderId="1" xfId="9" applyNumberFormat="1" applyFont="1" applyFill="1" applyBorder="1" applyAlignment="1">
      <alignment horizontal="center" vertical="center" wrapText="1"/>
    </xf>
    <xf numFmtId="0" fontId="10" fillId="2" borderId="1" xfId="9" applyFont="1" applyFill="1" applyBorder="1" applyAlignment="1">
      <alignment horizontal="center" vertical="center"/>
    </xf>
    <xf numFmtId="42" fontId="10" fillId="2" borderId="1" xfId="9" applyNumberFormat="1" applyFont="1" applyFill="1" applyBorder="1" applyAlignment="1">
      <alignment vertical="center"/>
    </xf>
    <xf numFmtId="42" fontId="10" fillId="2" borderId="1" xfId="9" applyNumberFormat="1" applyFont="1" applyFill="1" applyBorder="1" applyAlignment="1">
      <alignment horizontal="right" vertical="center"/>
    </xf>
    <xf numFmtId="44" fontId="10" fillId="2" borderId="1" xfId="9" applyNumberFormat="1" applyFont="1" applyFill="1" applyBorder="1" applyAlignment="1">
      <alignment horizontal="left" vertical="center" wrapText="1"/>
    </xf>
    <xf numFmtId="0" fontId="10" fillId="4" borderId="4" xfId="9" applyFont="1" applyFill="1" applyBorder="1" applyAlignment="1">
      <alignment horizontal="center" vertical="center"/>
    </xf>
    <xf numFmtId="42" fontId="10" fillId="4" borderId="4" xfId="9" applyNumberFormat="1" applyFont="1" applyFill="1" applyBorder="1" applyAlignment="1">
      <alignment vertical="center"/>
    </xf>
    <xf numFmtId="164" fontId="10" fillId="4" borderId="4" xfId="9" applyNumberFormat="1" applyFont="1" applyFill="1" applyBorder="1" applyAlignment="1">
      <alignment horizontal="center" vertical="center" wrapText="1"/>
    </xf>
    <xf numFmtId="42" fontId="10" fillId="4" borderId="4" xfId="9" applyNumberFormat="1" applyFont="1" applyFill="1" applyBorder="1" applyAlignment="1">
      <alignment horizontal="right" vertical="center"/>
    </xf>
    <xf numFmtId="44" fontId="10" fillId="4" borderId="4" xfId="9" applyNumberFormat="1" applyFont="1" applyFill="1" applyBorder="1" applyAlignment="1">
      <alignment horizontal="left" vertical="center" wrapText="1"/>
    </xf>
    <xf numFmtId="44" fontId="10" fillId="4" borderId="4" xfId="9" applyNumberFormat="1"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6" xfId="0" applyFont="1" applyFill="1" applyBorder="1" applyAlignment="1">
      <alignment horizontal="right" vertical="center" wrapText="1"/>
    </xf>
    <xf numFmtId="164" fontId="3" fillId="2" borderId="6"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center" wrapText="1"/>
    </xf>
    <xf numFmtId="0" fontId="3" fillId="0" borderId="0" xfId="0" applyFont="1" applyAlignment="1">
      <alignment horizontal="left"/>
    </xf>
    <xf numFmtId="164" fontId="10" fillId="7" borderId="1" xfId="5" applyNumberFormat="1" applyFont="1" applyFill="1" applyBorder="1" applyAlignment="1">
      <alignment horizontal="center" vertical="center" wrapText="1"/>
    </xf>
    <xf numFmtId="44" fontId="10" fillId="7" borderId="1" xfId="5" applyNumberFormat="1" applyFont="1" applyFill="1" applyBorder="1" applyAlignment="1">
      <alignment horizontal="center" vertical="center" wrapText="1"/>
    </xf>
    <xf numFmtId="0" fontId="0" fillId="0" borderId="1" xfId="0" applyFill="1" applyBorder="1"/>
    <xf numFmtId="14" fontId="0" fillId="0" borderId="1" xfId="0" applyNumberFormat="1" applyFill="1" applyBorder="1"/>
    <xf numFmtId="0" fontId="3" fillId="0" borderId="1" xfId="0" applyFont="1" applyFill="1" applyBorder="1"/>
    <xf numFmtId="14" fontId="3" fillId="0" borderId="1" xfId="0" applyNumberFormat="1" applyFont="1" applyFill="1" applyBorder="1"/>
    <xf numFmtId="14" fontId="3" fillId="0" borderId="1" xfId="0" applyNumberFormat="1" applyFont="1" applyBorder="1"/>
    <xf numFmtId="164" fontId="10" fillId="0" borderId="1" xfId="0" applyNumberFormat="1" applyFont="1" applyFill="1" applyBorder="1" applyAlignment="1">
      <alignment horizontal="right" vertical="center" wrapText="1"/>
    </xf>
    <xf numFmtId="0" fontId="9" fillId="0" borderId="1" xfId="0" applyFont="1" applyFill="1" applyBorder="1" applyAlignment="1">
      <alignment horizontal="center" vertical="center" wrapText="1"/>
    </xf>
    <xf numFmtId="0" fontId="10" fillId="0" borderId="1" xfId="8" applyFont="1" applyFill="1" applyBorder="1" applyAlignment="1">
      <alignment horizontal="left" vertical="center" wrapText="1"/>
    </xf>
    <xf numFmtId="164" fontId="10" fillId="0" borderId="1" xfId="0" applyNumberFormat="1" applyFont="1" applyBorder="1" applyAlignment="1">
      <alignment horizontal="center" wrapText="1"/>
    </xf>
    <xf numFmtId="6" fontId="9" fillId="0" borderId="1" xfId="0" applyNumberFormat="1" applyFont="1" applyBorder="1" applyAlignment="1"/>
    <xf numFmtId="164" fontId="10" fillId="0" borderId="1" xfId="0" applyNumberFormat="1" applyFont="1" applyFill="1" applyBorder="1" applyAlignment="1">
      <alignment horizontal="right" vertical="center"/>
    </xf>
    <xf numFmtId="164" fontId="10" fillId="0" borderId="6" xfId="0" applyNumberFormat="1" applyFont="1" applyFill="1" applyBorder="1" applyAlignment="1">
      <alignment horizontal="right" vertical="center"/>
    </xf>
    <xf numFmtId="164" fontId="10" fillId="0" borderId="0" xfId="0" applyNumberFormat="1" applyFont="1" applyFill="1" applyAlignment="1">
      <alignment horizontal="right"/>
    </xf>
    <xf numFmtId="164" fontId="10" fillId="0" borderId="1" xfId="2" applyNumberFormat="1" applyFont="1" applyFill="1" applyBorder="1" applyAlignment="1">
      <alignment vertical="center"/>
    </xf>
    <xf numFmtId="164" fontId="3" fillId="0" borderId="1" xfId="7" applyNumberFormat="1" applyFont="1" applyFill="1" applyBorder="1"/>
    <xf numFmtId="164" fontId="0" fillId="0" borderId="1" xfId="7" applyNumberFormat="1" applyFont="1" applyFill="1" applyBorder="1"/>
    <xf numFmtId="6" fontId="0" fillId="0" borderId="1" xfId="0" applyNumberFormat="1" applyFill="1" applyBorder="1"/>
    <xf numFmtId="14" fontId="3" fillId="0" borderId="1" xfId="0" applyNumberFormat="1" applyFont="1" applyFill="1" applyBorder="1" applyAlignment="1">
      <alignment horizontal="right"/>
    </xf>
    <xf numFmtId="14" fontId="3" fillId="0" borderId="1" xfId="0" applyNumberFormat="1" applyFont="1" applyBorder="1" applyAlignment="1">
      <alignment horizontal="right"/>
    </xf>
    <xf numFmtId="165" fontId="0" fillId="0" borderId="1" xfId="7" applyNumberFormat="1" applyFont="1" applyFill="1" applyBorder="1"/>
    <xf numFmtId="14" fontId="0" fillId="0" borderId="1" xfId="0" applyNumberFormat="1" applyFill="1" applyBorder="1" applyAlignment="1">
      <alignment horizontal="center"/>
    </xf>
    <xf numFmtId="167" fontId="0" fillId="0" borderId="1" xfId="7" applyNumberFormat="1" applyFont="1" applyFill="1" applyBorder="1"/>
    <xf numFmtId="167" fontId="3" fillId="0" borderId="1" xfId="7" applyNumberFormat="1" applyFont="1" applyFill="1" applyBorder="1"/>
    <xf numFmtId="42" fontId="0" fillId="0" borderId="1" xfId="7" applyNumberFormat="1" applyFont="1" applyBorder="1"/>
    <xf numFmtId="14" fontId="0" fillId="0" borderId="1" xfId="0" applyNumberFormat="1" applyFill="1" applyBorder="1" applyAlignment="1">
      <alignment horizontal="center" vertical="center"/>
    </xf>
    <xf numFmtId="0" fontId="10" fillId="4" borderId="1" xfId="11" applyFont="1" applyFill="1" applyBorder="1" applyAlignment="1">
      <alignment horizontal="left" vertical="center" wrapText="1"/>
    </xf>
    <xf numFmtId="166" fontId="10" fillId="4" borderId="1" xfId="11" applyNumberFormat="1" applyFont="1" applyFill="1" applyBorder="1" applyAlignment="1">
      <alignment vertical="center"/>
    </xf>
    <xf numFmtId="164" fontId="10" fillId="4" borderId="1" xfId="11" applyNumberFormat="1" applyFont="1" applyFill="1" applyBorder="1" applyAlignment="1">
      <alignment horizontal="center" vertical="center" wrapText="1"/>
    </xf>
    <xf numFmtId="42" fontId="10" fillId="4" borderId="1" xfId="11" applyNumberFormat="1" applyFont="1" applyFill="1" applyBorder="1" applyAlignment="1">
      <alignment horizontal="right" vertical="center" wrapText="1"/>
    </xf>
    <xf numFmtId="44" fontId="10" fillId="4" borderId="1" xfId="11" applyNumberFormat="1" applyFont="1" applyFill="1" applyBorder="1" applyAlignment="1">
      <alignment horizontal="center" vertical="center" wrapText="1"/>
    </xf>
    <xf numFmtId="14" fontId="10" fillId="4" borderId="1" xfId="11" applyNumberFormat="1" applyFont="1" applyFill="1" applyBorder="1" applyAlignment="1">
      <alignment horizontal="center" vertical="center" wrapText="1"/>
    </xf>
    <xf numFmtId="169" fontId="10" fillId="2" borderId="1" xfId="9" applyNumberFormat="1" applyFont="1" applyFill="1" applyBorder="1" applyAlignment="1">
      <alignment horizontal="right" vertical="center"/>
    </xf>
    <xf numFmtId="0" fontId="10" fillId="0" borderId="1" xfId="11" applyFont="1" applyFill="1" applyBorder="1" applyAlignment="1">
      <alignment horizontal="left" vertical="center" wrapText="1"/>
    </xf>
    <xf numFmtId="42" fontId="10" fillId="0" borderId="1" xfId="11" applyNumberFormat="1" applyFont="1" applyBorder="1" applyAlignment="1">
      <alignment vertical="center"/>
    </xf>
    <xf numFmtId="164" fontId="10" fillId="0" borderId="1" xfId="11" applyNumberFormat="1" applyFont="1" applyBorder="1" applyAlignment="1">
      <alignment horizontal="center" vertical="center" wrapText="1"/>
    </xf>
    <xf numFmtId="42" fontId="10" fillId="0" borderId="1" xfId="11" applyNumberFormat="1" applyFont="1" applyBorder="1" applyAlignment="1">
      <alignment horizontal="right" vertical="center" wrapText="1"/>
    </xf>
    <xf numFmtId="44" fontId="10" fillId="0" borderId="1" xfId="11" applyNumberFormat="1" applyFont="1" applyBorder="1" applyAlignment="1">
      <alignment horizontal="center" vertical="center" wrapText="1"/>
    </xf>
    <xf numFmtId="14" fontId="10" fillId="0" borderId="1" xfId="11" applyNumberFormat="1" applyFont="1" applyBorder="1" applyAlignment="1">
      <alignment horizontal="center" vertical="center" wrapText="1"/>
    </xf>
    <xf numFmtId="0" fontId="10" fillId="0" borderId="1" xfId="12" applyFont="1" applyFill="1" applyBorder="1" applyAlignment="1">
      <alignment vertical="center" wrapText="1"/>
    </xf>
    <xf numFmtId="164" fontId="10" fillId="0" borderId="1" xfId="12" applyNumberFormat="1" applyFont="1" applyFill="1" applyBorder="1" applyAlignment="1">
      <alignment vertical="center"/>
    </xf>
    <xf numFmtId="164" fontId="10" fillId="0" borderId="1" xfId="0" applyNumberFormat="1" applyFont="1" applyFill="1" applyBorder="1" applyAlignment="1">
      <alignment horizontal="center" vertical="center" wrapText="1"/>
    </xf>
    <xf numFmtId="0" fontId="17" fillId="0" borderId="0" xfId="0" applyFont="1"/>
    <xf numFmtId="0" fontId="17" fillId="7" borderId="1" xfId="0" applyFont="1" applyFill="1" applyBorder="1" applyAlignment="1">
      <alignment vertical="center"/>
    </xf>
    <xf numFmtId="0" fontId="17" fillId="7" borderId="1" xfId="0" applyFont="1" applyFill="1" applyBorder="1" applyAlignment="1">
      <alignment horizontal="center" vertical="center" wrapText="1"/>
    </xf>
    <xf numFmtId="0" fontId="17" fillId="0" borderId="0" xfId="0" applyFont="1" applyFill="1" applyAlignment="1">
      <alignment vertical="center"/>
    </xf>
    <xf numFmtId="0" fontId="17" fillId="7" borderId="1" xfId="0" applyFont="1" applyFill="1" applyBorder="1" applyAlignment="1">
      <alignment horizontal="right"/>
    </xf>
    <xf numFmtId="164" fontId="0" fillId="7" borderId="1" xfId="0" applyNumberFormat="1" applyFill="1" applyBorder="1" applyAlignment="1">
      <alignment horizontal="center"/>
    </xf>
    <xf numFmtId="164" fontId="0" fillId="7" borderId="1" xfId="10" applyNumberFormat="1" applyFont="1" applyFill="1" applyBorder="1" applyAlignment="1">
      <alignment horizontal="center"/>
    </xf>
    <xf numFmtId="164" fontId="0" fillId="0" borderId="0" xfId="0" applyNumberFormat="1" applyFill="1" applyBorder="1"/>
    <xf numFmtId="164" fontId="3" fillId="0" borderId="1" xfId="0" applyNumberFormat="1" applyFont="1" applyFill="1" applyBorder="1" applyAlignment="1">
      <alignment horizontal="center"/>
    </xf>
    <xf numFmtId="0" fontId="18" fillId="0" borderId="0" xfId="0" applyFont="1" applyAlignment="1">
      <alignment wrapText="1"/>
    </xf>
    <xf numFmtId="0" fontId="7" fillId="2" borderId="3" xfId="3" applyFont="1" applyFill="1" applyBorder="1" applyAlignment="1">
      <alignment horizontal="center" wrapText="1"/>
    </xf>
    <xf numFmtId="0" fontId="11" fillId="2" borderId="1" xfId="3" applyFont="1" applyFill="1" applyBorder="1" applyAlignment="1">
      <alignment horizontal="center" wrapText="1"/>
    </xf>
    <xf numFmtId="0" fontId="3" fillId="0" borderId="0" xfId="0" applyFont="1" applyAlignment="1">
      <alignment wrapText="1"/>
    </xf>
    <xf numFmtId="0" fontId="11" fillId="0" borderId="3" xfId="3" applyFont="1" applyFill="1" applyBorder="1" applyAlignment="1">
      <alignment horizontal="left" vertical="top" wrapText="1"/>
    </xf>
    <xf numFmtId="0" fontId="11" fillId="0" borderId="1" xfId="3" applyFont="1" applyFill="1" applyBorder="1" applyAlignment="1">
      <alignment horizontal="center" vertical="top" wrapText="1"/>
    </xf>
    <xf numFmtId="0" fontId="11" fillId="0" borderId="1" xfId="3"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3" fillId="0" borderId="1" xfId="0" applyFont="1" applyFill="1" applyBorder="1" applyAlignment="1">
      <alignment vertical="top" wrapText="1"/>
    </xf>
    <xf numFmtId="14" fontId="11" fillId="0" borderId="1" xfId="3" applyNumberFormat="1" applyFont="1" applyFill="1" applyBorder="1" applyAlignment="1">
      <alignment horizontal="center" vertical="top" wrapText="1"/>
    </xf>
    <xf numFmtId="0" fontId="3" fillId="0" borderId="0" xfId="0" applyFont="1" applyAlignment="1">
      <alignment vertical="top" wrapText="1"/>
    </xf>
    <xf numFmtId="0" fontId="7" fillId="3" borderId="3" xfId="3" applyFont="1" applyFill="1" applyBorder="1" applyAlignment="1">
      <alignment horizontal="center" vertical="top" wrapText="1"/>
    </xf>
    <xf numFmtId="0" fontId="7" fillId="3" borderId="1" xfId="3" applyFont="1" applyFill="1" applyBorder="1" applyAlignment="1">
      <alignment horizontal="center" vertical="top" wrapText="1"/>
    </xf>
    <xf numFmtId="0" fontId="11" fillId="3" borderId="1" xfId="3" applyFont="1" applyFill="1" applyBorder="1" applyAlignment="1">
      <alignment horizontal="center" vertical="top" wrapText="1"/>
    </xf>
    <xf numFmtId="0" fontId="11" fillId="3" borderId="2" xfId="3" applyFont="1" applyFill="1" applyBorder="1" applyAlignment="1">
      <alignment horizontal="center" vertical="top" wrapText="1"/>
    </xf>
    <xf numFmtId="0" fontId="11" fillId="3" borderId="3" xfId="3" applyFont="1" applyFill="1" applyBorder="1" applyAlignment="1">
      <alignment horizontal="center" vertical="top" wrapText="1"/>
    </xf>
    <xf numFmtId="0" fontId="3" fillId="0" borderId="3" xfId="0" applyFont="1" applyFill="1" applyBorder="1" applyAlignment="1">
      <alignment vertical="top" wrapText="1"/>
    </xf>
    <xf numFmtId="14" fontId="3" fillId="0" borderId="1" xfId="0" quotePrefix="1" applyNumberFormat="1" applyFont="1" applyFill="1" applyBorder="1" applyAlignment="1">
      <alignment horizontal="center" vertical="top" wrapText="1"/>
    </xf>
    <xf numFmtId="0" fontId="3" fillId="0" borderId="0" xfId="0" applyFont="1" applyFill="1" applyAlignment="1">
      <alignment vertical="top" wrapText="1"/>
    </xf>
    <xf numFmtId="0" fontId="11" fillId="3" borderId="1" xfId="3" applyFont="1" applyFill="1" applyBorder="1" applyAlignment="1">
      <alignment horizontal="right" vertical="top" wrapText="1"/>
    </xf>
    <xf numFmtId="0" fontId="3" fillId="3" borderId="0" xfId="0" applyFont="1" applyFill="1" applyAlignment="1">
      <alignment vertical="top" wrapText="1"/>
    </xf>
    <xf numFmtId="165" fontId="4" fillId="3" borderId="0" xfId="0" applyNumberFormat="1" applyFont="1" applyFill="1" applyAlignment="1">
      <alignment horizontal="right" vertical="top" wrapText="1"/>
    </xf>
    <xf numFmtId="0" fontId="3" fillId="8" borderId="0" xfId="0" applyFont="1" applyFill="1" applyAlignment="1">
      <alignment vertical="top" wrapText="1"/>
    </xf>
    <xf numFmtId="165" fontId="4" fillId="0" borderId="0" xfId="0" applyNumberFormat="1" applyFont="1" applyFill="1" applyAlignment="1">
      <alignment horizontal="left" vertical="top" wrapText="1"/>
    </xf>
    <xf numFmtId="0" fontId="3" fillId="0" borderId="3" xfId="0" applyFont="1" applyFill="1" applyBorder="1" applyAlignment="1">
      <alignment horizontal="left" vertical="top" wrapText="1"/>
    </xf>
    <xf numFmtId="0" fontId="11" fillId="0" borderId="0" xfId="3" applyFont="1" applyFill="1" applyAlignment="1">
      <alignment horizontal="center" vertical="top" wrapText="1"/>
    </xf>
    <xf numFmtId="0" fontId="11" fillId="0" borderId="0" xfId="3" applyFont="1" applyFill="1" applyAlignment="1">
      <alignment vertical="top" wrapText="1"/>
    </xf>
    <xf numFmtId="0" fontId="3" fillId="0" borderId="1" xfId="0" applyFont="1" applyFill="1" applyBorder="1" applyAlignment="1">
      <alignment horizontal="center" vertical="top" wrapText="1"/>
    </xf>
    <xf numFmtId="165" fontId="4" fillId="3" borderId="0" xfId="0" applyNumberFormat="1" applyFont="1" applyFill="1" applyAlignment="1">
      <alignment horizontal="left" vertical="top" wrapText="1"/>
    </xf>
    <xf numFmtId="0" fontId="3" fillId="0" borderId="1" xfId="4" applyFont="1" applyFill="1" applyBorder="1" applyAlignment="1">
      <alignment vertical="top" wrapText="1"/>
    </xf>
    <xf numFmtId="164" fontId="3" fillId="0" borderId="1" xfId="4" applyNumberFormat="1" applyFont="1" applyFill="1" applyBorder="1" applyAlignment="1">
      <alignment vertical="top"/>
    </xf>
    <xf numFmtId="164" fontId="3" fillId="0" borderId="2" xfId="4" applyNumberFormat="1" applyFont="1" applyFill="1" applyBorder="1" applyAlignment="1">
      <alignment horizontal="right" vertical="top"/>
    </xf>
    <xf numFmtId="0" fontId="3" fillId="0" borderId="0" xfId="3" applyFont="1" applyFill="1" applyAlignment="1">
      <alignment vertical="top" wrapText="1"/>
    </xf>
    <xf numFmtId="165" fontId="4" fillId="3" borderId="0" xfId="0" applyNumberFormat="1" applyFont="1" applyFill="1" applyAlignment="1">
      <alignment horizontal="center" vertical="top" wrapText="1"/>
    </xf>
    <xf numFmtId="164" fontId="3" fillId="0" borderId="1" xfId="0" applyNumberFormat="1" applyFont="1" applyFill="1" applyBorder="1" applyAlignment="1">
      <alignment horizontal="right" vertical="top" wrapText="1"/>
    </xf>
    <xf numFmtId="14" fontId="3" fillId="0" borderId="1" xfId="0" applyNumberFormat="1" applyFont="1" applyFill="1" applyBorder="1" applyAlignment="1">
      <alignment horizontal="center" vertical="top" wrapText="1"/>
    </xf>
    <xf numFmtId="0" fontId="3" fillId="3" borderId="3" xfId="0" applyFont="1" applyFill="1" applyBorder="1" applyAlignment="1">
      <alignment vertical="top" wrapText="1"/>
    </xf>
    <xf numFmtId="0" fontId="3" fillId="3" borderId="1" xfId="0" applyFont="1" applyFill="1" applyBorder="1" applyAlignment="1">
      <alignment vertical="top" wrapText="1"/>
    </xf>
    <xf numFmtId="14" fontId="3" fillId="3" borderId="1" xfId="0" applyNumberFormat="1" applyFont="1" applyFill="1" applyBorder="1" applyAlignment="1">
      <alignment horizontal="left" vertical="top" wrapText="1"/>
    </xf>
    <xf numFmtId="164" fontId="4" fillId="3" borderId="1" xfId="0" applyNumberFormat="1" applyFont="1" applyFill="1" applyBorder="1" applyAlignment="1">
      <alignment horizontal="center" vertical="top" wrapText="1"/>
    </xf>
    <xf numFmtId="164" fontId="4" fillId="3" borderId="2" xfId="0" applyNumberFormat="1" applyFont="1" applyFill="1" applyBorder="1" applyAlignment="1">
      <alignment horizontal="right" vertical="top" wrapText="1"/>
    </xf>
    <xf numFmtId="164" fontId="4" fillId="3" borderId="3" xfId="0" applyNumberFormat="1" applyFont="1" applyFill="1" applyBorder="1" applyAlignment="1">
      <alignment horizontal="left" vertical="top" wrapText="1"/>
    </xf>
    <xf numFmtId="164" fontId="3" fillId="3" borderId="1" xfId="0" applyNumberFormat="1" applyFont="1" applyFill="1" applyBorder="1" applyAlignment="1">
      <alignment horizontal="center" vertical="top" wrapText="1"/>
    </xf>
    <xf numFmtId="14" fontId="3" fillId="3" borderId="1" xfId="0" applyNumberFormat="1" applyFont="1" applyFill="1" applyBorder="1" applyAlignment="1">
      <alignment horizontal="center" vertical="top" wrapText="1"/>
    </xf>
    <xf numFmtId="0" fontId="3" fillId="3" borderId="1" xfId="0" applyFont="1" applyFill="1" applyBorder="1" applyAlignment="1">
      <alignment wrapText="1"/>
    </xf>
    <xf numFmtId="14" fontId="3" fillId="3" borderId="1" xfId="0" applyNumberFormat="1" applyFont="1" applyFill="1" applyBorder="1" applyAlignment="1">
      <alignment horizontal="left" wrapText="1"/>
    </xf>
    <xf numFmtId="164" fontId="3" fillId="3" borderId="1" xfId="0" applyNumberFormat="1" applyFont="1" applyFill="1" applyBorder="1" applyAlignment="1">
      <alignment horizontal="center" wrapText="1"/>
    </xf>
    <xf numFmtId="0" fontId="3" fillId="0" borderId="0" xfId="0" applyFont="1" applyAlignment="1">
      <alignment horizontal="right" wrapText="1"/>
    </xf>
    <xf numFmtId="0" fontId="10" fillId="0" borderId="0" xfId="0" applyFont="1" applyAlignment="1">
      <alignment horizontal="left" vertical="center"/>
    </xf>
    <xf numFmtId="0" fontId="10" fillId="0" borderId="0" xfId="0" applyFont="1" applyAlignment="1">
      <alignment wrapText="1"/>
    </xf>
    <xf numFmtId="0" fontId="10" fillId="0" borderId="0" xfId="0" applyFont="1"/>
    <xf numFmtId="164" fontId="10" fillId="0" borderId="0" xfId="0" applyNumberFormat="1" applyFont="1"/>
    <xf numFmtId="0" fontId="10" fillId="0" borderId="0" xfId="0" applyFont="1" applyAlignment="1">
      <alignment horizontal="center" wrapText="1"/>
    </xf>
    <xf numFmtId="0" fontId="10" fillId="0" borderId="0" xfId="0" applyFont="1" applyAlignment="1">
      <alignment horizontal="center" vertical="center" wrapText="1"/>
    </xf>
    <xf numFmtId="0" fontId="10" fillId="0" borderId="0" xfId="0" applyFont="1" applyAlignment="1">
      <alignment horizontal="center" vertical="center"/>
    </xf>
    <xf numFmtId="164" fontId="9" fillId="0" borderId="1" xfId="0" applyNumberFormat="1" applyFont="1" applyFill="1" applyBorder="1" applyAlignment="1">
      <alignment horizont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20" fillId="0" borderId="0" xfId="0" applyFont="1" applyAlignment="1">
      <alignment horizontal="left" vertical="center"/>
    </xf>
    <xf numFmtId="0" fontId="21" fillId="0" borderId="0" xfId="0" applyFont="1" applyAlignment="1">
      <alignment wrapText="1"/>
    </xf>
    <xf numFmtId="0" fontId="10" fillId="0" borderId="1" xfId="0" applyFont="1" applyFill="1" applyBorder="1" applyAlignment="1">
      <alignment wrapText="1"/>
    </xf>
    <xf numFmtId="6" fontId="10" fillId="0" borderId="1" xfId="2" applyNumberFormat="1" applyFont="1" applyFill="1" applyBorder="1" applyAlignment="1">
      <alignment vertical="center"/>
    </xf>
    <xf numFmtId="0" fontId="10" fillId="0" borderId="1" xfId="2" applyFont="1" applyFill="1" applyBorder="1" applyAlignment="1">
      <alignment vertical="center" wrapText="1"/>
    </xf>
    <xf numFmtId="0" fontId="10" fillId="4" borderId="0" xfId="0" applyFont="1" applyFill="1" applyBorder="1"/>
    <xf numFmtId="0" fontId="10" fillId="4" borderId="0" xfId="0" applyFont="1" applyFill="1" applyBorder="1" applyAlignment="1">
      <alignment vertical="center" wrapText="1"/>
    </xf>
    <xf numFmtId="0" fontId="9" fillId="4" borderId="0" xfId="0" applyFont="1" applyFill="1" applyBorder="1" applyAlignment="1">
      <alignment vertical="center"/>
    </xf>
    <xf numFmtId="6" fontId="10" fillId="4" borderId="0" xfId="0" applyNumberFormat="1" applyFont="1" applyFill="1" applyBorder="1" applyAlignment="1">
      <alignment vertical="center"/>
    </xf>
    <xf numFmtId="164" fontId="10" fillId="4" borderId="0" xfId="0" applyNumberFormat="1" applyFont="1" applyFill="1" applyBorder="1" applyAlignment="1">
      <alignment vertical="center"/>
    </xf>
    <xf numFmtId="0" fontId="10" fillId="4" borderId="0" xfId="0" applyFont="1" applyFill="1" applyBorder="1" applyAlignment="1">
      <alignment horizontal="center" wrapText="1"/>
    </xf>
    <xf numFmtId="164" fontId="10" fillId="4" borderId="0" xfId="0" applyNumberFormat="1" applyFont="1" applyFill="1" applyBorder="1" applyAlignment="1">
      <alignment horizontal="center"/>
    </xf>
    <xf numFmtId="0" fontId="10" fillId="4" borderId="0" xfId="0" applyFont="1" applyFill="1" applyBorder="1" applyAlignment="1">
      <alignment horizontal="left" vertical="center" wrapText="1"/>
    </xf>
    <xf numFmtId="0" fontId="10" fillId="4" borderId="0" xfId="0" applyFont="1" applyFill="1" applyBorder="1" applyAlignment="1">
      <alignment horizontal="center" vertical="center"/>
    </xf>
    <xf numFmtId="6" fontId="10" fillId="0" borderId="1" xfId="0" applyNumberFormat="1" applyFont="1" applyFill="1" applyBorder="1" applyAlignment="1">
      <alignment horizontal="right" vertical="center"/>
    </xf>
    <xf numFmtId="0" fontId="10" fillId="0" borderId="6" xfId="0" applyFont="1" applyFill="1" applyBorder="1" applyAlignment="1">
      <alignment vertical="center" wrapText="1"/>
    </xf>
    <xf numFmtId="164" fontId="10" fillId="0" borderId="1" xfId="0" applyNumberFormat="1" applyFont="1" applyFill="1" applyBorder="1" applyAlignment="1">
      <alignment horizontal="right"/>
    </xf>
    <xf numFmtId="0" fontId="10" fillId="0" borderId="0" xfId="0" applyFont="1" applyFill="1"/>
    <xf numFmtId="6" fontId="9" fillId="0" borderId="6" xfId="0" applyNumberFormat="1" applyFont="1" applyBorder="1" applyAlignment="1">
      <alignment vertical="center"/>
    </xf>
    <xf numFmtId="0" fontId="9" fillId="0" borderId="0" xfId="0" applyFont="1"/>
    <xf numFmtId="6" fontId="10" fillId="0" borderId="4" xfId="0" applyNumberFormat="1" applyFont="1" applyBorder="1" applyAlignment="1">
      <alignment vertical="center"/>
    </xf>
    <xf numFmtId="0" fontId="10" fillId="0" borderId="0" xfId="0" applyFont="1" applyFill="1" applyAlignment="1">
      <alignment vertical="center" wrapText="1"/>
    </xf>
    <xf numFmtId="164" fontId="14" fillId="0" borderId="1" xfId="0" applyNumberFormat="1" applyFont="1" applyFill="1" applyBorder="1" applyAlignment="1">
      <alignment vertical="center"/>
    </xf>
    <xf numFmtId="6" fontId="14" fillId="0" borderId="1" xfId="0" applyNumberFormat="1" applyFont="1" applyFill="1" applyBorder="1" applyAlignment="1">
      <alignment vertical="center"/>
    </xf>
    <xf numFmtId="0" fontId="10" fillId="0" borderId="0" xfId="0" applyFont="1" applyBorder="1"/>
    <xf numFmtId="164" fontId="10" fillId="6" borderId="0" xfId="0" applyNumberFormat="1" applyFont="1" applyFill="1" applyBorder="1" applyAlignment="1">
      <alignment vertical="center"/>
    </xf>
    <xf numFmtId="0" fontId="10" fillId="6" borderId="0" xfId="0" applyFont="1" applyFill="1" applyBorder="1" applyAlignment="1">
      <alignment horizontal="center" vertical="center" wrapText="1"/>
    </xf>
    <xf numFmtId="0" fontId="10" fillId="0" borderId="1" xfId="0" quotePrefix="1" applyFont="1" applyFill="1" applyBorder="1" applyAlignment="1">
      <alignment horizontal="left" vertical="center"/>
    </xf>
    <xf numFmtId="164" fontId="10" fillId="0" borderId="1" xfId="0" applyNumberFormat="1" applyFont="1" applyFill="1" applyBorder="1" applyAlignment="1">
      <alignment vertical="center" wrapText="1"/>
    </xf>
    <xf numFmtId="0" fontId="10" fillId="0" borderId="1" xfId="0" quotePrefix="1" applyFont="1" applyBorder="1" applyAlignment="1">
      <alignment horizontal="left" vertical="center"/>
    </xf>
    <xf numFmtId="164" fontId="9" fillId="0" borderId="1" xfId="0" applyNumberFormat="1" applyFont="1" applyFill="1" applyBorder="1" applyAlignment="1">
      <alignment vertical="center"/>
    </xf>
    <xf numFmtId="0" fontId="10" fillId="0" borderId="0" xfId="0" applyFont="1" applyFill="1" applyAlignment="1">
      <alignment horizontal="left" vertical="center"/>
    </xf>
    <xf numFmtId="6" fontId="10" fillId="0" borderId="0" xfId="0" applyNumberFormat="1" applyFont="1" applyFill="1" applyAlignment="1">
      <alignment vertical="center" wrapText="1"/>
    </xf>
    <xf numFmtId="0" fontId="10" fillId="0" borderId="0" xfId="0" applyFont="1" applyFill="1" applyAlignment="1">
      <alignment vertical="center"/>
    </xf>
    <xf numFmtId="164" fontId="10" fillId="0" borderId="0" xfId="0" applyNumberFormat="1" applyFont="1" applyFill="1" applyAlignment="1">
      <alignment vertical="center"/>
    </xf>
    <xf numFmtId="6" fontId="10"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14" fillId="0" borderId="1" xfId="0" quotePrefix="1" applyFont="1" applyFill="1" applyBorder="1" applyAlignment="1">
      <alignment horizontal="left" vertical="center"/>
    </xf>
    <xf numFmtId="0" fontId="14" fillId="0" borderId="1" xfId="0" applyFont="1" applyFill="1" applyBorder="1" applyAlignment="1">
      <alignment vertical="center" wrapText="1"/>
    </xf>
    <xf numFmtId="0" fontId="10" fillId="0" borderId="6" xfId="0" quotePrefix="1" applyFont="1" applyBorder="1" applyAlignment="1">
      <alignment horizontal="left" vertical="center"/>
    </xf>
    <xf numFmtId="0" fontId="10" fillId="0" borderId="6" xfId="0" applyFont="1" applyBorder="1" applyAlignment="1">
      <alignment horizontal="left" vertical="center" wrapText="1"/>
    </xf>
    <xf numFmtId="164" fontId="10" fillId="0" borderId="6" xfId="0" applyNumberFormat="1" applyFont="1" applyBorder="1" applyAlignment="1">
      <alignment vertical="center"/>
    </xf>
    <xf numFmtId="6" fontId="10" fillId="0" borderId="6"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0" fillId="0" borderId="0" xfId="0" applyFill="1" applyBorder="1" applyAlignment="1">
      <alignment wrapText="1"/>
    </xf>
    <xf numFmtId="166" fontId="0" fillId="0" borderId="0" xfId="0" applyNumberFormat="1" applyFill="1" applyBorder="1"/>
    <xf numFmtId="0" fontId="3" fillId="0" borderId="0" xfId="0" applyFont="1" applyFill="1"/>
    <xf numFmtId="166" fontId="10" fillId="4" borderId="1" xfId="11" applyNumberFormat="1" applyFont="1" applyFill="1" applyBorder="1" applyAlignment="1">
      <alignment horizontal="right" vertical="center" wrapText="1"/>
    </xf>
    <xf numFmtId="44" fontId="0" fillId="0" borderId="0" xfId="0" applyNumberFormat="1"/>
    <xf numFmtId="166" fontId="10" fillId="2" borderId="1" xfId="9" applyNumberFormat="1" applyFont="1" applyFill="1" applyBorder="1" applyAlignment="1">
      <alignment vertical="center"/>
    </xf>
    <xf numFmtId="0" fontId="0" fillId="4" borderId="1" xfId="0" applyFill="1" applyBorder="1"/>
    <xf numFmtId="0" fontId="0" fillId="4" borderId="1" xfId="0" applyFill="1" applyBorder="1" applyAlignment="1">
      <alignment wrapText="1"/>
    </xf>
    <xf numFmtId="164" fontId="0" fillId="4" borderId="1" xfId="0" applyNumberFormat="1" applyFill="1" applyBorder="1" applyAlignment="1">
      <alignment horizontal="center"/>
    </xf>
    <xf numFmtId="164" fontId="3" fillId="4" borderId="1" xfId="7" applyNumberFormat="1" applyFont="1" applyFill="1" applyBorder="1" applyAlignment="1">
      <alignment horizontal="center" vertical="center" wrapText="1"/>
    </xf>
    <xf numFmtId="164" fontId="3" fillId="4" borderId="1" xfId="0" applyNumberFormat="1" applyFont="1" applyFill="1" applyBorder="1" applyAlignment="1">
      <alignment horizontal="center"/>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xf>
    <xf numFmtId="0" fontId="3" fillId="4" borderId="0" xfId="5" applyFont="1" applyFill="1" applyAlignment="1">
      <alignment horizontal="center" vertical="center"/>
    </xf>
    <xf numFmtId="0" fontId="11" fillId="4" borderId="1" xfId="2" applyFont="1" applyFill="1" applyBorder="1" applyAlignment="1">
      <alignment horizontal="left"/>
    </xf>
    <xf numFmtId="0" fontId="3" fillId="4" borderId="1" xfId="0" applyFont="1" applyFill="1" applyBorder="1"/>
    <xf numFmtId="164" fontId="3" fillId="4" borderId="1" xfId="10" applyNumberFormat="1" applyFont="1" applyFill="1" applyBorder="1" applyAlignment="1">
      <alignment horizontal="center"/>
    </xf>
    <xf numFmtId="164" fontId="3" fillId="4" borderId="1" xfId="10" applyNumberFormat="1" applyFont="1" applyFill="1" applyBorder="1" applyAlignment="1">
      <alignment horizontal="center" wrapText="1"/>
    </xf>
    <xf numFmtId="164" fontId="3" fillId="4" borderId="1" xfId="10" applyNumberFormat="1" applyFont="1" applyFill="1" applyBorder="1" applyAlignment="1">
      <alignment horizontal="center" vertical="center" wrapText="1"/>
    </xf>
    <xf numFmtId="0" fontId="3" fillId="4" borderId="3" xfId="0" applyFont="1" applyFill="1" applyBorder="1" applyAlignment="1">
      <alignment wrapText="1"/>
    </xf>
    <xf numFmtId="164" fontId="0" fillId="7" borderId="1" xfId="13" applyNumberFormat="1" applyFont="1" applyFill="1" applyBorder="1" applyAlignment="1">
      <alignment horizontal="center"/>
    </xf>
    <xf numFmtId="164" fontId="3" fillId="0" borderId="1" xfId="13" applyNumberFormat="1" applyFont="1" applyFill="1" applyBorder="1" applyAlignment="1">
      <alignment horizontal="center" vertical="center"/>
    </xf>
    <xf numFmtId="164" fontId="0" fillId="7" borderId="1" xfId="13" applyNumberFormat="1" applyFont="1" applyFill="1" applyBorder="1" applyAlignment="1">
      <alignment horizontal="center" vertical="center"/>
    </xf>
    <xf numFmtId="0" fontId="0" fillId="4" borderId="2" xfId="0" applyFill="1" applyBorder="1" applyAlignment="1">
      <alignment wrapText="1"/>
    </xf>
    <xf numFmtId="9" fontId="3" fillId="4" borderId="7" xfId="0" applyNumberFormat="1" applyFont="1" applyFill="1" applyBorder="1" applyAlignment="1">
      <alignment horizontal="center" vertical="center" wrapText="1"/>
    </xf>
    <xf numFmtId="0" fontId="3" fillId="4" borderId="1" xfId="0" applyFont="1" applyFill="1" applyBorder="1" applyAlignment="1">
      <alignment wrapText="1"/>
    </xf>
    <xf numFmtId="164" fontId="3" fillId="4" borderId="1" xfId="10" applyNumberFormat="1" applyFont="1" applyFill="1" applyBorder="1" applyAlignment="1">
      <alignment horizontal="center" vertical="center"/>
    </xf>
    <xf numFmtId="0" fontId="3" fillId="4" borderId="3" xfId="2" applyFont="1" applyFill="1" applyBorder="1" applyAlignment="1">
      <alignment wrapText="1"/>
    </xf>
    <xf numFmtId="168" fontId="3" fillId="4" borderId="1" xfId="7" applyNumberFormat="1" applyFont="1" applyFill="1" applyBorder="1" applyAlignment="1">
      <alignment horizontal="center" vertical="center"/>
    </xf>
    <xf numFmtId="164" fontId="3" fillId="4" borderId="1" xfId="2"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wrapText="1"/>
    </xf>
    <xf numFmtId="0" fontId="10" fillId="4" borderId="0" xfId="0" applyFont="1" applyFill="1" applyAlignment="1">
      <alignment vertical="center"/>
    </xf>
    <xf numFmtId="0" fontId="3" fillId="4" borderId="1" xfId="2" applyFont="1" applyFill="1" applyBorder="1"/>
    <xf numFmtId="3" fontId="3" fillId="4" borderId="1" xfId="2" applyNumberFormat="1" applyFont="1" applyFill="1" applyBorder="1" applyAlignment="1">
      <alignment horizontal="center" vertical="center"/>
    </xf>
    <xf numFmtId="3" fontId="3" fillId="4" borderId="1" xfId="2"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xf>
    <xf numFmtId="0" fontId="3" fillId="4" borderId="1" xfId="2" applyFont="1" applyFill="1" applyBorder="1" applyAlignment="1">
      <alignment wrapText="1"/>
    </xf>
    <xf numFmtId="0" fontId="3" fillId="4" borderId="0" xfId="0" applyFont="1" applyFill="1" applyAlignment="1">
      <alignment horizontal="center" vertical="center" wrapText="1"/>
    </xf>
    <xf numFmtId="0" fontId="11" fillId="4" borderId="1" xfId="10" applyNumberFormat="1" applyFont="1" applyFill="1" applyBorder="1" applyAlignment="1">
      <alignment horizontal="left"/>
    </xf>
    <xf numFmtId="0" fontId="3" fillId="4" borderId="1" xfId="10" applyNumberFormat="1" applyFont="1" applyFill="1" applyBorder="1" applyAlignment="1">
      <alignment wrapText="1"/>
    </xf>
    <xf numFmtId="37" fontId="3" fillId="4" borderId="1" xfId="10" applyNumberFormat="1" applyFont="1" applyFill="1" applyBorder="1" applyAlignment="1">
      <alignment horizontal="center" vertical="center"/>
    </xf>
    <xf numFmtId="37" fontId="3" fillId="4" borderId="1" xfId="10" applyNumberFormat="1" applyFont="1" applyFill="1" applyBorder="1" applyAlignment="1">
      <alignment horizontal="center" vertical="center" wrapText="1"/>
    </xf>
    <xf numFmtId="0" fontId="11" fillId="4" borderId="1" xfId="6" applyFont="1" applyFill="1" applyBorder="1" applyAlignment="1">
      <alignment horizontal="left" vertical="center" wrapText="1"/>
    </xf>
    <xf numFmtId="0" fontId="3" fillId="4" borderId="1" xfId="0" applyFont="1" applyFill="1" applyBorder="1" applyAlignment="1">
      <alignment horizontal="left" vertical="center" wrapText="1"/>
    </xf>
    <xf numFmtId="3" fontId="3" fillId="4" borderId="0" xfId="0" applyNumberFormat="1" applyFont="1" applyFill="1" applyAlignment="1">
      <alignment horizontal="center" vertical="center"/>
    </xf>
    <xf numFmtId="0" fontId="3" fillId="4" borderId="0" xfId="0" applyFont="1" applyFill="1" applyAlignment="1">
      <alignment horizontal="center" vertical="center"/>
    </xf>
    <xf numFmtId="14" fontId="0" fillId="4" borderId="1" xfId="0" applyNumberFormat="1" applyFill="1" applyBorder="1" applyAlignment="1">
      <alignment horizontal="center" vertical="center"/>
    </xf>
    <xf numFmtId="0" fontId="11" fillId="4" borderId="6" xfId="6" applyFont="1" applyFill="1" applyBorder="1" applyAlignment="1">
      <alignment horizontal="left" vertical="center" wrapText="1"/>
    </xf>
    <xf numFmtId="0" fontId="3" fillId="4" borderId="6" xfId="0" applyFont="1" applyFill="1" applyBorder="1" applyAlignment="1">
      <alignment horizontal="left" vertical="center" wrapText="1"/>
    </xf>
    <xf numFmtId="0" fontId="12" fillId="4" borderId="6" xfId="0" applyFont="1" applyFill="1" applyBorder="1" applyAlignment="1">
      <alignment horizontal="center" vertical="center" wrapText="1"/>
    </xf>
    <xf numFmtId="14" fontId="12" fillId="4" borderId="6"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0" fillId="4" borderId="0" xfId="0" applyFill="1"/>
    <xf numFmtId="164" fontId="3" fillId="0" borderId="1" xfId="13" applyNumberFormat="1" applyFont="1" applyFill="1" applyBorder="1" applyAlignment="1">
      <alignment horizontal="center"/>
    </xf>
    <xf numFmtId="0" fontId="3" fillId="0" borderId="1" xfId="0" applyFont="1" applyFill="1" applyBorder="1" applyAlignment="1">
      <alignment horizontal="center" vertical="center"/>
    </xf>
    <xf numFmtId="164" fontId="3" fillId="4" borderId="1" xfId="13" applyNumberFormat="1" applyFont="1" applyFill="1" applyBorder="1" applyAlignment="1">
      <alignment horizontal="center" vertical="center"/>
    </xf>
    <xf numFmtId="0" fontId="0" fillId="4" borderId="4" xfId="0" applyFill="1" applyBorder="1"/>
    <xf numFmtId="0" fontId="17" fillId="4" borderId="0" xfId="0" applyFont="1" applyFill="1" applyBorder="1" applyAlignment="1">
      <alignment horizontal="right"/>
    </xf>
    <xf numFmtId="164" fontId="0" fillId="4" borderId="0" xfId="13" applyNumberFormat="1" applyFont="1" applyFill="1" applyBorder="1" applyAlignment="1">
      <alignment horizontal="center"/>
    </xf>
    <xf numFmtId="164" fontId="0" fillId="4" borderId="0" xfId="0" applyNumberFormat="1" applyFill="1" applyBorder="1" applyAlignment="1">
      <alignment horizontal="center"/>
    </xf>
    <xf numFmtId="0" fontId="0" fillId="4" borderId="0" xfId="0" applyFill="1" applyBorder="1"/>
    <xf numFmtId="164" fontId="3" fillId="0" borderId="1" xfId="2" applyNumberFormat="1" applyFont="1" applyFill="1" applyBorder="1" applyAlignment="1">
      <alignment horizontal="center"/>
    </xf>
    <xf numFmtId="0" fontId="17" fillId="4" borderId="0" xfId="0" applyFont="1" applyFill="1" applyAlignment="1">
      <alignment vertical="center"/>
    </xf>
    <xf numFmtId="0" fontId="3" fillId="0" borderId="1" xfId="0" applyFont="1" applyFill="1" applyBorder="1" applyAlignment="1">
      <alignment horizontal="left" vertical="center"/>
    </xf>
    <xf numFmtId="0" fontId="0" fillId="4" borderId="1" xfId="0" applyFill="1" applyBorder="1" applyAlignment="1">
      <alignment horizontal="center" vertical="center"/>
    </xf>
    <xf numFmtId="164" fontId="0" fillId="4" borderId="1" xfId="0" applyNumberFormat="1"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center" vertical="center"/>
    </xf>
    <xf numFmtId="164" fontId="0" fillId="0" borderId="1" xfId="0" applyNumberFormat="1" applyFill="1" applyBorder="1" applyAlignment="1">
      <alignment horizontal="center" vertical="center"/>
    </xf>
    <xf numFmtId="0" fontId="0" fillId="0" borderId="1" xfId="0" applyFill="1" applyBorder="1" applyAlignment="1">
      <alignment horizontal="left" vertical="center" wrapText="1"/>
    </xf>
    <xf numFmtId="0" fontId="0" fillId="4" borderId="1" xfId="0" applyFill="1" applyBorder="1" applyAlignment="1">
      <alignment vertical="center"/>
    </xf>
    <xf numFmtId="0" fontId="3" fillId="4" borderId="3" xfId="0" applyFont="1" applyFill="1" applyBorder="1" applyAlignment="1">
      <alignment vertical="center" wrapText="1"/>
    </xf>
    <xf numFmtId="164" fontId="0" fillId="4" borderId="1" xfId="10" applyNumberFormat="1" applyFont="1" applyFill="1" applyBorder="1" applyAlignment="1">
      <alignment horizontal="center" vertical="center"/>
    </xf>
    <xf numFmtId="164" fontId="0" fillId="4" borderId="0" xfId="10" applyNumberFormat="1" applyFont="1" applyFill="1" applyBorder="1"/>
    <xf numFmtId="164" fontId="0" fillId="4" borderId="0" xfId="0" applyNumberFormat="1" applyFill="1" applyBorder="1"/>
    <xf numFmtId="170" fontId="0" fillId="4" borderId="0" xfId="10" applyNumberFormat="1" applyFont="1" applyFill="1" applyBorder="1"/>
    <xf numFmtId="0" fontId="17" fillId="4" borderId="4" xfId="0" applyFont="1" applyFill="1" applyBorder="1" applyAlignment="1">
      <alignment horizontal="right"/>
    </xf>
    <xf numFmtId="164" fontId="0" fillId="4" borderId="4" xfId="10" applyNumberFormat="1" applyFont="1" applyFill="1" applyBorder="1"/>
    <xf numFmtId="164" fontId="0" fillId="4" borderId="4" xfId="0" applyNumberFormat="1" applyFill="1" applyBorder="1"/>
    <xf numFmtId="170" fontId="0" fillId="4" borderId="4" xfId="10" applyNumberFormat="1" applyFont="1" applyFill="1" applyBorder="1"/>
    <xf numFmtId="0" fontId="3" fillId="4" borderId="7" xfId="0" applyFont="1" applyFill="1" applyBorder="1" applyAlignment="1">
      <alignment horizontal="left" vertical="center"/>
    </xf>
    <xf numFmtId="0" fontId="3" fillId="4" borderId="7" xfId="0" applyFont="1" applyFill="1" applyBorder="1" applyAlignment="1">
      <alignment horizontal="right" vertical="center" wrapText="1"/>
    </xf>
    <xf numFmtId="164" fontId="3" fillId="4" borderId="7" xfId="0" applyNumberFormat="1" applyFont="1" applyFill="1" applyBorder="1" applyAlignment="1">
      <alignment horizontal="center" vertical="center"/>
    </xf>
    <xf numFmtId="164" fontId="3" fillId="4" borderId="7" xfId="7" applyNumberFormat="1" applyFont="1" applyFill="1" applyBorder="1" applyAlignment="1">
      <alignment horizontal="center" vertical="center" wrapText="1"/>
    </xf>
    <xf numFmtId="9" fontId="3" fillId="4" borderId="7" xfId="0" applyNumberFormat="1" applyFont="1" applyFill="1" applyBorder="1" applyAlignment="1">
      <alignment horizontal="center" vertical="center"/>
    </xf>
    <xf numFmtId="0" fontId="3" fillId="4" borderId="0" xfId="5" applyFont="1" applyFill="1" applyBorder="1" applyAlignment="1">
      <alignment horizontal="center" vertical="center"/>
    </xf>
    <xf numFmtId="5" fontId="3" fillId="0" borderId="1" xfId="13" applyNumberFormat="1" applyFont="1" applyFill="1" applyBorder="1" applyAlignment="1">
      <alignment horizontal="right" vertical="top" wrapText="1"/>
    </xf>
    <xf numFmtId="5" fontId="3" fillId="0" borderId="2" xfId="13" applyNumberFormat="1" applyFont="1" applyFill="1" applyBorder="1" applyAlignment="1">
      <alignment horizontal="right" vertical="top" wrapText="1"/>
    </xf>
    <xf numFmtId="5" fontId="3" fillId="0" borderId="1" xfId="13" applyNumberFormat="1" applyFont="1" applyFill="1" applyBorder="1" applyAlignment="1">
      <alignment vertical="top" wrapText="1"/>
    </xf>
    <xf numFmtId="0" fontId="23" fillId="0" borderId="0" xfId="0" applyFont="1" applyFill="1" applyAlignment="1">
      <alignment vertical="top" wrapText="1"/>
    </xf>
    <xf numFmtId="0" fontId="24" fillId="0" borderId="0" xfId="3" applyFont="1" applyFill="1" applyAlignment="1">
      <alignment horizontal="center" vertical="top" wrapText="1"/>
    </xf>
    <xf numFmtId="165" fontId="3" fillId="3" borderId="1" xfId="13" applyNumberFormat="1" applyFont="1" applyFill="1" applyBorder="1" applyAlignment="1">
      <alignment vertical="top" wrapText="1"/>
    </xf>
    <xf numFmtId="0" fontId="23" fillId="0" borderId="0" xfId="0" applyFont="1" applyAlignment="1">
      <alignment vertical="top" wrapText="1"/>
    </xf>
    <xf numFmtId="6" fontId="3" fillId="0" borderId="1" xfId="0" applyNumberFormat="1" applyFont="1" applyFill="1" applyBorder="1"/>
    <xf numFmtId="14" fontId="0" fillId="0" borderId="1" xfId="0" applyNumberFormat="1" applyFill="1" applyBorder="1" applyAlignment="1">
      <alignment horizontal="right"/>
    </xf>
    <xf numFmtId="165" fontId="3" fillId="0" borderId="1" xfId="7" applyNumberFormat="1" applyFont="1" applyFill="1" applyBorder="1"/>
    <xf numFmtId="14" fontId="3" fillId="0" borderId="1" xfId="0" applyNumberFormat="1" applyFont="1" applyFill="1" applyBorder="1" applyAlignment="1">
      <alignment horizontal="center"/>
    </xf>
    <xf numFmtId="0" fontId="3" fillId="0" borderId="1" xfId="5" applyFont="1" applyBorder="1" applyAlignment="1">
      <alignment horizontal="center" vertical="center" wrapText="1"/>
    </xf>
    <xf numFmtId="164" fontId="3" fillId="0" borderId="1" xfId="7" applyNumberFormat="1" applyFont="1" applyFill="1" applyBorder="1" applyAlignment="1">
      <alignment vertical="center"/>
    </xf>
    <xf numFmtId="164" fontId="3" fillId="0" borderId="1" xfId="7" applyNumberFormat="1" applyFont="1" applyBorder="1" applyAlignment="1">
      <alignment horizontal="right" vertical="center" wrapText="1"/>
    </xf>
    <xf numFmtId="164" fontId="3" fillId="0" borderId="1" xfId="0" applyNumberFormat="1" applyFont="1" applyBorder="1" applyAlignment="1">
      <alignment horizontal="right" vertical="center" wrapText="1"/>
    </xf>
    <xf numFmtId="0" fontId="3" fillId="0" borderId="5" xfId="0" applyFont="1" applyBorder="1" applyAlignment="1">
      <alignment horizontal="center" vertical="center" wrapText="1"/>
    </xf>
    <xf numFmtId="164" fontId="3" fillId="0" borderId="1" xfId="0" applyNumberFormat="1" applyFont="1" applyBorder="1" applyAlignment="1">
      <alignment horizontal="right" vertical="center"/>
    </xf>
    <xf numFmtId="0" fontId="3" fillId="0" borderId="0" xfId="5" applyFont="1" applyAlignment="1">
      <alignment horizontal="center" vertical="center" wrapText="1"/>
    </xf>
    <xf numFmtId="0" fontId="3" fillId="2" borderId="0" xfId="5" applyFont="1" applyFill="1" applyAlignment="1">
      <alignment horizontal="center" vertical="center"/>
    </xf>
    <xf numFmtId="0" fontId="13" fillId="0" borderId="0" xfId="0" applyFont="1" applyBorder="1" applyAlignment="1">
      <alignment horizontal="center" wrapText="1"/>
    </xf>
    <xf numFmtId="0" fontId="13" fillId="0" borderId="0" xfId="0" applyFont="1" applyBorder="1" applyAlignment="1">
      <alignment horizontal="center"/>
    </xf>
    <xf numFmtId="42" fontId="10" fillId="4" borderId="1" xfId="13" applyNumberFormat="1" applyFont="1" applyFill="1" applyBorder="1" applyAlignment="1">
      <alignment horizontal="right" vertical="center"/>
    </xf>
    <xf numFmtId="169" fontId="10" fillId="4" borderId="1" xfId="13" applyNumberFormat="1" applyFont="1" applyFill="1" applyBorder="1" applyAlignment="1">
      <alignment horizontal="right" vertical="center" wrapText="1"/>
    </xf>
    <xf numFmtId="42" fontId="10" fillId="0" borderId="1" xfId="13" applyNumberFormat="1" applyFont="1" applyFill="1" applyBorder="1" applyAlignment="1">
      <alignment horizontal="right" vertical="center"/>
    </xf>
    <xf numFmtId="166" fontId="10" fillId="0" borderId="1" xfId="11" applyNumberFormat="1" applyFont="1" applyFill="1" applyBorder="1" applyAlignment="1">
      <alignment vertical="center"/>
    </xf>
    <xf numFmtId="14" fontId="10" fillId="0" borderId="1" xfId="11" applyNumberFormat="1" applyFont="1" applyFill="1" applyBorder="1" applyAlignment="1">
      <alignment horizontal="center" vertical="center" wrapText="1"/>
    </xf>
    <xf numFmtId="42" fontId="10" fillId="0" borderId="1" xfId="13" applyNumberFormat="1" applyFont="1" applyBorder="1" applyAlignment="1">
      <alignment horizontal="right" vertical="center" wrapText="1"/>
    </xf>
    <xf numFmtId="0" fontId="10" fillId="0" borderId="1" xfId="0" applyFont="1" applyFill="1" applyBorder="1" applyAlignment="1">
      <alignment horizontal="right" vertical="center"/>
    </xf>
    <xf numFmtId="164" fontId="9" fillId="0" borderId="1" xfId="0" applyNumberFormat="1" applyFont="1" applyBorder="1"/>
    <xf numFmtId="164" fontId="10" fillId="0" borderId="0" xfId="0" applyNumberFormat="1" applyFont="1" applyFill="1"/>
    <xf numFmtId="0" fontId="10" fillId="0" borderId="1" xfId="12" applyFont="1" applyFill="1" applyBorder="1" applyAlignment="1">
      <alignment horizontal="left" vertical="center"/>
    </xf>
    <xf numFmtId="0" fontId="9" fillId="0" borderId="0" xfId="0" applyFont="1" applyAlignment="1">
      <alignment horizontal="center" vertical="center" wrapText="1"/>
    </xf>
    <xf numFmtId="0" fontId="10" fillId="4" borderId="0" xfId="0" applyFont="1" applyFill="1" applyBorder="1" applyAlignment="1">
      <alignment horizontal="center" vertical="center" wrapText="1"/>
    </xf>
    <xf numFmtId="6" fontId="10" fillId="0" borderId="0" xfId="0" applyNumberFormat="1" applyFont="1"/>
    <xf numFmtId="0" fontId="10" fillId="0" borderId="0" xfId="8" applyFont="1" applyFill="1" applyAlignment="1">
      <alignment horizontal="left" vertical="center"/>
    </xf>
    <xf numFmtId="0" fontId="10" fillId="0" borderId="1" xfId="2" applyFont="1" applyFill="1" applyBorder="1" applyAlignment="1">
      <alignment horizontal="left" vertical="center"/>
    </xf>
    <xf numFmtId="0" fontId="10" fillId="0" borderId="0" xfId="0" applyFont="1" applyFill="1" applyBorder="1" applyAlignment="1">
      <alignment vertical="center"/>
    </xf>
    <xf numFmtId="0" fontId="25" fillId="0" borderId="0" xfId="0" applyFont="1" applyFill="1" applyAlignment="1">
      <alignment vertical="center" wrapText="1"/>
    </xf>
    <xf numFmtId="164" fontId="9" fillId="0" borderId="0" xfId="0" applyNumberFormat="1" applyFont="1" applyFill="1" applyAlignment="1">
      <alignment vertical="center" wrapText="1"/>
    </xf>
    <xf numFmtId="0" fontId="9" fillId="0" borderId="0" xfId="0" applyFont="1" applyFill="1" applyAlignment="1">
      <alignment vertical="center" wrapText="1"/>
    </xf>
    <xf numFmtId="0" fontId="10" fillId="0" borderId="0" xfId="0" applyFont="1" applyBorder="1" applyAlignment="1">
      <alignment vertical="center"/>
    </xf>
    <xf numFmtId="0" fontId="9" fillId="0" borderId="0" xfId="0" applyFont="1" applyFill="1" applyBorder="1" applyAlignment="1">
      <alignment vertical="center" wrapText="1"/>
    </xf>
    <xf numFmtId="0" fontId="10" fillId="0" borderId="0" xfId="0" applyFont="1" applyAlignment="1">
      <alignment vertical="center" wrapText="1"/>
    </xf>
    <xf numFmtId="164" fontId="10" fillId="0" borderId="0" xfId="0" applyNumberFormat="1" applyFont="1" applyAlignment="1">
      <alignment vertical="center"/>
    </xf>
    <xf numFmtId="0" fontId="9" fillId="0" borderId="4" xfId="0" applyFont="1" applyBorder="1" applyAlignment="1">
      <alignment horizontal="center" vertical="center"/>
    </xf>
    <xf numFmtId="0" fontId="3" fillId="0" borderId="0" xfId="0" applyFont="1" applyAlignment="1">
      <alignment horizontal="left" wrapText="1"/>
    </xf>
    <xf numFmtId="0" fontId="22" fillId="4" borderId="1" xfId="0" applyFont="1" applyFill="1" applyBorder="1" applyAlignment="1">
      <alignment horizontal="left"/>
    </xf>
    <xf numFmtId="164" fontId="22" fillId="4" borderId="1" xfId="0" applyNumberFormat="1" applyFont="1" applyFill="1" applyBorder="1" applyAlignment="1">
      <alignment horizontal="left"/>
    </xf>
    <xf numFmtId="164" fontId="22" fillId="4" borderId="1" xfId="7" applyNumberFormat="1" applyFont="1" applyFill="1" applyBorder="1" applyAlignment="1">
      <alignment horizontal="center" vertical="center" wrapText="1"/>
    </xf>
    <xf numFmtId="164" fontId="22" fillId="4" borderId="1" xfId="0" applyNumberFormat="1" applyFont="1" applyFill="1" applyBorder="1" applyAlignment="1">
      <alignment horizontal="center"/>
    </xf>
    <xf numFmtId="164" fontId="22" fillId="2" borderId="6"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0" fontId="22" fillId="2" borderId="6" xfId="0" applyFont="1" applyFill="1" applyBorder="1" applyAlignment="1">
      <alignment horizontal="left" vertical="center"/>
    </xf>
    <xf numFmtId="0" fontId="22" fillId="2" borderId="6" xfId="0" applyFont="1" applyFill="1" applyBorder="1" applyAlignment="1">
      <alignment horizontal="right" vertical="center" wrapText="1"/>
    </xf>
    <xf numFmtId="164" fontId="22" fillId="2" borderId="6" xfId="7" applyNumberFormat="1" applyFont="1" applyFill="1" applyBorder="1" applyAlignment="1">
      <alignment horizontal="center" vertical="center" wrapText="1"/>
    </xf>
    <xf numFmtId="9" fontId="22" fillId="2" borderId="6" xfId="0" applyNumberFormat="1" applyFont="1" applyFill="1" applyBorder="1" applyAlignment="1">
      <alignment horizontal="center" vertical="center" wrapText="1"/>
    </xf>
    <xf numFmtId="9" fontId="22" fillId="2" borderId="6" xfId="0" applyNumberFormat="1" applyFont="1" applyFill="1" applyBorder="1" applyAlignment="1">
      <alignment horizontal="center" vertical="center"/>
    </xf>
    <xf numFmtId="0" fontId="3" fillId="4" borderId="1" xfId="14" applyFont="1" applyFill="1" applyBorder="1" applyAlignment="1">
      <alignment horizontal="left"/>
    </xf>
    <xf numFmtId="164" fontId="3" fillId="4" borderId="1" xfId="14" applyNumberFormat="1" applyFont="1" applyFill="1" applyBorder="1" applyAlignment="1">
      <alignment horizontal="left" wrapText="1"/>
    </xf>
    <xf numFmtId="164" fontId="3" fillId="4" borderId="1" xfId="14" applyNumberFormat="1" applyFont="1" applyFill="1" applyBorder="1" applyAlignment="1">
      <alignment horizontal="center"/>
    </xf>
    <xf numFmtId="0" fontId="3" fillId="0" borderId="1" xfId="0" applyFont="1" applyFill="1" applyBorder="1" applyAlignment="1">
      <alignment horizontal="center" vertical="center" wrapText="1"/>
    </xf>
    <xf numFmtId="0" fontId="3" fillId="4" borderId="0" xfId="0" applyFont="1" applyFill="1" applyBorder="1" applyAlignment="1">
      <alignment horizontal="left" vertical="center"/>
    </xf>
    <xf numFmtId="0" fontId="3" fillId="4" borderId="0" xfId="0" applyFont="1" applyFill="1" applyBorder="1" applyAlignment="1">
      <alignment horizontal="right" vertical="center" wrapText="1"/>
    </xf>
    <xf numFmtId="164" fontId="3" fillId="4" borderId="0" xfId="0" applyNumberFormat="1" applyFont="1" applyFill="1" applyBorder="1" applyAlignment="1">
      <alignment horizontal="center" vertical="center"/>
    </xf>
    <xf numFmtId="164" fontId="3" fillId="4" borderId="0" xfId="7" applyNumberFormat="1" applyFont="1" applyFill="1" applyBorder="1" applyAlignment="1">
      <alignment horizontal="center" vertical="center" wrapText="1"/>
    </xf>
    <xf numFmtId="9" fontId="3" fillId="4" borderId="0" xfId="0" applyNumberFormat="1" applyFont="1" applyFill="1" applyBorder="1" applyAlignment="1">
      <alignment horizontal="center" vertical="center" wrapText="1"/>
    </xf>
    <xf numFmtId="9" fontId="3" fillId="4" borderId="0" xfId="0" applyNumberFormat="1" applyFont="1" applyFill="1" applyBorder="1" applyAlignment="1">
      <alignment horizontal="center" vertical="center"/>
    </xf>
    <xf numFmtId="0" fontId="11" fillId="0" borderId="5" xfId="6" applyFont="1" applyFill="1" applyBorder="1" applyAlignment="1">
      <alignment horizontal="left" vertical="center" wrapText="1"/>
    </xf>
    <xf numFmtId="0" fontId="3" fillId="0" borderId="5" xfId="0" applyFont="1" applyFill="1" applyBorder="1" applyAlignment="1">
      <alignment horizontal="left" vertical="center" wrapText="1"/>
    </xf>
    <xf numFmtId="164" fontId="3" fillId="0" borderId="1" xfId="7" applyNumberFormat="1" applyFont="1" applyFill="1" applyBorder="1" applyAlignment="1">
      <alignment horizontal="center" vertical="center"/>
    </xf>
    <xf numFmtId="164" fontId="3" fillId="0" borderId="1" xfId="7"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0" fontId="3" fillId="0" borderId="0" xfId="5" applyFont="1" applyFill="1" applyAlignment="1">
      <alignment horizontal="center" vertical="center"/>
    </xf>
    <xf numFmtId="164" fontId="22" fillId="4" borderId="6" xfId="0" applyNumberFormat="1" applyFont="1" applyFill="1" applyBorder="1" applyAlignment="1">
      <alignment horizontal="center" vertical="center"/>
    </xf>
    <xf numFmtId="0" fontId="0" fillId="0" borderId="0" xfId="0" applyFill="1" applyBorder="1"/>
    <xf numFmtId="164" fontId="3" fillId="0" borderId="5" xfId="13" applyNumberFormat="1" applyFont="1" applyFill="1" applyBorder="1" applyAlignment="1">
      <alignment horizontal="center" vertical="center"/>
    </xf>
    <xf numFmtId="0" fontId="0" fillId="4" borderId="1" xfId="0" applyFill="1" applyBorder="1" applyAlignment="1">
      <alignment vertical="center" wrapText="1"/>
    </xf>
    <xf numFmtId="164" fontId="3" fillId="4" borderId="1" xfId="13" applyNumberFormat="1" applyFont="1" applyFill="1" applyBorder="1" applyAlignment="1">
      <alignment horizontal="center" vertical="center" wrapText="1"/>
    </xf>
    <xf numFmtId="0" fontId="3" fillId="4" borderId="8" xfId="0" applyFont="1" applyFill="1" applyBorder="1" applyAlignment="1">
      <alignment wrapText="1"/>
    </xf>
    <xf numFmtId="164" fontId="3" fillId="4" borderId="1" xfId="0" applyNumberFormat="1" applyFont="1" applyFill="1" applyBorder="1" applyAlignment="1">
      <alignment horizontal="center" wrapText="1"/>
    </xf>
    <xf numFmtId="14" fontId="0" fillId="4" borderId="1" xfId="0" applyNumberFormat="1" applyFill="1" applyBorder="1" applyAlignment="1">
      <alignment horizontal="center"/>
    </xf>
    <xf numFmtId="0" fontId="3" fillId="4" borderId="1" xfId="0" applyFont="1" applyFill="1" applyBorder="1" applyAlignment="1">
      <alignment horizontal="left" wrapText="1"/>
    </xf>
    <xf numFmtId="164" fontId="3" fillId="4" borderId="1" xfId="13" applyNumberFormat="1" applyFont="1" applyFill="1" applyBorder="1" applyAlignment="1">
      <alignment horizontal="center" wrapText="1"/>
    </xf>
    <xf numFmtId="164" fontId="11" fillId="0" borderId="1" xfId="3" applyNumberFormat="1" applyFont="1" applyFill="1" applyBorder="1" applyAlignment="1">
      <alignment horizontal="right" vertical="top" wrapText="1"/>
    </xf>
    <xf numFmtId="164" fontId="11" fillId="0" borderId="2" xfId="3" applyNumberFormat="1" applyFont="1" applyFill="1" applyBorder="1" applyAlignment="1">
      <alignment horizontal="right" vertical="top" wrapText="1"/>
    </xf>
    <xf numFmtId="0" fontId="11" fillId="0" borderId="3" xfId="3" applyFont="1" applyFill="1" applyBorder="1" applyAlignment="1">
      <alignment horizontal="center" wrapText="1"/>
    </xf>
    <xf numFmtId="14" fontId="3" fillId="0" borderId="1" xfId="3" applyNumberFormat="1" applyFont="1" applyFill="1" applyBorder="1" applyAlignment="1">
      <alignment horizontal="center" vertical="top" wrapText="1"/>
    </xf>
    <xf numFmtId="44" fontId="0" fillId="0" borderId="1" xfId="13" applyFont="1" applyBorder="1"/>
    <xf numFmtId="49" fontId="3" fillId="0" borderId="1" xfId="13" applyNumberFormat="1" applyFont="1" applyBorder="1" applyAlignment="1">
      <alignment horizontal="right"/>
    </xf>
    <xf numFmtId="0" fontId="0" fillId="0" borderId="1" xfId="0" applyBorder="1" applyAlignment="1">
      <alignment horizontal="right"/>
    </xf>
    <xf numFmtId="0" fontId="28" fillId="7" borderId="0" xfId="0" applyFont="1" applyFill="1"/>
    <xf numFmtId="49" fontId="3" fillId="0" borderId="1" xfId="0" applyNumberFormat="1" applyFont="1" applyFill="1" applyBorder="1" applyAlignment="1">
      <alignment horizontal="right"/>
    </xf>
    <xf numFmtId="0" fontId="9" fillId="5" borderId="2" xfId="0" applyFont="1" applyFill="1" applyBorder="1" applyAlignment="1">
      <alignment horizontal="center" vertical="center" wrapText="1"/>
    </xf>
    <xf numFmtId="164" fontId="29" fillId="0" borderId="1" xfId="0" applyNumberFormat="1" applyFont="1" applyFill="1" applyBorder="1"/>
    <xf numFmtId="164" fontId="10" fillId="0" borderId="1" xfId="0" applyNumberFormat="1" applyFont="1" applyFill="1" applyBorder="1" applyAlignment="1">
      <alignment horizontal="center" vertical="center"/>
    </xf>
    <xf numFmtId="0" fontId="9" fillId="0" borderId="2" xfId="0" applyFont="1" applyBorder="1" applyAlignment="1">
      <alignment vertical="center" wrapText="1"/>
    </xf>
    <xf numFmtId="164" fontId="30" fillId="0" borderId="0" xfId="0" applyNumberFormat="1" applyFont="1" applyFill="1" applyBorder="1"/>
    <xf numFmtId="14" fontId="10" fillId="0" borderId="6" xfId="0" applyNumberFormat="1" applyFont="1" applyBorder="1" applyAlignment="1">
      <alignment horizontal="right" vertical="center"/>
    </xf>
    <xf numFmtId="14" fontId="10" fillId="0" borderId="6" xfId="0" applyNumberFormat="1" applyFont="1" applyBorder="1" applyAlignment="1">
      <alignment horizontal="right" vertical="center" wrapText="1"/>
    </xf>
    <xf numFmtId="14" fontId="10" fillId="0" borderId="1" xfId="0" applyNumberFormat="1" applyFont="1" applyBorder="1" applyAlignment="1">
      <alignment horizontal="right" vertical="center" wrapText="1"/>
    </xf>
    <xf numFmtId="0" fontId="22" fillId="4" borderId="1" xfId="0" applyFont="1" applyFill="1" applyBorder="1"/>
    <xf numFmtId="164" fontId="22" fillId="4" borderId="1" xfId="15" applyNumberFormat="1" applyFont="1" applyFill="1" applyBorder="1" applyAlignment="1">
      <alignment horizontal="center"/>
    </xf>
    <xf numFmtId="164" fontId="31" fillId="4" borderId="1" xfId="0" applyNumberFormat="1" applyFont="1" applyFill="1" applyBorder="1" applyAlignment="1">
      <alignment horizontal="center"/>
    </xf>
    <xf numFmtId="0" fontId="22" fillId="4" borderId="1" xfId="0" applyFont="1" applyFill="1" applyBorder="1" applyAlignment="1">
      <alignment horizontal="center" vertical="center" wrapText="1"/>
    </xf>
    <xf numFmtId="14" fontId="22" fillId="4" borderId="1" xfId="0" applyNumberFormat="1" applyFont="1" applyFill="1" applyBorder="1" applyAlignment="1">
      <alignment horizontal="center" vertical="center"/>
    </xf>
    <xf numFmtId="0" fontId="31" fillId="4" borderId="1" xfId="0" applyFont="1" applyFill="1" applyBorder="1"/>
    <xf numFmtId="164" fontId="3" fillId="4" borderId="1" xfId="16" applyNumberFormat="1" applyFont="1" applyFill="1" applyBorder="1"/>
    <xf numFmtId="164" fontId="12" fillId="4" borderId="11" xfId="16" applyNumberFormat="1" applyFont="1" applyFill="1" applyBorder="1" applyAlignment="1">
      <alignment horizontal="center" wrapText="1" readingOrder="1"/>
    </xf>
    <xf numFmtId="6" fontId="12" fillId="4" borderId="11" xfId="16" applyNumberFormat="1" applyFont="1" applyFill="1" applyBorder="1" applyAlignment="1">
      <alignment horizontal="center" wrapText="1" readingOrder="1"/>
    </xf>
    <xf numFmtId="0" fontId="3" fillId="4" borderId="1" xfId="0" applyFont="1" applyFill="1" applyBorder="1" applyAlignment="1">
      <alignment horizontal="left" vertical="center"/>
    </xf>
    <xf numFmtId="164" fontId="3" fillId="4" borderId="1" xfId="16" applyNumberFormat="1" applyFont="1" applyFill="1" applyBorder="1" applyAlignment="1">
      <alignment horizontal="left" wrapText="1"/>
    </xf>
    <xf numFmtId="164" fontId="3" fillId="4" borderId="1" xfId="13" applyNumberFormat="1" applyFont="1" applyFill="1" applyBorder="1" applyAlignment="1">
      <alignment horizontal="center"/>
    </xf>
    <xf numFmtId="44" fontId="0" fillId="0" borderId="1" xfId="13" applyFont="1" applyFill="1" applyBorder="1"/>
    <xf numFmtId="44" fontId="3" fillId="0" borderId="1" xfId="13" applyFont="1" applyBorder="1" applyAlignment="1">
      <alignment horizontal="right"/>
    </xf>
    <xf numFmtId="0" fontId="12" fillId="0" borderId="1" xfId="0" applyFont="1" applyBorder="1" applyAlignment="1">
      <alignment wrapText="1"/>
    </xf>
    <xf numFmtId="0" fontId="3" fillId="0" borderId="1" xfId="0" applyFont="1" applyBorder="1"/>
    <xf numFmtId="44" fontId="3" fillId="7" borderId="0" xfId="13" applyFont="1" applyFill="1"/>
    <xf numFmtId="0" fontId="28" fillId="4" borderId="0" xfId="0" applyFont="1" applyFill="1"/>
    <xf numFmtId="44" fontId="28" fillId="4" borderId="0" xfId="13" applyFont="1" applyFill="1"/>
    <xf numFmtId="6" fontId="3" fillId="0" borderId="1" xfId="13" applyNumberFormat="1" applyFont="1" applyBorder="1" applyAlignment="1">
      <alignment horizontal="right"/>
    </xf>
    <xf numFmtId="0" fontId="3" fillId="0" borderId="1" xfId="0" applyFont="1" applyBorder="1" applyAlignment="1">
      <alignment horizontal="right"/>
    </xf>
    <xf numFmtId="8" fontId="3" fillId="0" borderId="1" xfId="13" applyNumberFormat="1" applyFont="1" applyBorder="1" applyAlignment="1">
      <alignment horizontal="right"/>
    </xf>
    <xf numFmtId="0" fontId="11" fillId="0" borderId="1" xfId="3" applyFont="1" applyFill="1" applyBorder="1" applyAlignment="1">
      <alignment horizontal="center" wrapText="1"/>
    </xf>
    <xf numFmtId="0" fontId="26" fillId="0" borderId="1" xfId="3" applyFont="1" applyFill="1" applyBorder="1" applyAlignment="1">
      <alignment horizontal="left" vertical="top" wrapText="1"/>
    </xf>
    <xf numFmtId="0" fontId="3" fillId="0" borderId="1" xfId="3" applyFont="1" applyFill="1" applyBorder="1" applyAlignment="1">
      <alignment horizontal="center" vertical="top" wrapText="1"/>
    </xf>
    <xf numFmtId="165" fontId="3" fillId="0" borderId="1" xfId="13" applyNumberFormat="1" applyFont="1" applyFill="1" applyBorder="1" applyAlignment="1">
      <alignment horizontal="left" vertical="top" wrapText="1"/>
    </xf>
    <xf numFmtId="165" fontId="27" fillId="0" borderId="1" xfId="13" applyNumberFormat="1" applyFont="1" applyFill="1" applyBorder="1" applyAlignment="1">
      <alignment horizontal="left" vertical="top" wrapText="1"/>
    </xf>
    <xf numFmtId="0" fontId="3" fillId="0" borderId="0" xfId="0" applyFont="1" applyFill="1" applyAlignment="1">
      <alignment wrapText="1"/>
    </xf>
    <xf numFmtId="0" fontId="3" fillId="4" borderId="1" xfId="0" applyFont="1" applyFill="1" applyBorder="1" applyAlignment="1">
      <alignment vertical="top" wrapText="1"/>
    </xf>
    <xf numFmtId="14" fontId="3" fillId="4" borderId="1" xfId="0" applyNumberFormat="1" applyFont="1" applyFill="1" applyBorder="1" applyAlignment="1">
      <alignment horizontal="left" vertical="top" wrapText="1"/>
    </xf>
    <xf numFmtId="5" fontId="3" fillId="4" borderId="1" xfId="13" applyNumberFormat="1" applyFont="1" applyFill="1" applyBorder="1" applyAlignment="1">
      <alignment horizontal="right" vertical="top" wrapText="1"/>
    </xf>
    <xf numFmtId="5" fontId="3" fillId="4" borderId="2" xfId="13" applyNumberFormat="1" applyFont="1" applyFill="1" applyBorder="1" applyAlignment="1">
      <alignment horizontal="right" vertical="top" wrapText="1"/>
    </xf>
    <xf numFmtId="165" fontId="32" fillId="4" borderId="1" xfId="13" applyNumberFormat="1" applyFont="1" applyFill="1" applyBorder="1" applyAlignment="1">
      <alignment horizontal="left" vertical="top" wrapText="1"/>
    </xf>
    <xf numFmtId="14" fontId="11" fillId="4" borderId="1" xfId="3" applyNumberFormat="1" applyFont="1" applyFill="1" applyBorder="1" applyAlignment="1">
      <alignment horizontal="center" vertical="top" wrapText="1"/>
    </xf>
    <xf numFmtId="0" fontId="3" fillId="4" borderId="0" xfId="0" applyFont="1" applyFill="1" applyAlignment="1">
      <alignment horizontal="left"/>
    </xf>
    <xf numFmtId="0" fontId="3" fillId="4" borderId="0" xfId="0" applyFont="1" applyFill="1" applyAlignment="1">
      <alignment horizontal="left" wrapText="1"/>
    </xf>
    <xf numFmtId="0" fontId="3" fillId="4" borderId="0" xfId="0" applyFont="1" applyFill="1" applyAlignment="1">
      <alignment wrapText="1"/>
    </xf>
    <xf numFmtId="14" fontId="10" fillId="0" borderId="1" xfId="0" applyNumberFormat="1" applyFont="1" applyFill="1" applyBorder="1" applyAlignment="1">
      <alignment vertical="center" wrapText="1"/>
    </xf>
    <xf numFmtId="164" fontId="33" fillId="0" borderId="1" xfId="0" applyNumberFormat="1" applyFont="1" applyFill="1" applyBorder="1"/>
    <xf numFmtId="164" fontId="34" fillId="0" borderId="1" xfId="0" applyNumberFormat="1" applyFont="1" applyFill="1" applyBorder="1"/>
    <xf numFmtId="0" fontId="9" fillId="0" borderId="0" xfId="0" applyFont="1" applyBorder="1"/>
    <xf numFmtId="0" fontId="9" fillId="0" borderId="0" xfId="0" applyFont="1" applyBorder="1" applyAlignment="1">
      <alignment vertical="center" wrapText="1"/>
    </xf>
    <xf numFmtId="0" fontId="9" fillId="0" borderId="0" xfId="0" applyFont="1" applyBorder="1" applyAlignment="1">
      <alignment vertical="center"/>
    </xf>
    <xf numFmtId="6" fontId="9" fillId="0" borderId="0" xfId="0" applyNumberFormat="1" applyFont="1" applyBorder="1" applyAlignment="1">
      <alignment vertical="center"/>
    </xf>
    <xf numFmtId="164" fontId="9" fillId="0" borderId="0" xfId="0" applyNumberFormat="1" applyFont="1" applyBorder="1" applyAlignment="1">
      <alignment vertical="center"/>
    </xf>
    <xf numFmtId="164" fontId="10" fillId="0" borderId="0" xfId="0" applyNumberFormat="1" applyFont="1" applyBorder="1" applyAlignment="1">
      <alignment horizontal="center" wrapText="1"/>
    </xf>
    <xf numFmtId="6" fontId="9" fillId="0" borderId="0" xfId="0" applyNumberFormat="1" applyFont="1" applyBorder="1" applyAlignment="1"/>
    <xf numFmtId="164" fontId="9" fillId="0" borderId="0" xfId="0" applyNumberFormat="1" applyFont="1" applyBorder="1" applyAlignment="1">
      <alignment horizontal="center"/>
    </xf>
    <xf numFmtId="0" fontId="9" fillId="0" borderId="0" xfId="0" applyFont="1" applyBorder="1" applyAlignment="1">
      <alignment horizontal="left" vertical="center" wrapText="1"/>
    </xf>
    <xf numFmtId="0" fontId="9" fillId="0" borderId="0" xfId="0" applyFont="1" applyBorder="1" applyAlignment="1">
      <alignment horizontal="center" vertical="center"/>
    </xf>
    <xf numFmtId="164" fontId="30" fillId="0" borderId="1" xfId="0" applyNumberFormat="1" applyFont="1" applyFill="1" applyBorder="1"/>
    <xf numFmtId="0" fontId="10" fillId="0" borderId="3" xfId="0" applyFont="1" applyFill="1" applyBorder="1" applyAlignment="1">
      <alignment vertical="center"/>
    </xf>
    <xf numFmtId="0" fontId="9" fillId="0" borderId="1" xfId="0" applyFont="1" applyFill="1" applyBorder="1" applyAlignment="1">
      <alignment vertical="center" wrapText="1"/>
    </xf>
    <xf numFmtId="14" fontId="10" fillId="0" borderId="1" xfId="2" applyNumberFormat="1" applyFont="1" applyFill="1" applyBorder="1" applyAlignment="1">
      <alignment vertical="center" wrapText="1"/>
    </xf>
    <xf numFmtId="14" fontId="10" fillId="0" borderId="1" xfId="0" applyNumberFormat="1" applyFont="1" applyFill="1" applyBorder="1" applyAlignment="1">
      <alignment vertical="center"/>
    </xf>
    <xf numFmtId="164" fontId="10" fillId="0" borderId="0" xfId="0" applyNumberFormat="1" applyFont="1" applyFill="1" applyAlignment="1">
      <alignment horizontal="center" vertical="center" wrapText="1"/>
    </xf>
    <xf numFmtId="14" fontId="10" fillId="0" borderId="5" xfId="0" applyNumberFormat="1" applyFont="1" applyFill="1" applyBorder="1" applyAlignment="1">
      <alignment vertical="center"/>
    </xf>
    <xf numFmtId="14" fontId="10" fillId="0" borderId="5" xfId="0" applyNumberFormat="1" applyFont="1" applyFill="1" applyBorder="1" applyAlignment="1">
      <alignment vertical="center" wrapText="1"/>
    </xf>
    <xf numFmtId="14" fontId="14" fillId="0" borderId="1" xfId="0" applyNumberFormat="1" applyFont="1" applyFill="1" applyBorder="1" applyAlignment="1">
      <alignment vertical="center" wrapText="1"/>
    </xf>
    <xf numFmtId="164" fontId="10" fillId="0" borderId="0" xfId="12" applyNumberFormat="1" applyFont="1" applyFill="1" applyBorder="1" applyAlignment="1">
      <alignment vertical="center"/>
    </xf>
    <xf numFmtId="164" fontId="10" fillId="0" borderId="0" xfId="0" applyNumberFormat="1" applyFont="1" applyFill="1" applyBorder="1" applyAlignment="1">
      <alignment horizontal="right" vertical="center" wrapText="1"/>
    </xf>
    <xf numFmtId="0" fontId="3" fillId="0" borderId="0" xfId="0" applyFont="1" applyFill="1" applyBorder="1" applyAlignment="1">
      <alignment horizontal="center" wrapText="1"/>
    </xf>
    <xf numFmtId="164" fontId="10" fillId="0" borderId="0" xfId="0" applyNumberFormat="1" applyFont="1" applyFill="1" applyBorder="1" applyAlignment="1">
      <alignment horizontal="center" vertical="center" wrapText="1"/>
    </xf>
    <xf numFmtId="6" fontId="10" fillId="0" borderId="0" xfId="2" applyNumberFormat="1" applyFont="1" applyFill="1" applyBorder="1" applyAlignment="1">
      <alignment horizontal="right" vertical="center"/>
    </xf>
    <xf numFmtId="164" fontId="10" fillId="0" borderId="0" xfId="8" applyNumberFormat="1" applyFont="1" applyFill="1" applyBorder="1" applyAlignment="1">
      <alignment horizontal="right" vertical="center"/>
    </xf>
    <xf numFmtId="164" fontId="10" fillId="0" borderId="0" xfId="0" applyNumberFormat="1" applyFont="1" applyFill="1" applyBorder="1" applyAlignment="1">
      <alignment vertical="center"/>
    </xf>
    <xf numFmtId="6" fontId="10" fillId="0" borderId="0" xfId="2" applyNumberFormat="1" applyFont="1" applyFill="1" applyBorder="1" applyAlignment="1">
      <alignment vertical="center"/>
    </xf>
    <xf numFmtId="164" fontId="10" fillId="0" borderId="0" xfId="2" applyNumberFormat="1" applyFont="1" applyFill="1" applyBorder="1" applyAlignment="1">
      <alignment vertical="center"/>
    </xf>
    <xf numFmtId="164" fontId="10" fillId="0" borderId="0" xfId="0" applyNumberFormat="1" applyFont="1" applyFill="1" applyBorder="1" applyAlignment="1">
      <alignment horizontal="right" vertical="center"/>
    </xf>
    <xf numFmtId="164" fontId="10" fillId="0" borderId="0" xfId="0" applyNumberFormat="1" applyFont="1" applyBorder="1" applyAlignment="1">
      <alignment horizontal="center" vertical="center" wrapText="1"/>
    </xf>
    <xf numFmtId="0" fontId="10" fillId="0" borderId="0" xfId="0" applyFont="1" applyFill="1" applyAlignment="1">
      <alignment horizontal="center" wrapText="1"/>
    </xf>
    <xf numFmtId="0" fontId="9" fillId="0" borderId="9" xfId="0" applyFont="1" applyBorder="1" applyAlignment="1">
      <alignment horizontal="center" vertical="center"/>
    </xf>
    <xf numFmtId="0" fontId="9" fillId="0" borderId="4" xfId="0" applyFont="1" applyBorder="1" applyAlignment="1">
      <alignment horizontal="center" vertical="center"/>
    </xf>
    <xf numFmtId="0" fontId="0" fillId="0" borderId="0" xfId="0" applyFont="1" applyFill="1" applyAlignment="1">
      <alignment horizontal="left" wrapText="1"/>
    </xf>
    <xf numFmtId="0" fontId="3" fillId="0" borderId="0" xfId="0" applyFont="1" applyAlignment="1">
      <alignment horizontal="left" wrapText="1"/>
    </xf>
    <xf numFmtId="0" fontId="3" fillId="0" borderId="0" xfId="0" applyFont="1" applyFill="1" applyBorder="1" applyAlignment="1">
      <alignment horizontal="left" wrapText="1"/>
    </xf>
    <xf numFmtId="0" fontId="8" fillId="0" borderId="4" xfId="0" applyFont="1" applyFill="1" applyBorder="1" applyAlignment="1">
      <alignment horizontal="center" wrapText="1"/>
    </xf>
    <xf numFmtId="0" fontId="11" fillId="2" borderId="2" xfId="3" applyFont="1" applyFill="1" applyBorder="1" applyAlignment="1">
      <alignment horizontal="center" wrapText="1"/>
    </xf>
    <xf numFmtId="0" fontId="11" fillId="2" borderId="3" xfId="3" applyFont="1" applyFill="1" applyBorder="1" applyAlignment="1">
      <alignment horizontal="center" wrapText="1"/>
    </xf>
    <xf numFmtId="0" fontId="13" fillId="0" borderId="4" xfId="0" applyFont="1" applyBorder="1" applyAlignment="1">
      <alignment horizontal="center" wrapText="1"/>
    </xf>
    <xf numFmtId="0" fontId="13" fillId="0" borderId="4" xfId="0" applyFont="1" applyBorder="1" applyAlignment="1">
      <alignment horizontal="center"/>
    </xf>
    <xf numFmtId="0" fontId="9" fillId="0" borderId="0" xfId="0" applyFont="1" applyFill="1" applyAlignment="1">
      <alignment horizontal="center" vertical="center" wrapText="1"/>
    </xf>
    <xf numFmtId="0" fontId="15" fillId="0" borderId="4" xfId="0" applyFont="1" applyBorder="1" applyAlignment="1">
      <alignment horizontal="center"/>
    </xf>
    <xf numFmtId="0" fontId="13" fillId="0" borderId="4" xfId="5" applyFont="1" applyBorder="1" applyAlignment="1">
      <alignment horizontal="center" vertical="center" wrapText="1"/>
    </xf>
    <xf numFmtId="0" fontId="4" fillId="0" borderId="4" xfId="0" applyFont="1" applyBorder="1" applyAlignment="1">
      <alignment horizontal="center" vertical="center" wrapText="1"/>
    </xf>
    <xf numFmtId="0" fontId="9" fillId="0" borderId="9" xfId="0" applyFont="1" applyFill="1" applyBorder="1" applyAlignment="1">
      <alignment horizontal="center" vertical="center" wrapText="1"/>
    </xf>
    <xf numFmtId="0" fontId="15" fillId="0" borderId="4" xfId="11" applyFont="1" applyBorder="1" applyAlignment="1">
      <alignment horizontal="center" vertical="center" wrapText="1"/>
    </xf>
    <xf numFmtId="0" fontId="9" fillId="6" borderId="2"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0" fillId="6" borderId="9" xfId="0" applyFont="1" applyFill="1" applyBorder="1" applyAlignment="1">
      <alignment vertical="center" wrapText="1"/>
    </xf>
    <xf numFmtId="0" fontId="10" fillId="6" borderId="3" xfId="0" applyFont="1" applyFill="1" applyBorder="1" applyAlignment="1">
      <alignment vertical="center" wrapText="1"/>
    </xf>
    <xf numFmtId="0" fontId="9" fillId="6" borderId="1" xfId="0" applyFont="1" applyFill="1" applyBorder="1" applyAlignment="1">
      <alignment horizontal="center" vertical="center" wrapText="1"/>
    </xf>
    <xf numFmtId="0" fontId="9" fillId="6" borderId="6" xfId="0" applyFont="1" applyFill="1" applyBorder="1" applyAlignment="1">
      <alignment horizontal="center" vertical="center" wrapText="1"/>
    </xf>
  </cellXfs>
  <cellStyles count="17">
    <cellStyle name="Comma" xfId="10" builtinId="3"/>
    <cellStyle name="Currency" xfId="15" builtinId="4"/>
    <cellStyle name="Currency 2" xfId="1" xr:uid="{00000000-0005-0000-0000-000001000000}"/>
    <cellStyle name="Currency 2 2" xfId="13" xr:uid="{00000000-0005-0000-0000-000002000000}"/>
    <cellStyle name="Currency 3" xfId="7" xr:uid="{00000000-0005-0000-0000-000003000000}"/>
    <cellStyle name="Normal" xfId="0" builtinId="0"/>
    <cellStyle name="Normal 2" xfId="2" xr:uid="{00000000-0005-0000-0000-000005000000}"/>
    <cellStyle name="Normal 3" xfId="8" xr:uid="{00000000-0005-0000-0000-000006000000}"/>
    <cellStyle name="Normal 3 2" xfId="14" xr:uid="{00000000-0005-0000-0000-000007000000}"/>
    <cellStyle name="Normal 3 2 2" xfId="16" xr:uid="{1AD2CA95-D516-410F-9278-29E09DB79AAA}"/>
    <cellStyle name="Normal 4" xfId="11" xr:uid="{00000000-0005-0000-0000-000008000000}"/>
    <cellStyle name="Normal 7" xfId="12" xr:uid="{00000000-0005-0000-0000-000009000000}"/>
    <cellStyle name="Normal_FY 2002 Project Summary" xfId="5" xr:uid="{00000000-0005-0000-0000-00000A000000}"/>
    <cellStyle name="Normal_FY 2002 Project Summary 2" xfId="9" xr:uid="{00000000-0005-0000-0000-00000B000000}"/>
    <cellStyle name="Normal_Sheet1" xfId="6" xr:uid="{00000000-0005-0000-0000-00000C000000}"/>
    <cellStyle name="Normal_Sheet1 2" xfId="3" xr:uid="{00000000-0005-0000-0000-00000D000000}"/>
    <cellStyle name="Normal_Sheet1_SRT" xfId="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4"/>
  <sheetViews>
    <sheetView tabSelected="1" zoomScaleNormal="100" workbookViewId="0">
      <selection sqref="A1:I1"/>
    </sheetView>
  </sheetViews>
  <sheetFormatPr defaultRowHeight="12.75" x14ac:dyDescent="0.2"/>
  <cols>
    <col min="1" max="1" width="30.5703125" style="35" customWidth="1"/>
    <col min="2" max="2" width="39.140625" style="36" customWidth="1"/>
    <col min="3" max="3" width="14.7109375" style="37" customWidth="1"/>
    <col min="4" max="4" width="14.28515625" style="37" customWidth="1"/>
    <col min="5" max="5" width="22.7109375" style="38" customWidth="1"/>
    <col min="6" max="6" width="12.5703125" style="37" customWidth="1"/>
    <col min="7" max="7" width="15" style="37" customWidth="1"/>
    <col min="8" max="8" width="24" style="39" customWidth="1"/>
    <col min="9" max="9" width="17.28515625" style="39" customWidth="1"/>
    <col min="10" max="10" width="10.85546875" style="40" customWidth="1"/>
    <col min="11" max="256" width="9.140625" style="40"/>
    <col min="257" max="257" width="18.28515625" style="40" customWidth="1"/>
    <col min="258" max="258" width="48.5703125" style="40" customWidth="1"/>
    <col min="259" max="259" width="14.7109375" style="40" customWidth="1"/>
    <col min="260" max="260" width="14.28515625" style="40" customWidth="1"/>
    <col min="261" max="261" width="30.7109375" style="40" customWidth="1"/>
    <col min="262" max="262" width="12.5703125" style="40" customWidth="1"/>
    <col min="263" max="263" width="15" style="40" customWidth="1"/>
    <col min="264" max="264" width="17.85546875" style="40" customWidth="1"/>
    <col min="265" max="265" width="17.28515625" style="40" customWidth="1"/>
    <col min="266" max="266" width="10.85546875" style="40" customWidth="1"/>
    <col min="267" max="512" width="9.140625" style="40"/>
    <col min="513" max="513" width="18.28515625" style="40" customWidth="1"/>
    <col min="514" max="514" width="48.5703125" style="40" customWidth="1"/>
    <col min="515" max="515" width="14.7109375" style="40" customWidth="1"/>
    <col min="516" max="516" width="14.28515625" style="40" customWidth="1"/>
    <col min="517" max="517" width="30.7109375" style="40" customWidth="1"/>
    <col min="518" max="518" width="12.5703125" style="40" customWidth="1"/>
    <col min="519" max="519" width="15" style="40" customWidth="1"/>
    <col min="520" max="520" width="17.85546875" style="40" customWidth="1"/>
    <col min="521" max="521" width="17.28515625" style="40" customWidth="1"/>
    <col min="522" max="522" width="10.85546875" style="40" customWidth="1"/>
    <col min="523" max="768" width="9.140625" style="40"/>
    <col min="769" max="769" width="18.28515625" style="40" customWidth="1"/>
    <col min="770" max="770" width="48.5703125" style="40" customWidth="1"/>
    <col min="771" max="771" width="14.7109375" style="40" customWidth="1"/>
    <col min="772" max="772" width="14.28515625" style="40" customWidth="1"/>
    <col min="773" max="773" width="30.7109375" style="40" customWidth="1"/>
    <col min="774" max="774" width="12.5703125" style="40" customWidth="1"/>
    <col min="775" max="775" width="15" style="40" customWidth="1"/>
    <col min="776" max="776" width="17.85546875" style="40" customWidth="1"/>
    <col min="777" max="777" width="17.28515625" style="40" customWidth="1"/>
    <col min="778" max="778" width="10.85546875" style="40" customWidth="1"/>
    <col min="779" max="1024" width="9.140625" style="40"/>
    <col min="1025" max="1025" width="18.28515625" style="40" customWidth="1"/>
    <col min="1026" max="1026" width="48.5703125" style="40" customWidth="1"/>
    <col min="1027" max="1027" width="14.7109375" style="40" customWidth="1"/>
    <col min="1028" max="1028" width="14.28515625" style="40" customWidth="1"/>
    <col min="1029" max="1029" width="30.7109375" style="40" customWidth="1"/>
    <col min="1030" max="1030" width="12.5703125" style="40" customWidth="1"/>
    <col min="1031" max="1031" width="15" style="40" customWidth="1"/>
    <col min="1032" max="1032" width="17.85546875" style="40" customWidth="1"/>
    <col min="1033" max="1033" width="17.28515625" style="40" customWidth="1"/>
    <col min="1034" max="1034" width="10.85546875" style="40" customWidth="1"/>
    <col min="1035" max="1280" width="9.140625" style="40"/>
    <col min="1281" max="1281" width="18.28515625" style="40" customWidth="1"/>
    <col min="1282" max="1282" width="48.5703125" style="40" customWidth="1"/>
    <col min="1283" max="1283" width="14.7109375" style="40" customWidth="1"/>
    <col min="1284" max="1284" width="14.28515625" style="40" customWidth="1"/>
    <col min="1285" max="1285" width="30.7109375" style="40" customWidth="1"/>
    <col min="1286" max="1286" width="12.5703125" style="40" customWidth="1"/>
    <col min="1287" max="1287" width="15" style="40" customWidth="1"/>
    <col min="1288" max="1288" width="17.85546875" style="40" customWidth="1"/>
    <col min="1289" max="1289" width="17.28515625" style="40" customWidth="1"/>
    <col min="1290" max="1290" width="10.85546875" style="40" customWidth="1"/>
    <col min="1291" max="1536" width="9.140625" style="40"/>
    <col min="1537" max="1537" width="18.28515625" style="40" customWidth="1"/>
    <col min="1538" max="1538" width="48.5703125" style="40" customWidth="1"/>
    <col min="1539" max="1539" width="14.7109375" style="40" customWidth="1"/>
    <col min="1540" max="1540" width="14.28515625" style="40" customWidth="1"/>
    <col min="1541" max="1541" width="30.7109375" style="40" customWidth="1"/>
    <col min="1542" max="1542" width="12.5703125" style="40" customWidth="1"/>
    <col min="1543" max="1543" width="15" style="40" customWidth="1"/>
    <col min="1544" max="1544" width="17.85546875" style="40" customWidth="1"/>
    <col min="1545" max="1545" width="17.28515625" style="40" customWidth="1"/>
    <col min="1546" max="1546" width="10.85546875" style="40" customWidth="1"/>
    <col min="1547" max="1792" width="9.140625" style="40"/>
    <col min="1793" max="1793" width="18.28515625" style="40" customWidth="1"/>
    <col min="1794" max="1794" width="48.5703125" style="40" customWidth="1"/>
    <col min="1795" max="1795" width="14.7109375" style="40" customWidth="1"/>
    <col min="1796" max="1796" width="14.28515625" style="40" customWidth="1"/>
    <col min="1797" max="1797" width="30.7109375" style="40" customWidth="1"/>
    <col min="1798" max="1798" width="12.5703125" style="40" customWidth="1"/>
    <col min="1799" max="1799" width="15" style="40" customWidth="1"/>
    <col min="1800" max="1800" width="17.85546875" style="40" customWidth="1"/>
    <col min="1801" max="1801" width="17.28515625" style="40" customWidth="1"/>
    <col min="1802" max="1802" width="10.85546875" style="40" customWidth="1"/>
    <col min="1803" max="2048" width="9.140625" style="40"/>
    <col min="2049" max="2049" width="18.28515625" style="40" customWidth="1"/>
    <col min="2050" max="2050" width="48.5703125" style="40" customWidth="1"/>
    <col min="2051" max="2051" width="14.7109375" style="40" customWidth="1"/>
    <col min="2052" max="2052" width="14.28515625" style="40" customWidth="1"/>
    <col min="2053" max="2053" width="30.7109375" style="40" customWidth="1"/>
    <col min="2054" max="2054" width="12.5703125" style="40" customWidth="1"/>
    <col min="2055" max="2055" width="15" style="40" customWidth="1"/>
    <col min="2056" max="2056" width="17.85546875" style="40" customWidth="1"/>
    <col min="2057" max="2057" width="17.28515625" style="40" customWidth="1"/>
    <col min="2058" max="2058" width="10.85546875" style="40" customWidth="1"/>
    <col min="2059" max="2304" width="9.140625" style="40"/>
    <col min="2305" max="2305" width="18.28515625" style="40" customWidth="1"/>
    <col min="2306" max="2306" width="48.5703125" style="40" customWidth="1"/>
    <col min="2307" max="2307" width="14.7109375" style="40" customWidth="1"/>
    <col min="2308" max="2308" width="14.28515625" style="40" customWidth="1"/>
    <col min="2309" max="2309" width="30.7109375" style="40" customWidth="1"/>
    <col min="2310" max="2310" width="12.5703125" style="40" customWidth="1"/>
    <col min="2311" max="2311" width="15" style="40" customWidth="1"/>
    <col min="2312" max="2312" width="17.85546875" style="40" customWidth="1"/>
    <col min="2313" max="2313" width="17.28515625" style="40" customWidth="1"/>
    <col min="2314" max="2314" width="10.85546875" style="40" customWidth="1"/>
    <col min="2315" max="2560" width="9.140625" style="40"/>
    <col min="2561" max="2561" width="18.28515625" style="40" customWidth="1"/>
    <col min="2562" max="2562" width="48.5703125" style="40" customWidth="1"/>
    <col min="2563" max="2563" width="14.7109375" style="40" customWidth="1"/>
    <col min="2564" max="2564" width="14.28515625" style="40" customWidth="1"/>
    <col min="2565" max="2565" width="30.7109375" style="40" customWidth="1"/>
    <col min="2566" max="2566" width="12.5703125" style="40" customWidth="1"/>
    <col min="2567" max="2567" width="15" style="40" customWidth="1"/>
    <col min="2568" max="2568" width="17.85546875" style="40" customWidth="1"/>
    <col min="2569" max="2569" width="17.28515625" style="40" customWidth="1"/>
    <col min="2570" max="2570" width="10.85546875" style="40" customWidth="1"/>
    <col min="2571" max="2816" width="9.140625" style="40"/>
    <col min="2817" max="2817" width="18.28515625" style="40" customWidth="1"/>
    <col min="2818" max="2818" width="48.5703125" style="40" customWidth="1"/>
    <col min="2819" max="2819" width="14.7109375" style="40" customWidth="1"/>
    <col min="2820" max="2820" width="14.28515625" style="40" customWidth="1"/>
    <col min="2821" max="2821" width="30.7109375" style="40" customWidth="1"/>
    <col min="2822" max="2822" width="12.5703125" style="40" customWidth="1"/>
    <col min="2823" max="2823" width="15" style="40" customWidth="1"/>
    <col min="2824" max="2824" width="17.85546875" style="40" customWidth="1"/>
    <col min="2825" max="2825" width="17.28515625" style="40" customWidth="1"/>
    <col min="2826" max="2826" width="10.85546875" style="40" customWidth="1"/>
    <col min="2827" max="3072" width="9.140625" style="40"/>
    <col min="3073" max="3073" width="18.28515625" style="40" customWidth="1"/>
    <col min="3074" max="3074" width="48.5703125" style="40" customWidth="1"/>
    <col min="3075" max="3075" width="14.7109375" style="40" customWidth="1"/>
    <col min="3076" max="3076" width="14.28515625" style="40" customWidth="1"/>
    <col min="3077" max="3077" width="30.7109375" style="40" customWidth="1"/>
    <col min="3078" max="3078" width="12.5703125" style="40" customWidth="1"/>
    <col min="3079" max="3079" width="15" style="40" customWidth="1"/>
    <col min="3080" max="3080" width="17.85546875" style="40" customWidth="1"/>
    <col min="3081" max="3081" width="17.28515625" style="40" customWidth="1"/>
    <col min="3082" max="3082" width="10.85546875" style="40" customWidth="1"/>
    <col min="3083" max="3328" width="9.140625" style="40"/>
    <col min="3329" max="3329" width="18.28515625" style="40" customWidth="1"/>
    <col min="3330" max="3330" width="48.5703125" style="40" customWidth="1"/>
    <col min="3331" max="3331" width="14.7109375" style="40" customWidth="1"/>
    <col min="3332" max="3332" width="14.28515625" style="40" customWidth="1"/>
    <col min="3333" max="3333" width="30.7109375" style="40" customWidth="1"/>
    <col min="3334" max="3334" width="12.5703125" style="40" customWidth="1"/>
    <col min="3335" max="3335" width="15" style="40" customWidth="1"/>
    <col min="3336" max="3336" width="17.85546875" style="40" customWidth="1"/>
    <col min="3337" max="3337" width="17.28515625" style="40" customWidth="1"/>
    <col min="3338" max="3338" width="10.85546875" style="40" customWidth="1"/>
    <col min="3339" max="3584" width="9.140625" style="40"/>
    <col min="3585" max="3585" width="18.28515625" style="40" customWidth="1"/>
    <col min="3586" max="3586" width="48.5703125" style="40" customWidth="1"/>
    <col min="3587" max="3587" width="14.7109375" style="40" customWidth="1"/>
    <col min="3588" max="3588" width="14.28515625" style="40" customWidth="1"/>
    <col min="3589" max="3589" width="30.7109375" style="40" customWidth="1"/>
    <col min="3590" max="3590" width="12.5703125" style="40" customWidth="1"/>
    <col min="3591" max="3591" width="15" style="40" customWidth="1"/>
    <col min="3592" max="3592" width="17.85546875" style="40" customWidth="1"/>
    <col min="3593" max="3593" width="17.28515625" style="40" customWidth="1"/>
    <col min="3594" max="3594" width="10.85546875" style="40" customWidth="1"/>
    <col min="3595" max="3840" width="9.140625" style="40"/>
    <col min="3841" max="3841" width="18.28515625" style="40" customWidth="1"/>
    <col min="3842" max="3842" width="48.5703125" style="40" customWidth="1"/>
    <col min="3843" max="3843" width="14.7109375" style="40" customWidth="1"/>
    <col min="3844" max="3844" width="14.28515625" style="40" customWidth="1"/>
    <col min="3845" max="3845" width="30.7109375" style="40" customWidth="1"/>
    <col min="3846" max="3846" width="12.5703125" style="40" customWidth="1"/>
    <col min="3847" max="3847" width="15" style="40" customWidth="1"/>
    <col min="3848" max="3848" width="17.85546875" style="40" customWidth="1"/>
    <col min="3849" max="3849" width="17.28515625" style="40" customWidth="1"/>
    <col min="3850" max="3850" width="10.85546875" style="40" customWidth="1"/>
    <col min="3851" max="4096" width="9.140625" style="40"/>
    <col min="4097" max="4097" width="18.28515625" style="40" customWidth="1"/>
    <col min="4098" max="4098" width="48.5703125" style="40" customWidth="1"/>
    <col min="4099" max="4099" width="14.7109375" style="40" customWidth="1"/>
    <col min="4100" max="4100" width="14.28515625" style="40" customWidth="1"/>
    <col min="4101" max="4101" width="30.7109375" style="40" customWidth="1"/>
    <col min="4102" max="4102" width="12.5703125" style="40" customWidth="1"/>
    <col min="4103" max="4103" width="15" style="40" customWidth="1"/>
    <col min="4104" max="4104" width="17.85546875" style="40" customWidth="1"/>
    <col min="4105" max="4105" width="17.28515625" style="40" customWidth="1"/>
    <col min="4106" max="4106" width="10.85546875" style="40" customWidth="1"/>
    <col min="4107" max="4352" width="9.140625" style="40"/>
    <col min="4353" max="4353" width="18.28515625" style="40" customWidth="1"/>
    <col min="4354" max="4354" width="48.5703125" style="40" customWidth="1"/>
    <col min="4355" max="4355" width="14.7109375" style="40" customWidth="1"/>
    <col min="4356" max="4356" width="14.28515625" style="40" customWidth="1"/>
    <col min="4357" max="4357" width="30.7109375" style="40" customWidth="1"/>
    <col min="4358" max="4358" width="12.5703125" style="40" customWidth="1"/>
    <col min="4359" max="4359" width="15" style="40" customWidth="1"/>
    <col min="4360" max="4360" width="17.85546875" style="40" customWidth="1"/>
    <col min="4361" max="4361" width="17.28515625" style="40" customWidth="1"/>
    <col min="4362" max="4362" width="10.85546875" style="40" customWidth="1"/>
    <col min="4363" max="4608" width="9.140625" style="40"/>
    <col min="4609" max="4609" width="18.28515625" style="40" customWidth="1"/>
    <col min="4610" max="4610" width="48.5703125" style="40" customWidth="1"/>
    <col min="4611" max="4611" width="14.7109375" style="40" customWidth="1"/>
    <col min="4612" max="4612" width="14.28515625" style="40" customWidth="1"/>
    <col min="4613" max="4613" width="30.7109375" style="40" customWidth="1"/>
    <col min="4614" max="4614" width="12.5703125" style="40" customWidth="1"/>
    <col min="4615" max="4615" width="15" style="40" customWidth="1"/>
    <col min="4616" max="4616" width="17.85546875" style="40" customWidth="1"/>
    <col min="4617" max="4617" width="17.28515625" style="40" customWidth="1"/>
    <col min="4618" max="4618" width="10.85546875" style="40" customWidth="1"/>
    <col min="4619" max="4864" width="9.140625" style="40"/>
    <col min="4865" max="4865" width="18.28515625" style="40" customWidth="1"/>
    <col min="4866" max="4866" width="48.5703125" style="40" customWidth="1"/>
    <col min="4867" max="4867" width="14.7109375" style="40" customWidth="1"/>
    <col min="4868" max="4868" width="14.28515625" style="40" customWidth="1"/>
    <col min="4869" max="4869" width="30.7109375" style="40" customWidth="1"/>
    <col min="4870" max="4870" width="12.5703125" style="40" customWidth="1"/>
    <col min="4871" max="4871" width="15" style="40" customWidth="1"/>
    <col min="4872" max="4872" width="17.85546875" style="40" customWidth="1"/>
    <col min="4873" max="4873" width="17.28515625" style="40" customWidth="1"/>
    <col min="4874" max="4874" width="10.85546875" style="40" customWidth="1"/>
    <col min="4875" max="5120" width="9.140625" style="40"/>
    <col min="5121" max="5121" width="18.28515625" style="40" customWidth="1"/>
    <col min="5122" max="5122" width="48.5703125" style="40" customWidth="1"/>
    <col min="5123" max="5123" width="14.7109375" style="40" customWidth="1"/>
    <col min="5124" max="5124" width="14.28515625" style="40" customWidth="1"/>
    <col min="5125" max="5125" width="30.7109375" style="40" customWidth="1"/>
    <col min="5126" max="5126" width="12.5703125" style="40" customWidth="1"/>
    <col min="5127" max="5127" width="15" style="40" customWidth="1"/>
    <col min="5128" max="5128" width="17.85546875" style="40" customWidth="1"/>
    <col min="5129" max="5129" width="17.28515625" style="40" customWidth="1"/>
    <col min="5130" max="5130" width="10.85546875" style="40" customWidth="1"/>
    <col min="5131" max="5376" width="9.140625" style="40"/>
    <col min="5377" max="5377" width="18.28515625" style="40" customWidth="1"/>
    <col min="5378" max="5378" width="48.5703125" style="40" customWidth="1"/>
    <col min="5379" max="5379" width="14.7109375" style="40" customWidth="1"/>
    <col min="5380" max="5380" width="14.28515625" style="40" customWidth="1"/>
    <col min="5381" max="5381" width="30.7109375" style="40" customWidth="1"/>
    <col min="5382" max="5382" width="12.5703125" style="40" customWidth="1"/>
    <col min="5383" max="5383" width="15" style="40" customWidth="1"/>
    <col min="5384" max="5384" width="17.85546875" style="40" customWidth="1"/>
    <col min="5385" max="5385" width="17.28515625" style="40" customWidth="1"/>
    <col min="5386" max="5386" width="10.85546875" style="40" customWidth="1"/>
    <col min="5387" max="5632" width="9.140625" style="40"/>
    <col min="5633" max="5633" width="18.28515625" style="40" customWidth="1"/>
    <col min="5634" max="5634" width="48.5703125" style="40" customWidth="1"/>
    <col min="5635" max="5635" width="14.7109375" style="40" customWidth="1"/>
    <col min="5636" max="5636" width="14.28515625" style="40" customWidth="1"/>
    <col min="5637" max="5637" width="30.7109375" style="40" customWidth="1"/>
    <col min="5638" max="5638" width="12.5703125" style="40" customWidth="1"/>
    <col min="5639" max="5639" width="15" style="40" customWidth="1"/>
    <col min="5640" max="5640" width="17.85546875" style="40" customWidth="1"/>
    <col min="5641" max="5641" width="17.28515625" style="40" customWidth="1"/>
    <col min="5642" max="5642" width="10.85546875" style="40" customWidth="1"/>
    <col min="5643" max="5888" width="9.140625" style="40"/>
    <col min="5889" max="5889" width="18.28515625" style="40" customWidth="1"/>
    <col min="5890" max="5890" width="48.5703125" style="40" customWidth="1"/>
    <col min="5891" max="5891" width="14.7109375" style="40" customWidth="1"/>
    <col min="5892" max="5892" width="14.28515625" style="40" customWidth="1"/>
    <col min="5893" max="5893" width="30.7109375" style="40" customWidth="1"/>
    <col min="5894" max="5894" width="12.5703125" style="40" customWidth="1"/>
    <col min="5895" max="5895" width="15" style="40" customWidth="1"/>
    <col min="5896" max="5896" width="17.85546875" style="40" customWidth="1"/>
    <col min="5897" max="5897" width="17.28515625" style="40" customWidth="1"/>
    <col min="5898" max="5898" width="10.85546875" style="40" customWidth="1"/>
    <col min="5899" max="6144" width="9.140625" style="40"/>
    <col min="6145" max="6145" width="18.28515625" style="40" customWidth="1"/>
    <col min="6146" max="6146" width="48.5703125" style="40" customWidth="1"/>
    <col min="6147" max="6147" width="14.7109375" style="40" customWidth="1"/>
    <col min="6148" max="6148" width="14.28515625" style="40" customWidth="1"/>
    <col min="6149" max="6149" width="30.7109375" style="40" customWidth="1"/>
    <col min="6150" max="6150" width="12.5703125" style="40" customWidth="1"/>
    <col min="6151" max="6151" width="15" style="40" customWidth="1"/>
    <col min="6152" max="6152" width="17.85546875" style="40" customWidth="1"/>
    <col min="6153" max="6153" width="17.28515625" style="40" customWidth="1"/>
    <col min="6154" max="6154" width="10.85546875" style="40" customWidth="1"/>
    <col min="6155" max="6400" width="9.140625" style="40"/>
    <col min="6401" max="6401" width="18.28515625" style="40" customWidth="1"/>
    <col min="6402" max="6402" width="48.5703125" style="40" customWidth="1"/>
    <col min="6403" max="6403" width="14.7109375" style="40" customWidth="1"/>
    <col min="6404" max="6404" width="14.28515625" style="40" customWidth="1"/>
    <col min="6405" max="6405" width="30.7109375" style="40" customWidth="1"/>
    <col min="6406" max="6406" width="12.5703125" style="40" customWidth="1"/>
    <col min="6407" max="6407" width="15" style="40" customWidth="1"/>
    <col min="6408" max="6408" width="17.85546875" style="40" customWidth="1"/>
    <col min="6409" max="6409" width="17.28515625" style="40" customWidth="1"/>
    <col min="6410" max="6410" width="10.85546875" style="40" customWidth="1"/>
    <col min="6411" max="6656" width="9.140625" style="40"/>
    <col min="6657" max="6657" width="18.28515625" style="40" customWidth="1"/>
    <col min="6658" max="6658" width="48.5703125" style="40" customWidth="1"/>
    <col min="6659" max="6659" width="14.7109375" style="40" customWidth="1"/>
    <col min="6660" max="6660" width="14.28515625" style="40" customWidth="1"/>
    <col min="6661" max="6661" width="30.7109375" style="40" customWidth="1"/>
    <col min="6662" max="6662" width="12.5703125" style="40" customWidth="1"/>
    <col min="6663" max="6663" width="15" style="40" customWidth="1"/>
    <col min="6664" max="6664" width="17.85546875" style="40" customWidth="1"/>
    <col min="6665" max="6665" width="17.28515625" style="40" customWidth="1"/>
    <col min="6666" max="6666" width="10.85546875" style="40" customWidth="1"/>
    <col min="6667" max="6912" width="9.140625" style="40"/>
    <col min="6913" max="6913" width="18.28515625" style="40" customWidth="1"/>
    <col min="6914" max="6914" width="48.5703125" style="40" customWidth="1"/>
    <col min="6915" max="6915" width="14.7109375" style="40" customWidth="1"/>
    <col min="6916" max="6916" width="14.28515625" style="40" customWidth="1"/>
    <col min="6917" max="6917" width="30.7109375" style="40" customWidth="1"/>
    <col min="6918" max="6918" width="12.5703125" style="40" customWidth="1"/>
    <col min="6919" max="6919" width="15" style="40" customWidth="1"/>
    <col min="6920" max="6920" width="17.85546875" style="40" customWidth="1"/>
    <col min="6921" max="6921" width="17.28515625" style="40" customWidth="1"/>
    <col min="6922" max="6922" width="10.85546875" style="40" customWidth="1"/>
    <col min="6923" max="7168" width="9.140625" style="40"/>
    <col min="7169" max="7169" width="18.28515625" style="40" customWidth="1"/>
    <col min="7170" max="7170" width="48.5703125" style="40" customWidth="1"/>
    <col min="7171" max="7171" width="14.7109375" style="40" customWidth="1"/>
    <col min="7172" max="7172" width="14.28515625" style="40" customWidth="1"/>
    <col min="7173" max="7173" width="30.7109375" style="40" customWidth="1"/>
    <col min="7174" max="7174" width="12.5703125" style="40" customWidth="1"/>
    <col min="7175" max="7175" width="15" style="40" customWidth="1"/>
    <col min="7176" max="7176" width="17.85546875" style="40" customWidth="1"/>
    <col min="7177" max="7177" width="17.28515625" style="40" customWidth="1"/>
    <col min="7178" max="7178" width="10.85546875" style="40" customWidth="1"/>
    <col min="7179" max="7424" width="9.140625" style="40"/>
    <col min="7425" max="7425" width="18.28515625" style="40" customWidth="1"/>
    <col min="7426" max="7426" width="48.5703125" style="40" customWidth="1"/>
    <col min="7427" max="7427" width="14.7109375" style="40" customWidth="1"/>
    <col min="7428" max="7428" width="14.28515625" style="40" customWidth="1"/>
    <col min="7429" max="7429" width="30.7109375" style="40" customWidth="1"/>
    <col min="7430" max="7430" width="12.5703125" style="40" customWidth="1"/>
    <col min="7431" max="7431" width="15" style="40" customWidth="1"/>
    <col min="7432" max="7432" width="17.85546875" style="40" customWidth="1"/>
    <col min="7433" max="7433" width="17.28515625" style="40" customWidth="1"/>
    <col min="7434" max="7434" width="10.85546875" style="40" customWidth="1"/>
    <col min="7435" max="7680" width="9.140625" style="40"/>
    <col min="7681" max="7681" width="18.28515625" style="40" customWidth="1"/>
    <col min="7682" max="7682" width="48.5703125" style="40" customWidth="1"/>
    <col min="7683" max="7683" width="14.7109375" style="40" customWidth="1"/>
    <col min="7684" max="7684" width="14.28515625" style="40" customWidth="1"/>
    <col min="7685" max="7685" width="30.7109375" style="40" customWidth="1"/>
    <col min="7686" max="7686" width="12.5703125" style="40" customWidth="1"/>
    <col min="7687" max="7687" width="15" style="40" customWidth="1"/>
    <col min="7688" max="7688" width="17.85546875" style="40" customWidth="1"/>
    <col min="7689" max="7689" width="17.28515625" style="40" customWidth="1"/>
    <col min="7690" max="7690" width="10.85546875" style="40" customWidth="1"/>
    <col min="7691" max="7936" width="9.140625" style="40"/>
    <col min="7937" max="7937" width="18.28515625" style="40" customWidth="1"/>
    <col min="7938" max="7938" width="48.5703125" style="40" customWidth="1"/>
    <col min="7939" max="7939" width="14.7109375" style="40" customWidth="1"/>
    <col min="7940" max="7940" width="14.28515625" style="40" customWidth="1"/>
    <col min="7941" max="7941" width="30.7109375" style="40" customWidth="1"/>
    <col min="7942" max="7942" width="12.5703125" style="40" customWidth="1"/>
    <col min="7943" max="7943" width="15" style="40" customWidth="1"/>
    <col min="7944" max="7944" width="17.85546875" style="40" customWidth="1"/>
    <col min="7945" max="7945" width="17.28515625" style="40" customWidth="1"/>
    <col min="7946" max="7946" width="10.85546875" style="40" customWidth="1"/>
    <col min="7947" max="8192" width="9.140625" style="40"/>
    <col min="8193" max="8193" width="18.28515625" style="40" customWidth="1"/>
    <col min="8194" max="8194" width="48.5703125" style="40" customWidth="1"/>
    <col min="8195" max="8195" width="14.7109375" style="40" customWidth="1"/>
    <col min="8196" max="8196" width="14.28515625" style="40" customWidth="1"/>
    <col min="8197" max="8197" width="30.7109375" style="40" customWidth="1"/>
    <col min="8198" max="8198" width="12.5703125" style="40" customWidth="1"/>
    <col min="8199" max="8199" width="15" style="40" customWidth="1"/>
    <col min="8200" max="8200" width="17.85546875" style="40" customWidth="1"/>
    <col min="8201" max="8201" width="17.28515625" style="40" customWidth="1"/>
    <col min="8202" max="8202" width="10.85546875" style="40" customWidth="1"/>
    <col min="8203" max="8448" width="9.140625" style="40"/>
    <col min="8449" max="8449" width="18.28515625" style="40" customWidth="1"/>
    <col min="8450" max="8450" width="48.5703125" style="40" customWidth="1"/>
    <col min="8451" max="8451" width="14.7109375" style="40" customWidth="1"/>
    <col min="8452" max="8452" width="14.28515625" style="40" customWidth="1"/>
    <col min="8453" max="8453" width="30.7109375" style="40" customWidth="1"/>
    <col min="8454" max="8454" width="12.5703125" style="40" customWidth="1"/>
    <col min="8455" max="8455" width="15" style="40" customWidth="1"/>
    <col min="8456" max="8456" width="17.85546875" style="40" customWidth="1"/>
    <col min="8457" max="8457" width="17.28515625" style="40" customWidth="1"/>
    <col min="8458" max="8458" width="10.85546875" style="40" customWidth="1"/>
    <col min="8459" max="8704" width="9.140625" style="40"/>
    <col min="8705" max="8705" width="18.28515625" style="40" customWidth="1"/>
    <col min="8706" max="8706" width="48.5703125" style="40" customWidth="1"/>
    <col min="8707" max="8707" width="14.7109375" style="40" customWidth="1"/>
    <col min="8708" max="8708" width="14.28515625" style="40" customWidth="1"/>
    <col min="8709" max="8709" width="30.7109375" style="40" customWidth="1"/>
    <col min="8710" max="8710" width="12.5703125" style="40" customWidth="1"/>
    <col min="8711" max="8711" width="15" style="40" customWidth="1"/>
    <col min="8712" max="8712" width="17.85546875" style="40" customWidth="1"/>
    <col min="8713" max="8713" width="17.28515625" style="40" customWidth="1"/>
    <col min="8714" max="8714" width="10.85546875" style="40" customWidth="1"/>
    <col min="8715" max="8960" width="9.140625" style="40"/>
    <col min="8961" max="8961" width="18.28515625" style="40" customWidth="1"/>
    <col min="8962" max="8962" width="48.5703125" style="40" customWidth="1"/>
    <col min="8963" max="8963" width="14.7109375" style="40" customWidth="1"/>
    <col min="8964" max="8964" width="14.28515625" style="40" customWidth="1"/>
    <col min="8965" max="8965" width="30.7109375" style="40" customWidth="1"/>
    <col min="8966" max="8966" width="12.5703125" style="40" customWidth="1"/>
    <col min="8967" max="8967" width="15" style="40" customWidth="1"/>
    <col min="8968" max="8968" width="17.85546875" style="40" customWidth="1"/>
    <col min="8969" max="8969" width="17.28515625" style="40" customWidth="1"/>
    <col min="8970" max="8970" width="10.85546875" style="40" customWidth="1"/>
    <col min="8971" max="9216" width="9.140625" style="40"/>
    <col min="9217" max="9217" width="18.28515625" style="40" customWidth="1"/>
    <col min="9218" max="9218" width="48.5703125" style="40" customWidth="1"/>
    <col min="9219" max="9219" width="14.7109375" style="40" customWidth="1"/>
    <col min="9220" max="9220" width="14.28515625" style="40" customWidth="1"/>
    <col min="9221" max="9221" width="30.7109375" style="40" customWidth="1"/>
    <col min="9222" max="9222" width="12.5703125" style="40" customWidth="1"/>
    <col min="9223" max="9223" width="15" style="40" customWidth="1"/>
    <col min="9224" max="9224" width="17.85546875" style="40" customWidth="1"/>
    <col min="9225" max="9225" width="17.28515625" style="40" customWidth="1"/>
    <col min="9226" max="9226" width="10.85546875" style="40" customWidth="1"/>
    <col min="9227" max="9472" width="9.140625" style="40"/>
    <col min="9473" max="9473" width="18.28515625" style="40" customWidth="1"/>
    <col min="9474" max="9474" width="48.5703125" style="40" customWidth="1"/>
    <col min="9475" max="9475" width="14.7109375" style="40" customWidth="1"/>
    <col min="9476" max="9476" width="14.28515625" style="40" customWidth="1"/>
    <col min="9477" max="9477" width="30.7109375" style="40" customWidth="1"/>
    <col min="9478" max="9478" width="12.5703125" style="40" customWidth="1"/>
    <col min="9479" max="9479" width="15" style="40" customWidth="1"/>
    <col min="9480" max="9480" width="17.85546875" style="40" customWidth="1"/>
    <col min="9481" max="9481" width="17.28515625" style="40" customWidth="1"/>
    <col min="9482" max="9482" width="10.85546875" style="40" customWidth="1"/>
    <col min="9483" max="9728" width="9.140625" style="40"/>
    <col min="9729" max="9729" width="18.28515625" style="40" customWidth="1"/>
    <col min="9730" max="9730" width="48.5703125" style="40" customWidth="1"/>
    <col min="9731" max="9731" width="14.7109375" style="40" customWidth="1"/>
    <col min="9732" max="9732" width="14.28515625" style="40" customWidth="1"/>
    <col min="9733" max="9733" width="30.7109375" style="40" customWidth="1"/>
    <col min="9734" max="9734" width="12.5703125" style="40" customWidth="1"/>
    <col min="9735" max="9735" width="15" style="40" customWidth="1"/>
    <col min="9736" max="9736" width="17.85546875" style="40" customWidth="1"/>
    <col min="9737" max="9737" width="17.28515625" style="40" customWidth="1"/>
    <col min="9738" max="9738" width="10.85546875" style="40" customWidth="1"/>
    <col min="9739" max="9984" width="9.140625" style="40"/>
    <col min="9985" max="9985" width="18.28515625" style="40" customWidth="1"/>
    <col min="9986" max="9986" width="48.5703125" style="40" customWidth="1"/>
    <col min="9987" max="9987" width="14.7109375" style="40" customWidth="1"/>
    <col min="9988" max="9988" width="14.28515625" style="40" customWidth="1"/>
    <col min="9989" max="9989" width="30.7109375" style="40" customWidth="1"/>
    <col min="9990" max="9990" width="12.5703125" style="40" customWidth="1"/>
    <col min="9991" max="9991" width="15" style="40" customWidth="1"/>
    <col min="9992" max="9992" width="17.85546875" style="40" customWidth="1"/>
    <col min="9993" max="9993" width="17.28515625" style="40" customWidth="1"/>
    <col min="9994" max="9994" width="10.85546875" style="40" customWidth="1"/>
    <col min="9995" max="10240" width="9.140625" style="40"/>
    <col min="10241" max="10241" width="18.28515625" style="40" customWidth="1"/>
    <col min="10242" max="10242" width="48.5703125" style="40" customWidth="1"/>
    <col min="10243" max="10243" width="14.7109375" style="40" customWidth="1"/>
    <col min="10244" max="10244" width="14.28515625" style="40" customWidth="1"/>
    <col min="10245" max="10245" width="30.7109375" style="40" customWidth="1"/>
    <col min="10246" max="10246" width="12.5703125" style="40" customWidth="1"/>
    <col min="10247" max="10247" width="15" style="40" customWidth="1"/>
    <col min="10248" max="10248" width="17.85546875" style="40" customWidth="1"/>
    <col min="10249" max="10249" width="17.28515625" style="40" customWidth="1"/>
    <col min="10250" max="10250" width="10.85546875" style="40" customWidth="1"/>
    <col min="10251" max="10496" width="9.140625" style="40"/>
    <col min="10497" max="10497" width="18.28515625" style="40" customWidth="1"/>
    <col min="10498" max="10498" width="48.5703125" style="40" customWidth="1"/>
    <col min="10499" max="10499" width="14.7109375" style="40" customWidth="1"/>
    <col min="10500" max="10500" width="14.28515625" style="40" customWidth="1"/>
    <col min="10501" max="10501" width="30.7109375" style="40" customWidth="1"/>
    <col min="10502" max="10502" width="12.5703125" style="40" customWidth="1"/>
    <col min="10503" max="10503" width="15" style="40" customWidth="1"/>
    <col min="10504" max="10504" width="17.85546875" style="40" customWidth="1"/>
    <col min="10505" max="10505" width="17.28515625" style="40" customWidth="1"/>
    <col min="10506" max="10506" width="10.85546875" style="40" customWidth="1"/>
    <col min="10507" max="10752" width="9.140625" style="40"/>
    <col min="10753" max="10753" width="18.28515625" style="40" customWidth="1"/>
    <col min="10754" max="10754" width="48.5703125" style="40" customWidth="1"/>
    <col min="10755" max="10755" width="14.7109375" style="40" customWidth="1"/>
    <col min="10756" max="10756" width="14.28515625" style="40" customWidth="1"/>
    <col min="10757" max="10757" width="30.7109375" style="40" customWidth="1"/>
    <col min="10758" max="10758" width="12.5703125" style="40" customWidth="1"/>
    <col min="10759" max="10759" width="15" style="40" customWidth="1"/>
    <col min="10760" max="10760" width="17.85546875" style="40" customWidth="1"/>
    <col min="10761" max="10761" width="17.28515625" style="40" customWidth="1"/>
    <col min="10762" max="10762" width="10.85546875" style="40" customWidth="1"/>
    <col min="10763" max="11008" width="9.140625" style="40"/>
    <col min="11009" max="11009" width="18.28515625" style="40" customWidth="1"/>
    <col min="11010" max="11010" width="48.5703125" style="40" customWidth="1"/>
    <col min="11011" max="11011" width="14.7109375" style="40" customWidth="1"/>
    <col min="11012" max="11012" width="14.28515625" style="40" customWidth="1"/>
    <col min="11013" max="11013" width="30.7109375" style="40" customWidth="1"/>
    <col min="11014" max="11014" width="12.5703125" style="40" customWidth="1"/>
    <col min="11015" max="11015" width="15" style="40" customWidth="1"/>
    <col min="11016" max="11016" width="17.85546875" style="40" customWidth="1"/>
    <col min="11017" max="11017" width="17.28515625" style="40" customWidth="1"/>
    <col min="11018" max="11018" width="10.85546875" style="40" customWidth="1"/>
    <col min="11019" max="11264" width="9.140625" style="40"/>
    <col min="11265" max="11265" width="18.28515625" style="40" customWidth="1"/>
    <col min="11266" max="11266" width="48.5703125" style="40" customWidth="1"/>
    <col min="11267" max="11267" width="14.7109375" style="40" customWidth="1"/>
    <col min="11268" max="11268" width="14.28515625" style="40" customWidth="1"/>
    <col min="11269" max="11269" width="30.7109375" style="40" customWidth="1"/>
    <col min="11270" max="11270" width="12.5703125" style="40" customWidth="1"/>
    <col min="11271" max="11271" width="15" style="40" customWidth="1"/>
    <col min="11272" max="11272" width="17.85546875" style="40" customWidth="1"/>
    <col min="11273" max="11273" width="17.28515625" style="40" customWidth="1"/>
    <col min="11274" max="11274" width="10.85546875" style="40" customWidth="1"/>
    <col min="11275" max="11520" width="9.140625" style="40"/>
    <col min="11521" max="11521" width="18.28515625" style="40" customWidth="1"/>
    <col min="11522" max="11522" width="48.5703125" style="40" customWidth="1"/>
    <col min="11523" max="11523" width="14.7109375" style="40" customWidth="1"/>
    <col min="11524" max="11524" width="14.28515625" style="40" customWidth="1"/>
    <col min="11525" max="11525" width="30.7109375" style="40" customWidth="1"/>
    <col min="11526" max="11526" width="12.5703125" style="40" customWidth="1"/>
    <col min="11527" max="11527" width="15" style="40" customWidth="1"/>
    <col min="11528" max="11528" width="17.85546875" style="40" customWidth="1"/>
    <col min="11529" max="11529" width="17.28515625" style="40" customWidth="1"/>
    <col min="11530" max="11530" width="10.85546875" style="40" customWidth="1"/>
    <col min="11531" max="11776" width="9.140625" style="40"/>
    <col min="11777" max="11777" width="18.28515625" style="40" customWidth="1"/>
    <col min="11778" max="11778" width="48.5703125" style="40" customWidth="1"/>
    <col min="11779" max="11779" width="14.7109375" style="40" customWidth="1"/>
    <col min="11780" max="11780" width="14.28515625" style="40" customWidth="1"/>
    <col min="11781" max="11781" width="30.7109375" style="40" customWidth="1"/>
    <col min="11782" max="11782" width="12.5703125" style="40" customWidth="1"/>
    <col min="11783" max="11783" width="15" style="40" customWidth="1"/>
    <col min="11784" max="11784" width="17.85546875" style="40" customWidth="1"/>
    <col min="11785" max="11785" width="17.28515625" style="40" customWidth="1"/>
    <col min="11786" max="11786" width="10.85546875" style="40" customWidth="1"/>
    <col min="11787" max="12032" width="9.140625" style="40"/>
    <col min="12033" max="12033" width="18.28515625" style="40" customWidth="1"/>
    <col min="12034" max="12034" width="48.5703125" style="40" customWidth="1"/>
    <col min="12035" max="12035" width="14.7109375" style="40" customWidth="1"/>
    <col min="12036" max="12036" width="14.28515625" style="40" customWidth="1"/>
    <col min="12037" max="12037" width="30.7109375" style="40" customWidth="1"/>
    <col min="12038" max="12038" width="12.5703125" style="40" customWidth="1"/>
    <col min="12039" max="12039" width="15" style="40" customWidth="1"/>
    <col min="12040" max="12040" width="17.85546875" style="40" customWidth="1"/>
    <col min="12041" max="12041" width="17.28515625" style="40" customWidth="1"/>
    <col min="12042" max="12042" width="10.85546875" style="40" customWidth="1"/>
    <col min="12043" max="12288" width="9.140625" style="40"/>
    <col min="12289" max="12289" width="18.28515625" style="40" customWidth="1"/>
    <col min="12290" max="12290" width="48.5703125" style="40" customWidth="1"/>
    <col min="12291" max="12291" width="14.7109375" style="40" customWidth="1"/>
    <col min="12292" max="12292" width="14.28515625" style="40" customWidth="1"/>
    <col min="12293" max="12293" width="30.7109375" style="40" customWidth="1"/>
    <col min="12294" max="12294" width="12.5703125" style="40" customWidth="1"/>
    <col min="12295" max="12295" width="15" style="40" customWidth="1"/>
    <col min="12296" max="12296" width="17.85546875" style="40" customWidth="1"/>
    <col min="12297" max="12297" width="17.28515625" style="40" customWidth="1"/>
    <col min="12298" max="12298" width="10.85546875" style="40" customWidth="1"/>
    <col min="12299" max="12544" width="9.140625" style="40"/>
    <col min="12545" max="12545" width="18.28515625" style="40" customWidth="1"/>
    <col min="12546" max="12546" width="48.5703125" style="40" customWidth="1"/>
    <col min="12547" max="12547" width="14.7109375" style="40" customWidth="1"/>
    <col min="12548" max="12548" width="14.28515625" style="40" customWidth="1"/>
    <col min="12549" max="12549" width="30.7109375" style="40" customWidth="1"/>
    <col min="12550" max="12550" width="12.5703125" style="40" customWidth="1"/>
    <col min="12551" max="12551" width="15" style="40" customWidth="1"/>
    <col min="12552" max="12552" width="17.85546875" style="40" customWidth="1"/>
    <col min="12553" max="12553" width="17.28515625" style="40" customWidth="1"/>
    <col min="12554" max="12554" width="10.85546875" style="40" customWidth="1"/>
    <col min="12555" max="12800" width="9.140625" style="40"/>
    <col min="12801" max="12801" width="18.28515625" style="40" customWidth="1"/>
    <col min="12802" max="12802" width="48.5703125" style="40" customWidth="1"/>
    <col min="12803" max="12803" width="14.7109375" style="40" customWidth="1"/>
    <col min="12804" max="12804" width="14.28515625" style="40" customWidth="1"/>
    <col min="12805" max="12805" width="30.7109375" style="40" customWidth="1"/>
    <col min="12806" max="12806" width="12.5703125" style="40" customWidth="1"/>
    <col min="12807" max="12807" width="15" style="40" customWidth="1"/>
    <col min="12808" max="12808" width="17.85546875" style="40" customWidth="1"/>
    <col min="12809" max="12809" width="17.28515625" style="40" customWidth="1"/>
    <col min="12810" max="12810" width="10.85546875" style="40" customWidth="1"/>
    <col min="12811" max="13056" width="9.140625" style="40"/>
    <col min="13057" max="13057" width="18.28515625" style="40" customWidth="1"/>
    <col min="13058" max="13058" width="48.5703125" style="40" customWidth="1"/>
    <col min="13059" max="13059" width="14.7109375" style="40" customWidth="1"/>
    <col min="13060" max="13060" width="14.28515625" style="40" customWidth="1"/>
    <col min="13061" max="13061" width="30.7109375" style="40" customWidth="1"/>
    <col min="13062" max="13062" width="12.5703125" style="40" customWidth="1"/>
    <col min="13063" max="13063" width="15" style="40" customWidth="1"/>
    <col min="13064" max="13064" width="17.85546875" style="40" customWidth="1"/>
    <col min="13065" max="13065" width="17.28515625" style="40" customWidth="1"/>
    <col min="13066" max="13066" width="10.85546875" style="40" customWidth="1"/>
    <col min="13067" max="13312" width="9.140625" style="40"/>
    <col min="13313" max="13313" width="18.28515625" style="40" customWidth="1"/>
    <col min="13314" max="13314" width="48.5703125" style="40" customWidth="1"/>
    <col min="13315" max="13315" width="14.7109375" style="40" customWidth="1"/>
    <col min="13316" max="13316" width="14.28515625" style="40" customWidth="1"/>
    <col min="13317" max="13317" width="30.7109375" style="40" customWidth="1"/>
    <col min="13318" max="13318" width="12.5703125" style="40" customWidth="1"/>
    <col min="13319" max="13319" width="15" style="40" customWidth="1"/>
    <col min="13320" max="13320" width="17.85546875" style="40" customWidth="1"/>
    <col min="13321" max="13321" width="17.28515625" style="40" customWidth="1"/>
    <col min="13322" max="13322" width="10.85546875" style="40" customWidth="1"/>
    <col min="13323" max="13568" width="9.140625" style="40"/>
    <col min="13569" max="13569" width="18.28515625" style="40" customWidth="1"/>
    <col min="13570" max="13570" width="48.5703125" style="40" customWidth="1"/>
    <col min="13571" max="13571" width="14.7109375" style="40" customWidth="1"/>
    <col min="13572" max="13572" width="14.28515625" style="40" customWidth="1"/>
    <col min="13573" max="13573" width="30.7109375" style="40" customWidth="1"/>
    <col min="13574" max="13574" width="12.5703125" style="40" customWidth="1"/>
    <col min="13575" max="13575" width="15" style="40" customWidth="1"/>
    <col min="13576" max="13576" width="17.85546875" style="40" customWidth="1"/>
    <col min="13577" max="13577" width="17.28515625" style="40" customWidth="1"/>
    <col min="13578" max="13578" width="10.85546875" style="40" customWidth="1"/>
    <col min="13579" max="13824" width="9.140625" style="40"/>
    <col min="13825" max="13825" width="18.28515625" style="40" customWidth="1"/>
    <col min="13826" max="13826" width="48.5703125" style="40" customWidth="1"/>
    <col min="13827" max="13827" width="14.7109375" style="40" customWidth="1"/>
    <col min="13828" max="13828" width="14.28515625" style="40" customWidth="1"/>
    <col min="13829" max="13829" width="30.7109375" style="40" customWidth="1"/>
    <col min="13830" max="13830" width="12.5703125" style="40" customWidth="1"/>
    <col min="13831" max="13831" width="15" style="40" customWidth="1"/>
    <col min="13832" max="13832" width="17.85546875" style="40" customWidth="1"/>
    <col min="13833" max="13833" width="17.28515625" style="40" customWidth="1"/>
    <col min="13834" max="13834" width="10.85546875" style="40" customWidth="1"/>
    <col min="13835" max="14080" width="9.140625" style="40"/>
    <col min="14081" max="14081" width="18.28515625" style="40" customWidth="1"/>
    <col min="14082" max="14082" width="48.5703125" style="40" customWidth="1"/>
    <col min="14083" max="14083" width="14.7109375" style="40" customWidth="1"/>
    <col min="14084" max="14084" width="14.28515625" style="40" customWidth="1"/>
    <col min="14085" max="14085" width="30.7109375" style="40" customWidth="1"/>
    <col min="14086" max="14086" width="12.5703125" style="40" customWidth="1"/>
    <col min="14087" max="14087" width="15" style="40" customWidth="1"/>
    <col min="14088" max="14088" width="17.85546875" style="40" customWidth="1"/>
    <col min="14089" max="14089" width="17.28515625" style="40" customWidth="1"/>
    <col min="14090" max="14090" width="10.85546875" style="40" customWidth="1"/>
    <col min="14091" max="14336" width="9.140625" style="40"/>
    <col min="14337" max="14337" width="18.28515625" style="40" customWidth="1"/>
    <col min="14338" max="14338" width="48.5703125" style="40" customWidth="1"/>
    <col min="14339" max="14339" width="14.7109375" style="40" customWidth="1"/>
    <col min="14340" max="14340" width="14.28515625" style="40" customWidth="1"/>
    <col min="14341" max="14341" width="30.7109375" style="40" customWidth="1"/>
    <col min="14342" max="14342" width="12.5703125" style="40" customWidth="1"/>
    <col min="14343" max="14343" width="15" style="40" customWidth="1"/>
    <col min="14344" max="14344" width="17.85546875" style="40" customWidth="1"/>
    <col min="14345" max="14345" width="17.28515625" style="40" customWidth="1"/>
    <col min="14346" max="14346" width="10.85546875" style="40" customWidth="1"/>
    <col min="14347" max="14592" width="9.140625" style="40"/>
    <col min="14593" max="14593" width="18.28515625" style="40" customWidth="1"/>
    <col min="14594" max="14594" width="48.5703125" style="40" customWidth="1"/>
    <col min="14595" max="14595" width="14.7109375" style="40" customWidth="1"/>
    <col min="14596" max="14596" width="14.28515625" style="40" customWidth="1"/>
    <col min="14597" max="14597" width="30.7109375" style="40" customWidth="1"/>
    <col min="14598" max="14598" width="12.5703125" style="40" customWidth="1"/>
    <col min="14599" max="14599" width="15" style="40" customWidth="1"/>
    <col min="14600" max="14600" width="17.85546875" style="40" customWidth="1"/>
    <col min="14601" max="14601" width="17.28515625" style="40" customWidth="1"/>
    <col min="14602" max="14602" width="10.85546875" style="40" customWidth="1"/>
    <col min="14603" max="14848" width="9.140625" style="40"/>
    <col min="14849" max="14849" width="18.28515625" style="40" customWidth="1"/>
    <col min="14850" max="14850" width="48.5703125" style="40" customWidth="1"/>
    <col min="14851" max="14851" width="14.7109375" style="40" customWidth="1"/>
    <col min="14852" max="14852" width="14.28515625" style="40" customWidth="1"/>
    <col min="14853" max="14853" width="30.7109375" style="40" customWidth="1"/>
    <col min="14854" max="14854" width="12.5703125" style="40" customWidth="1"/>
    <col min="14855" max="14855" width="15" style="40" customWidth="1"/>
    <col min="14856" max="14856" width="17.85546875" style="40" customWidth="1"/>
    <col min="14857" max="14857" width="17.28515625" style="40" customWidth="1"/>
    <col min="14858" max="14858" width="10.85546875" style="40" customWidth="1"/>
    <col min="14859" max="15104" width="9.140625" style="40"/>
    <col min="15105" max="15105" width="18.28515625" style="40" customWidth="1"/>
    <col min="15106" max="15106" width="48.5703125" style="40" customWidth="1"/>
    <col min="15107" max="15107" width="14.7109375" style="40" customWidth="1"/>
    <col min="15108" max="15108" width="14.28515625" style="40" customWidth="1"/>
    <col min="15109" max="15109" width="30.7109375" style="40" customWidth="1"/>
    <col min="15110" max="15110" width="12.5703125" style="40" customWidth="1"/>
    <col min="15111" max="15111" width="15" style="40" customWidth="1"/>
    <col min="15112" max="15112" width="17.85546875" style="40" customWidth="1"/>
    <col min="15113" max="15113" width="17.28515625" style="40" customWidth="1"/>
    <col min="15114" max="15114" width="10.85546875" style="40" customWidth="1"/>
    <col min="15115" max="15360" width="9.140625" style="40"/>
    <col min="15361" max="15361" width="18.28515625" style="40" customWidth="1"/>
    <col min="15362" max="15362" width="48.5703125" style="40" customWidth="1"/>
    <col min="15363" max="15363" width="14.7109375" style="40" customWidth="1"/>
    <col min="15364" max="15364" width="14.28515625" style="40" customWidth="1"/>
    <col min="15365" max="15365" width="30.7109375" style="40" customWidth="1"/>
    <col min="15366" max="15366" width="12.5703125" style="40" customWidth="1"/>
    <col min="15367" max="15367" width="15" style="40" customWidth="1"/>
    <col min="15368" max="15368" width="17.85546875" style="40" customWidth="1"/>
    <col min="15369" max="15369" width="17.28515625" style="40" customWidth="1"/>
    <col min="15370" max="15370" width="10.85546875" style="40" customWidth="1"/>
    <col min="15371" max="15616" width="9.140625" style="40"/>
    <col min="15617" max="15617" width="18.28515625" style="40" customWidth="1"/>
    <col min="15618" max="15618" width="48.5703125" style="40" customWidth="1"/>
    <col min="15619" max="15619" width="14.7109375" style="40" customWidth="1"/>
    <col min="15620" max="15620" width="14.28515625" style="40" customWidth="1"/>
    <col min="15621" max="15621" width="30.7109375" style="40" customWidth="1"/>
    <col min="15622" max="15622" width="12.5703125" style="40" customWidth="1"/>
    <col min="15623" max="15623" width="15" style="40" customWidth="1"/>
    <col min="15624" max="15624" width="17.85546875" style="40" customWidth="1"/>
    <col min="15625" max="15625" width="17.28515625" style="40" customWidth="1"/>
    <col min="15626" max="15626" width="10.85546875" style="40" customWidth="1"/>
    <col min="15627" max="15872" width="9.140625" style="40"/>
    <col min="15873" max="15873" width="18.28515625" style="40" customWidth="1"/>
    <col min="15874" max="15874" width="48.5703125" style="40" customWidth="1"/>
    <col min="15875" max="15875" width="14.7109375" style="40" customWidth="1"/>
    <col min="15876" max="15876" width="14.28515625" style="40" customWidth="1"/>
    <col min="15877" max="15877" width="30.7109375" style="40" customWidth="1"/>
    <col min="15878" max="15878" width="12.5703125" style="40" customWidth="1"/>
    <col min="15879" max="15879" width="15" style="40" customWidth="1"/>
    <col min="15880" max="15880" width="17.85546875" style="40" customWidth="1"/>
    <col min="15881" max="15881" width="17.28515625" style="40" customWidth="1"/>
    <col min="15882" max="15882" width="10.85546875" style="40" customWidth="1"/>
    <col min="15883" max="16128" width="9.140625" style="40"/>
    <col min="16129" max="16129" width="18.28515625" style="40" customWidth="1"/>
    <col min="16130" max="16130" width="48.5703125" style="40" customWidth="1"/>
    <col min="16131" max="16131" width="14.7109375" style="40" customWidth="1"/>
    <col min="16132" max="16132" width="14.28515625" style="40" customWidth="1"/>
    <col min="16133" max="16133" width="30.7109375" style="40" customWidth="1"/>
    <col min="16134" max="16134" width="12.5703125" style="40" customWidth="1"/>
    <col min="16135" max="16135" width="15" style="40" customWidth="1"/>
    <col min="16136" max="16136" width="17.85546875" style="40" customWidth="1"/>
    <col min="16137" max="16137" width="17.28515625" style="40" customWidth="1"/>
    <col min="16138" max="16138" width="10.85546875" style="40" customWidth="1"/>
    <col min="16139" max="16384" width="9.140625" style="40"/>
  </cols>
  <sheetData>
    <row r="1" spans="1:9" ht="15.75" x14ac:dyDescent="0.2">
      <c r="A1" s="614" t="s">
        <v>863</v>
      </c>
      <c r="B1" s="614"/>
      <c r="C1" s="614"/>
      <c r="D1" s="614"/>
      <c r="E1" s="614"/>
      <c r="F1" s="614"/>
      <c r="G1" s="614"/>
      <c r="H1" s="614"/>
      <c r="I1" s="614"/>
    </row>
    <row r="2" spans="1:9" ht="33.75" customHeight="1" x14ac:dyDescent="0.2">
      <c r="A2" s="16" t="s">
        <v>97</v>
      </c>
      <c r="B2" s="17" t="s">
        <v>0</v>
      </c>
      <c r="C2" s="18" t="s">
        <v>1</v>
      </c>
      <c r="D2" s="18" t="s">
        <v>98</v>
      </c>
      <c r="E2" s="18" t="s">
        <v>99</v>
      </c>
      <c r="F2" s="18" t="s">
        <v>100</v>
      </c>
      <c r="G2" s="18" t="s">
        <v>101</v>
      </c>
      <c r="H2" s="19" t="s">
        <v>102</v>
      </c>
      <c r="I2" s="19" t="s">
        <v>103</v>
      </c>
    </row>
    <row r="3" spans="1:9" ht="37.9" customHeight="1" x14ac:dyDescent="0.25">
      <c r="A3" s="543" t="s">
        <v>864</v>
      </c>
      <c r="B3" s="489" t="s">
        <v>865</v>
      </c>
      <c r="C3" s="544">
        <v>282000</v>
      </c>
      <c r="D3" s="544">
        <v>149460</v>
      </c>
      <c r="E3" s="490" t="s">
        <v>106</v>
      </c>
      <c r="F3" s="545">
        <f>1806+828</f>
        <v>2634</v>
      </c>
      <c r="G3" s="516">
        <v>146826</v>
      </c>
      <c r="H3" s="546" t="s">
        <v>339</v>
      </c>
      <c r="I3" s="547">
        <v>43830</v>
      </c>
    </row>
    <row r="4" spans="1:9" ht="33.75" customHeight="1" x14ac:dyDescent="0.25">
      <c r="A4" s="543" t="s">
        <v>104</v>
      </c>
      <c r="B4" s="489" t="s">
        <v>866</v>
      </c>
      <c r="C4" s="544">
        <v>480250</v>
      </c>
      <c r="D4" s="544">
        <v>150000</v>
      </c>
      <c r="E4" s="490" t="s">
        <v>106</v>
      </c>
      <c r="F4" s="545"/>
      <c r="G4" s="516">
        <v>150000</v>
      </c>
      <c r="H4" s="546" t="s">
        <v>867</v>
      </c>
      <c r="I4" s="547">
        <v>44012</v>
      </c>
    </row>
    <row r="5" spans="1:9" ht="32.450000000000003" customHeight="1" x14ac:dyDescent="0.25">
      <c r="A5" s="543" t="s">
        <v>625</v>
      </c>
      <c r="B5" s="489" t="s">
        <v>868</v>
      </c>
      <c r="C5" s="544">
        <v>75000</v>
      </c>
      <c r="D5" s="544">
        <v>37500</v>
      </c>
      <c r="E5" s="490" t="s">
        <v>106</v>
      </c>
      <c r="F5" s="545"/>
      <c r="G5" s="516">
        <v>37500</v>
      </c>
      <c r="H5" s="546" t="s">
        <v>339</v>
      </c>
      <c r="I5" s="547">
        <v>43830</v>
      </c>
    </row>
    <row r="6" spans="1:9" s="368" customFormat="1" ht="25.9" customHeight="1" x14ac:dyDescent="0.25">
      <c r="A6" s="548" t="s">
        <v>869</v>
      </c>
      <c r="B6" s="543" t="s">
        <v>870</v>
      </c>
      <c r="C6" s="544">
        <v>24800</v>
      </c>
      <c r="D6" s="544">
        <v>14880</v>
      </c>
      <c r="E6" s="490" t="s">
        <v>106</v>
      </c>
      <c r="F6" s="545"/>
      <c r="G6" s="516">
        <v>14880</v>
      </c>
      <c r="H6" s="546" t="s">
        <v>339</v>
      </c>
      <c r="I6" s="547">
        <v>43646</v>
      </c>
    </row>
    <row r="7" spans="1:9" s="368" customFormat="1" ht="25.9" customHeight="1" x14ac:dyDescent="0.25">
      <c r="A7" s="543" t="s">
        <v>609</v>
      </c>
      <c r="B7" s="489" t="s">
        <v>871</v>
      </c>
      <c r="C7" s="544">
        <v>656500</v>
      </c>
      <c r="D7" s="544">
        <v>150000</v>
      </c>
      <c r="E7" s="490" t="s">
        <v>106</v>
      </c>
      <c r="F7" s="545"/>
      <c r="G7" s="516">
        <v>150000</v>
      </c>
      <c r="H7" s="546" t="s">
        <v>339</v>
      </c>
      <c r="I7" s="547">
        <v>44012</v>
      </c>
    </row>
    <row r="8" spans="1:9" s="368" customFormat="1" ht="25.9" customHeight="1" x14ac:dyDescent="0.25">
      <c r="A8" s="548" t="s">
        <v>110</v>
      </c>
      <c r="B8" s="543" t="s">
        <v>872</v>
      </c>
      <c r="C8" s="544">
        <v>65000</v>
      </c>
      <c r="D8" s="544">
        <v>48750</v>
      </c>
      <c r="E8" s="490" t="s">
        <v>106</v>
      </c>
      <c r="F8" s="545"/>
      <c r="G8" s="516">
        <v>48750</v>
      </c>
      <c r="H8" s="546" t="s">
        <v>339</v>
      </c>
      <c r="I8" s="547">
        <v>43830</v>
      </c>
    </row>
    <row r="9" spans="1:9" s="368" customFormat="1" ht="25.9" customHeight="1" x14ac:dyDescent="0.25">
      <c r="A9" s="543" t="s">
        <v>611</v>
      </c>
      <c r="B9" s="489" t="s">
        <v>871</v>
      </c>
      <c r="C9" s="544">
        <v>600000</v>
      </c>
      <c r="D9" s="544">
        <v>150000</v>
      </c>
      <c r="E9" s="490" t="s">
        <v>106</v>
      </c>
      <c r="F9" s="545">
        <f>135000</f>
        <v>135000</v>
      </c>
      <c r="G9" s="516">
        <v>15000</v>
      </c>
      <c r="H9" s="546" t="s">
        <v>873</v>
      </c>
      <c r="I9" s="547">
        <v>43646</v>
      </c>
    </row>
    <row r="10" spans="1:9" s="368" customFormat="1" ht="25.9" customHeight="1" x14ac:dyDescent="0.25">
      <c r="A10" s="548" t="s">
        <v>613</v>
      </c>
      <c r="B10" s="543" t="s">
        <v>874</v>
      </c>
      <c r="C10" s="544">
        <v>20500</v>
      </c>
      <c r="D10" s="544">
        <v>16400</v>
      </c>
      <c r="E10" s="490" t="s">
        <v>106</v>
      </c>
      <c r="F10" s="545"/>
      <c r="G10" s="516">
        <v>16400</v>
      </c>
      <c r="H10" s="546" t="s">
        <v>867</v>
      </c>
      <c r="I10" s="547">
        <v>43830</v>
      </c>
    </row>
    <row r="11" spans="1:9" s="368" customFormat="1" ht="25.9" customHeight="1" x14ac:dyDescent="0.25">
      <c r="A11" s="548" t="s">
        <v>875</v>
      </c>
      <c r="B11" s="543" t="s">
        <v>876</v>
      </c>
      <c r="C11" s="544">
        <v>30000</v>
      </c>
      <c r="D11" s="544">
        <v>15000</v>
      </c>
      <c r="E11" s="490" t="s">
        <v>106</v>
      </c>
      <c r="F11" s="545"/>
      <c r="G11" s="516">
        <v>15000</v>
      </c>
      <c r="H11" s="546" t="s">
        <v>339</v>
      </c>
      <c r="I11" s="547">
        <v>43646</v>
      </c>
    </row>
    <row r="12" spans="1:9" s="368" customFormat="1" ht="25.9" customHeight="1" x14ac:dyDescent="0.2">
      <c r="A12" s="495"/>
      <c r="B12" s="496" t="s">
        <v>112</v>
      </c>
      <c r="C12" s="492">
        <f>SUM(C3:C11)</f>
        <v>2234050</v>
      </c>
      <c r="D12" s="492">
        <f>SUM(D3:D11)</f>
        <v>731990</v>
      </c>
      <c r="E12" s="497"/>
      <c r="F12" s="492">
        <f>SUM(F3:F11)</f>
        <v>137634</v>
      </c>
      <c r="G12" s="492">
        <f>SUM(G3:G11)</f>
        <v>594356</v>
      </c>
      <c r="H12" s="498"/>
      <c r="I12" s="499"/>
    </row>
    <row r="13" spans="1:9" s="368" customFormat="1" ht="25.9" customHeight="1" x14ac:dyDescent="0.2">
      <c r="A13" s="436"/>
      <c r="B13" s="40"/>
      <c r="C13" s="40"/>
      <c r="D13" s="40"/>
      <c r="E13" s="40"/>
      <c r="F13" s="40"/>
      <c r="G13" s="40"/>
      <c r="H13" s="40"/>
      <c r="I13" s="40"/>
    </row>
    <row r="14" spans="1:9" s="368" customFormat="1" ht="25.9" customHeight="1" x14ac:dyDescent="0.2">
      <c r="A14" s="35"/>
      <c r="B14" s="36"/>
      <c r="C14" s="37"/>
      <c r="D14" s="37"/>
      <c r="E14" s="38"/>
      <c r="F14" s="37"/>
      <c r="G14" s="37"/>
      <c r="H14" s="39"/>
      <c r="I14" s="39"/>
    </row>
    <row r="15" spans="1:9" ht="14.45" customHeight="1" x14ac:dyDescent="0.2">
      <c r="A15" s="614" t="s">
        <v>758</v>
      </c>
      <c r="B15" s="614"/>
      <c r="C15" s="614"/>
      <c r="D15" s="614"/>
      <c r="E15" s="614"/>
      <c r="F15" s="614"/>
      <c r="G15" s="614"/>
      <c r="H15" s="614"/>
      <c r="I15" s="614"/>
    </row>
    <row r="16" spans="1:9" s="368" customFormat="1" ht="25.9" customHeight="1" x14ac:dyDescent="0.2">
      <c r="A16" s="16" t="s">
        <v>97</v>
      </c>
      <c r="B16" s="17" t="s">
        <v>0</v>
      </c>
      <c r="C16" s="18" t="s">
        <v>1</v>
      </c>
      <c r="D16" s="18" t="s">
        <v>98</v>
      </c>
      <c r="E16" s="18" t="s">
        <v>99</v>
      </c>
      <c r="F16" s="18" t="s">
        <v>100</v>
      </c>
      <c r="G16" s="18" t="s">
        <v>101</v>
      </c>
      <c r="H16" s="19" t="s">
        <v>102</v>
      </c>
      <c r="I16" s="19" t="s">
        <v>103</v>
      </c>
    </row>
    <row r="17" spans="1:9" ht="36" customHeight="1" x14ac:dyDescent="0.25">
      <c r="A17" s="488" t="s">
        <v>433</v>
      </c>
      <c r="B17" s="489" t="s">
        <v>759</v>
      </c>
      <c r="C17" s="491">
        <v>550000</v>
      </c>
      <c r="D17" s="491">
        <v>150000</v>
      </c>
      <c r="E17" s="490" t="s">
        <v>106</v>
      </c>
      <c r="F17" s="491">
        <v>149500</v>
      </c>
      <c r="G17" s="516">
        <v>500</v>
      </c>
      <c r="H17" s="493" t="s">
        <v>873</v>
      </c>
      <c r="I17" s="494">
        <v>43616</v>
      </c>
    </row>
    <row r="18" spans="1:9" ht="28.9" customHeight="1" x14ac:dyDescent="0.25">
      <c r="A18" s="488" t="s">
        <v>760</v>
      </c>
      <c r="B18" s="489" t="s">
        <v>761</v>
      </c>
      <c r="C18" s="491">
        <v>343000</v>
      </c>
      <c r="D18" s="491">
        <v>150000</v>
      </c>
      <c r="E18" s="490" t="s">
        <v>106</v>
      </c>
      <c r="F18" s="491">
        <v>0</v>
      </c>
      <c r="G18" s="516">
        <v>150000</v>
      </c>
      <c r="H18" s="493" t="s">
        <v>339</v>
      </c>
      <c r="I18" s="494">
        <v>43830</v>
      </c>
    </row>
    <row r="19" spans="1:9" s="368" customFormat="1" ht="25.9" customHeight="1" x14ac:dyDescent="0.25">
      <c r="A19" s="488" t="s">
        <v>110</v>
      </c>
      <c r="B19" s="489" t="s">
        <v>762</v>
      </c>
      <c r="C19" s="491">
        <v>63000</v>
      </c>
      <c r="D19" s="491">
        <v>47250</v>
      </c>
      <c r="E19" s="490" t="s">
        <v>106</v>
      </c>
      <c r="F19" s="491">
        <v>47250</v>
      </c>
      <c r="G19" s="516">
        <v>0</v>
      </c>
      <c r="H19" s="493" t="s">
        <v>243</v>
      </c>
      <c r="I19" s="494">
        <v>43327</v>
      </c>
    </row>
    <row r="20" spans="1:9" s="368" customFormat="1" ht="25.9" customHeight="1" x14ac:dyDescent="0.25">
      <c r="A20" s="488" t="s">
        <v>611</v>
      </c>
      <c r="B20" s="489" t="s">
        <v>763</v>
      </c>
      <c r="C20" s="491">
        <v>526680</v>
      </c>
      <c r="D20" s="491">
        <v>150000</v>
      </c>
      <c r="E20" s="490" t="s">
        <v>106</v>
      </c>
      <c r="F20" s="491">
        <v>138141</v>
      </c>
      <c r="G20" s="516">
        <v>0</v>
      </c>
      <c r="H20" s="493" t="s">
        <v>243</v>
      </c>
      <c r="I20" s="494">
        <v>43473</v>
      </c>
    </row>
    <row r="21" spans="1:9" s="368" customFormat="1" ht="25.9" customHeight="1" x14ac:dyDescent="0.25">
      <c r="A21" s="488" t="s">
        <v>764</v>
      </c>
      <c r="B21" s="489" t="s">
        <v>765</v>
      </c>
      <c r="C21" s="491">
        <v>51000</v>
      </c>
      <c r="D21" s="491">
        <v>22950</v>
      </c>
      <c r="E21" s="490" t="s">
        <v>106</v>
      </c>
      <c r="F21" s="491">
        <v>22950</v>
      </c>
      <c r="G21" s="516">
        <v>0</v>
      </c>
      <c r="H21" s="493" t="s">
        <v>243</v>
      </c>
      <c r="I21" s="494">
        <v>43312</v>
      </c>
    </row>
    <row r="22" spans="1:9" s="368" customFormat="1" ht="25.9" customHeight="1" x14ac:dyDescent="0.2">
      <c r="A22" s="495"/>
      <c r="B22" s="496" t="s">
        <v>112</v>
      </c>
      <c r="C22" s="492">
        <f>SUM(C17:C21)</f>
        <v>1533680</v>
      </c>
      <c r="D22" s="492">
        <f>SUM(D17:D21)</f>
        <v>520200</v>
      </c>
      <c r="E22" s="497"/>
      <c r="F22" s="492">
        <f>SUM(F17:F21)</f>
        <v>357841</v>
      </c>
      <c r="G22" s="492">
        <f>SUM(G17:G21)</f>
        <v>150500</v>
      </c>
      <c r="H22" s="498"/>
      <c r="I22" s="499"/>
    </row>
    <row r="23" spans="1:9" s="368" customFormat="1" ht="25.9" customHeight="1" x14ac:dyDescent="0.2">
      <c r="A23" s="436" t="s">
        <v>766</v>
      </c>
      <c r="B23" s="40"/>
      <c r="C23" s="40"/>
      <c r="D23" s="40"/>
      <c r="E23" s="40"/>
      <c r="F23" s="40"/>
      <c r="G23" s="40"/>
      <c r="H23" s="40"/>
      <c r="I23" s="40"/>
    </row>
    <row r="24" spans="1:9" s="368" customFormat="1" ht="25.9" customHeight="1" x14ac:dyDescent="0.2">
      <c r="A24" s="486"/>
      <c r="B24" s="486"/>
      <c r="C24" s="486"/>
      <c r="D24" s="486"/>
      <c r="E24" s="486"/>
      <c r="F24" s="486"/>
      <c r="G24" s="486"/>
      <c r="H24" s="486"/>
      <c r="I24" s="486"/>
    </row>
    <row r="25" spans="1:9" s="368" customFormat="1" ht="25.9" customHeight="1" x14ac:dyDescent="0.2">
      <c r="A25" s="614" t="s">
        <v>624</v>
      </c>
      <c r="B25" s="614"/>
      <c r="C25" s="614"/>
      <c r="D25" s="614"/>
      <c r="E25" s="614"/>
      <c r="F25" s="614"/>
      <c r="G25" s="614"/>
      <c r="H25" s="614"/>
      <c r="I25" s="614"/>
    </row>
    <row r="26" spans="1:9" s="368" customFormat="1" ht="25.9" customHeight="1" x14ac:dyDescent="0.2">
      <c r="A26" s="16" t="s">
        <v>97</v>
      </c>
      <c r="B26" s="17" t="s">
        <v>0</v>
      </c>
      <c r="C26" s="18" t="s">
        <v>1</v>
      </c>
      <c r="D26" s="18" t="s">
        <v>98</v>
      </c>
      <c r="E26" s="18" t="s">
        <v>99</v>
      </c>
      <c r="F26" s="18" t="s">
        <v>100</v>
      </c>
      <c r="G26" s="18" t="s">
        <v>101</v>
      </c>
      <c r="H26" s="19" t="s">
        <v>102</v>
      </c>
      <c r="I26" s="19" t="s">
        <v>103</v>
      </c>
    </row>
    <row r="27" spans="1:9" s="368" customFormat="1" ht="25.9" customHeight="1" x14ac:dyDescent="0.2">
      <c r="A27" s="500" t="s">
        <v>625</v>
      </c>
      <c r="B27" s="501" t="s">
        <v>626</v>
      </c>
      <c r="C27" s="502">
        <v>320292</v>
      </c>
      <c r="D27" s="502">
        <v>150000</v>
      </c>
      <c r="E27" s="364" t="s">
        <v>106</v>
      </c>
      <c r="F27" s="365">
        <v>150000</v>
      </c>
      <c r="G27" s="365">
        <v>0</v>
      </c>
      <c r="H27" s="366" t="s">
        <v>243</v>
      </c>
      <c r="I27" s="367">
        <v>42975</v>
      </c>
    </row>
    <row r="28" spans="1:9" s="368" customFormat="1" ht="25.9" customHeight="1" x14ac:dyDescent="0.2">
      <c r="A28" s="500" t="s">
        <v>107</v>
      </c>
      <c r="B28" s="501" t="s">
        <v>627</v>
      </c>
      <c r="C28" s="502">
        <v>391140</v>
      </c>
      <c r="D28" s="502">
        <v>141140</v>
      </c>
      <c r="E28" s="364" t="s">
        <v>106</v>
      </c>
      <c r="F28" s="365">
        <v>141140</v>
      </c>
      <c r="G28" s="365">
        <v>0</v>
      </c>
      <c r="H28" s="503" t="s">
        <v>243</v>
      </c>
      <c r="I28" s="25">
        <v>43089</v>
      </c>
    </row>
    <row r="29" spans="1:9" s="368" customFormat="1" ht="14.25" customHeight="1" x14ac:dyDescent="0.2">
      <c r="A29" s="500" t="s">
        <v>628</v>
      </c>
      <c r="B29" s="501" t="s">
        <v>629</v>
      </c>
      <c r="C29" s="502">
        <v>65000</v>
      </c>
      <c r="D29" s="502">
        <v>32500</v>
      </c>
      <c r="E29" s="364" t="s">
        <v>106</v>
      </c>
      <c r="F29" s="251">
        <v>31750</v>
      </c>
      <c r="G29" s="251">
        <v>0</v>
      </c>
      <c r="H29" s="503" t="s">
        <v>243</v>
      </c>
      <c r="I29" s="25">
        <v>42969</v>
      </c>
    </row>
    <row r="30" spans="1:9" ht="18.75" customHeight="1" x14ac:dyDescent="0.2">
      <c r="A30" s="500" t="s">
        <v>630</v>
      </c>
      <c r="B30" s="501" t="s">
        <v>631</v>
      </c>
      <c r="C30" s="502">
        <v>10000</v>
      </c>
      <c r="D30" s="502">
        <v>7000</v>
      </c>
      <c r="E30" s="364" t="s">
        <v>106</v>
      </c>
      <c r="F30" s="365">
        <v>6243</v>
      </c>
      <c r="G30" s="365">
        <v>0</v>
      </c>
      <c r="H30" s="503" t="s">
        <v>243</v>
      </c>
      <c r="I30" s="25">
        <v>42735</v>
      </c>
    </row>
    <row r="31" spans="1:9" s="15" customFormat="1" ht="33.75" customHeight="1" x14ac:dyDescent="0.2">
      <c r="A31" s="500" t="s">
        <v>632</v>
      </c>
      <c r="B31" s="501" t="s">
        <v>633</v>
      </c>
      <c r="C31" s="502">
        <v>27500</v>
      </c>
      <c r="D31" s="502">
        <v>16500</v>
      </c>
      <c r="E31" s="364" t="s">
        <v>106</v>
      </c>
      <c r="F31" s="365">
        <v>10866</v>
      </c>
      <c r="G31" s="365">
        <v>0</v>
      </c>
      <c r="H31" s="503" t="s">
        <v>243</v>
      </c>
      <c r="I31" s="25">
        <v>42901</v>
      </c>
    </row>
    <row r="32" spans="1:9" ht="57" customHeight="1" x14ac:dyDescent="0.2">
      <c r="A32" s="500" t="s">
        <v>116</v>
      </c>
      <c r="B32" s="501" t="s">
        <v>634</v>
      </c>
      <c r="C32" s="502">
        <v>80125</v>
      </c>
      <c r="D32" s="502">
        <v>56088</v>
      </c>
      <c r="E32" s="364" t="s">
        <v>106</v>
      </c>
      <c r="F32" s="365">
        <v>56088</v>
      </c>
      <c r="G32" s="365">
        <v>0</v>
      </c>
      <c r="H32" s="503" t="s">
        <v>243</v>
      </c>
      <c r="I32" s="25">
        <v>43474</v>
      </c>
    </row>
    <row r="33" spans="1:9" s="368" customFormat="1" ht="25.9" customHeight="1" x14ac:dyDescent="0.2">
      <c r="A33" s="500" t="s">
        <v>635</v>
      </c>
      <c r="B33" s="501" t="s">
        <v>636</v>
      </c>
      <c r="C33" s="502">
        <v>300000</v>
      </c>
      <c r="D33" s="502">
        <v>150000</v>
      </c>
      <c r="E33" s="364" t="s">
        <v>106</v>
      </c>
      <c r="F33" s="365">
        <v>150000</v>
      </c>
      <c r="G33" s="365">
        <v>0</v>
      </c>
      <c r="H33" s="503" t="s">
        <v>243</v>
      </c>
      <c r="I33" s="25">
        <v>43138</v>
      </c>
    </row>
    <row r="34" spans="1:9" s="368" customFormat="1" ht="25.9" customHeight="1" x14ac:dyDescent="0.2">
      <c r="A34" s="500" t="s">
        <v>611</v>
      </c>
      <c r="B34" s="501" t="s">
        <v>637</v>
      </c>
      <c r="C34" s="502">
        <v>1120000</v>
      </c>
      <c r="D34" s="502">
        <v>150000</v>
      </c>
      <c r="E34" s="364" t="s">
        <v>106</v>
      </c>
      <c r="F34" s="365">
        <v>150000</v>
      </c>
      <c r="G34" s="365">
        <v>0</v>
      </c>
      <c r="H34" s="503" t="s">
        <v>243</v>
      </c>
      <c r="I34" s="25">
        <v>43474</v>
      </c>
    </row>
    <row r="35" spans="1:9" s="368" customFormat="1" ht="25.9" customHeight="1" x14ac:dyDescent="0.2">
      <c r="A35" s="500" t="s">
        <v>613</v>
      </c>
      <c r="B35" s="501" t="s">
        <v>638</v>
      </c>
      <c r="C35" s="502">
        <v>68000</v>
      </c>
      <c r="D35" s="502">
        <v>47600</v>
      </c>
      <c r="E35" s="364" t="s">
        <v>106</v>
      </c>
      <c r="F35" s="365">
        <v>42833</v>
      </c>
      <c r="G35" s="365">
        <v>0</v>
      </c>
      <c r="H35" s="503" t="s">
        <v>243</v>
      </c>
      <c r="I35" s="25">
        <v>43122</v>
      </c>
    </row>
    <row r="36" spans="1:9" s="441" customFormat="1" ht="25.9" customHeight="1" x14ac:dyDescent="0.2">
      <c r="A36" s="194"/>
      <c r="B36" s="195" t="s">
        <v>112</v>
      </c>
      <c r="C36" s="196">
        <f>SUM(C27:C35)</f>
        <v>2382057</v>
      </c>
      <c r="D36" s="196">
        <f>SUM(D27:D35)</f>
        <v>750828</v>
      </c>
      <c r="E36" s="30"/>
      <c r="F36" s="29">
        <f>SUM(F27:F35)</f>
        <v>738920</v>
      </c>
      <c r="G36" s="29">
        <f>SUM(G27:G35)</f>
        <v>0</v>
      </c>
      <c r="H36" s="31"/>
      <c r="I36" s="32"/>
    </row>
    <row r="37" spans="1:9" s="441" customFormat="1" ht="25.9" customHeight="1" x14ac:dyDescent="0.2">
      <c r="A37" s="436" t="s">
        <v>639</v>
      </c>
      <c r="B37" s="437"/>
      <c r="C37" s="438"/>
      <c r="D37" s="438"/>
      <c r="E37" s="439"/>
      <c r="F37" s="438"/>
      <c r="G37" s="438"/>
      <c r="H37" s="379"/>
      <c r="I37" s="440"/>
    </row>
    <row r="38" spans="1:9" s="368" customFormat="1" ht="25.9" customHeight="1" x14ac:dyDescent="0.2">
      <c r="A38" s="504"/>
      <c r="B38" s="505"/>
      <c r="C38" s="506"/>
      <c r="D38" s="506"/>
      <c r="E38" s="507"/>
      <c r="F38" s="506"/>
      <c r="G38" s="506"/>
      <c r="H38" s="508"/>
      <c r="I38" s="509"/>
    </row>
    <row r="39" spans="1:9" s="368" customFormat="1" ht="25.9" customHeight="1" x14ac:dyDescent="0.2">
      <c r="A39" s="615" t="s">
        <v>599</v>
      </c>
      <c r="B39" s="615"/>
      <c r="C39" s="615"/>
      <c r="D39" s="615"/>
      <c r="E39" s="615"/>
      <c r="F39" s="615"/>
      <c r="G39" s="615"/>
      <c r="H39" s="615"/>
      <c r="I39" s="615"/>
    </row>
    <row r="40" spans="1:9" s="368" customFormat="1" ht="25.9" customHeight="1" x14ac:dyDescent="0.2">
      <c r="A40" s="16" t="s">
        <v>97</v>
      </c>
      <c r="B40" s="17" t="s">
        <v>0</v>
      </c>
      <c r="C40" s="18" t="s">
        <v>1</v>
      </c>
      <c r="D40" s="18" t="s">
        <v>98</v>
      </c>
      <c r="E40" s="18" t="s">
        <v>99</v>
      </c>
      <c r="F40" s="18" t="s">
        <v>100</v>
      </c>
      <c r="G40" s="18" t="s">
        <v>101</v>
      </c>
      <c r="H40" s="19" t="s">
        <v>102</v>
      </c>
      <c r="I40" s="19" t="s">
        <v>103</v>
      </c>
    </row>
    <row r="41" spans="1:9" s="368" customFormat="1" ht="25.9" customHeight="1" x14ac:dyDescent="0.2">
      <c r="A41" s="361" t="s">
        <v>600</v>
      </c>
      <c r="B41" s="362" t="s">
        <v>601</v>
      </c>
      <c r="C41" s="363">
        <v>2410000</v>
      </c>
      <c r="D41" s="363">
        <v>150000</v>
      </c>
      <c r="E41" s="364" t="s">
        <v>106</v>
      </c>
      <c r="F41" s="365">
        <v>150000</v>
      </c>
      <c r="G41" s="365">
        <v>0</v>
      </c>
      <c r="H41" s="503" t="s">
        <v>243</v>
      </c>
      <c r="I41" s="25">
        <v>43206</v>
      </c>
    </row>
    <row r="42" spans="1:9" ht="18.75" customHeight="1" x14ac:dyDescent="0.2">
      <c r="A42" s="361" t="s">
        <v>602</v>
      </c>
      <c r="B42" s="362" t="s">
        <v>603</v>
      </c>
      <c r="C42" s="363">
        <v>216451</v>
      </c>
      <c r="D42" s="363">
        <v>75000</v>
      </c>
      <c r="E42" s="364" t="s">
        <v>106</v>
      </c>
      <c r="F42" s="365">
        <v>47060</v>
      </c>
      <c r="G42" s="365">
        <v>0</v>
      </c>
      <c r="H42" s="503" t="s">
        <v>243</v>
      </c>
      <c r="I42" s="25">
        <v>43281</v>
      </c>
    </row>
    <row r="43" spans="1:9" s="15" customFormat="1" ht="33.75" customHeight="1" x14ac:dyDescent="0.2">
      <c r="A43" s="361" t="s">
        <v>604</v>
      </c>
      <c r="B43" s="362" t="s">
        <v>605</v>
      </c>
      <c r="C43" s="363">
        <v>18728</v>
      </c>
      <c r="D43" s="363">
        <v>15919</v>
      </c>
      <c r="E43" s="364" t="s">
        <v>106</v>
      </c>
      <c r="F43" s="365">
        <v>15919</v>
      </c>
      <c r="G43" s="365">
        <v>0</v>
      </c>
      <c r="H43" s="503" t="s">
        <v>243</v>
      </c>
      <c r="I43" s="25">
        <v>42529</v>
      </c>
    </row>
    <row r="44" spans="1:9" s="20" customFormat="1" ht="57" customHeight="1" x14ac:dyDescent="0.2">
      <c r="A44" s="361" t="s">
        <v>606</v>
      </c>
      <c r="B44" s="362" t="s">
        <v>105</v>
      </c>
      <c r="C44" s="363">
        <v>322000</v>
      </c>
      <c r="D44" s="363">
        <v>150000</v>
      </c>
      <c r="E44" s="364" t="s">
        <v>106</v>
      </c>
      <c r="F44" s="365">
        <v>150000</v>
      </c>
      <c r="G44" s="365">
        <v>0</v>
      </c>
      <c r="H44" s="503" t="s">
        <v>243</v>
      </c>
      <c r="I44" s="25">
        <v>42969</v>
      </c>
    </row>
    <row r="45" spans="1:9" s="387" customFormat="1" ht="15" x14ac:dyDescent="0.2">
      <c r="A45" s="361" t="s">
        <v>607</v>
      </c>
      <c r="B45" s="362" t="s">
        <v>608</v>
      </c>
      <c r="C45" s="363">
        <v>94500</v>
      </c>
      <c r="D45" s="363">
        <v>80325</v>
      </c>
      <c r="E45" s="364" t="s">
        <v>106</v>
      </c>
      <c r="F45" s="365">
        <v>64936</v>
      </c>
      <c r="G45" s="365">
        <v>0</v>
      </c>
      <c r="H45" s="503" t="s">
        <v>243</v>
      </c>
      <c r="I45" s="25">
        <v>42779</v>
      </c>
    </row>
    <row r="46" spans="1:9" s="387" customFormat="1" ht="28.5" customHeight="1" x14ac:dyDescent="0.2">
      <c r="A46" s="361" t="s">
        <v>609</v>
      </c>
      <c r="B46" s="362" t="s">
        <v>610</v>
      </c>
      <c r="C46" s="363">
        <v>20000</v>
      </c>
      <c r="D46" s="363">
        <v>14000</v>
      </c>
      <c r="E46" s="364" t="s">
        <v>106</v>
      </c>
      <c r="F46" s="365">
        <v>13826</v>
      </c>
      <c r="G46" s="365">
        <v>0</v>
      </c>
      <c r="H46" s="503" t="s">
        <v>243</v>
      </c>
      <c r="I46" s="25">
        <v>42719</v>
      </c>
    </row>
    <row r="47" spans="1:9" s="387" customFormat="1" ht="15" x14ac:dyDescent="0.2">
      <c r="A47" s="361" t="s">
        <v>438</v>
      </c>
      <c r="B47" s="362" t="s">
        <v>117</v>
      </c>
      <c r="C47" s="363">
        <v>26836</v>
      </c>
      <c r="D47" s="363">
        <v>16101</v>
      </c>
      <c r="E47" s="364" t="s">
        <v>106</v>
      </c>
      <c r="F47" s="365">
        <v>16101</v>
      </c>
      <c r="G47" s="365">
        <v>0</v>
      </c>
      <c r="H47" s="503" t="s">
        <v>243</v>
      </c>
      <c r="I47" s="25">
        <v>42529</v>
      </c>
    </row>
    <row r="48" spans="1:9" s="387" customFormat="1" ht="25.5" x14ac:dyDescent="0.2">
      <c r="A48" s="361" t="s">
        <v>611</v>
      </c>
      <c r="B48" s="362" t="s">
        <v>612</v>
      </c>
      <c r="C48" s="363">
        <v>182200</v>
      </c>
      <c r="D48" s="363">
        <v>150000</v>
      </c>
      <c r="E48" s="364" t="s">
        <v>106</v>
      </c>
      <c r="F48" s="365">
        <v>150000</v>
      </c>
      <c r="G48" s="365">
        <v>0</v>
      </c>
      <c r="H48" s="503" t="s">
        <v>243</v>
      </c>
      <c r="I48" s="25">
        <v>42855</v>
      </c>
    </row>
    <row r="49" spans="1:9" s="387" customFormat="1" ht="44.25" customHeight="1" x14ac:dyDescent="0.2">
      <c r="A49" s="361" t="s">
        <v>613</v>
      </c>
      <c r="B49" s="362" t="s">
        <v>614</v>
      </c>
      <c r="C49" s="363">
        <v>76650</v>
      </c>
      <c r="D49" s="363">
        <v>45990</v>
      </c>
      <c r="E49" s="364" t="s">
        <v>106</v>
      </c>
      <c r="F49" s="365">
        <v>45990</v>
      </c>
      <c r="G49" s="365">
        <v>0</v>
      </c>
      <c r="H49" s="503" t="s">
        <v>243</v>
      </c>
      <c r="I49" s="25">
        <v>42946</v>
      </c>
    </row>
    <row r="50" spans="1:9" s="387" customFormat="1" ht="27" customHeight="1" x14ac:dyDescent="0.2">
      <c r="A50" s="361" t="s">
        <v>440</v>
      </c>
      <c r="B50" s="378" t="s">
        <v>105</v>
      </c>
      <c r="C50" s="363">
        <v>630540</v>
      </c>
      <c r="D50" s="363">
        <v>150000</v>
      </c>
      <c r="E50" s="364" t="s">
        <v>106</v>
      </c>
      <c r="F50" s="365"/>
      <c r="G50" s="365">
        <v>150000</v>
      </c>
      <c r="H50" s="503" t="s">
        <v>339</v>
      </c>
      <c r="I50" s="25">
        <v>43646</v>
      </c>
    </row>
    <row r="51" spans="1:9" s="387" customFormat="1" ht="33.75" customHeight="1" x14ac:dyDescent="0.2">
      <c r="A51" s="194"/>
      <c r="B51" s="195" t="s">
        <v>112</v>
      </c>
      <c r="C51" s="196">
        <f>SUM(C41:C50)</f>
        <v>3997905</v>
      </c>
      <c r="D51" s="196">
        <f>SUM(D41:D50)</f>
        <v>847335</v>
      </c>
      <c r="E51" s="30"/>
      <c r="F51" s="29">
        <f>SUM(F41:F50)</f>
        <v>653832</v>
      </c>
      <c r="G51" s="29">
        <f>SUM(G41:G50)</f>
        <v>150000</v>
      </c>
      <c r="H51" s="31"/>
      <c r="I51" s="32"/>
    </row>
    <row r="52" spans="1:9" s="387" customFormat="1" ht="57" customHeight="1" x14ac:dyDescent="0.2">
      <c r="A52" s="614" t="s">
        <v>426</v>
      </c>
      <c r="B52" s="614"/>
      <c r="C52" s="614"/>
      <c r="D52" s="614"/>
      <c r="E52" s="614"/>
      <c r="F52" s="614"/>
      <c r="G52" s="614"/>
      <c r="H52" s="614"/>
      <c r="I52" s="614"/>
    </row>
    <row r="53" spans="1:9" s="387" customFormat="1" ht="38.25" x14ac:dyDescent="0.2">
      <c r="A53" s="16" t="s">
        <v>97</v>
      </c>
      <c r="B53" s="17" t="s">
        <v>0</v>
      </c>
      <c r="C53" s="18" t="s">
        <v>1</v>
      </c>
      <c r="D53" s="18" t="s">
        <v>98</v>
      </c>
      <c r="E53" s="18" t="s">
        <v>99</v>
      </c>
      <c r="F53" s="18" t="s">
        <v>100</v>
      </c>
      <c r="G53" s="18" t="s">
        <v>101</v>
      </c>
      <c r="H53" s="19" t="s">
        <v>102</v>
      </c>
      <c r="I53" s="19" t="s">
        <v>103</v>
      </c>
    </row>
    <row r="54" spans="1:9" s="23" customFormat="1" ht="42" customHeight="1" x14ac:dyDescent="0.2">
      <c r="A54" s="369" t="s">
        <v>427</v>
      </c>
      <c r="B54" s="374" t="s">
        <v>428</v>
      </c>
      <c r="C54" s="371">
        <v>717200</v>
      </c>
      <c r="D54" s="372">
        <v>150000</v>
      </c>
      <c r="E54" s="364" t="s">
        <v>106</v>
      </c>
      <c r="F54" s="365">
        <v>150000</v>
      </c>
      <c r="G54" s="364">
        <v>0</v>
      </c>
      <c r="H54" s="379" t="s">
        <v>114</v>
      </c>
      <c r="I54" s="367">
        <v>42339</v>
      </c>
    </row>
    <row r="55" spans="1:9" s="15" customFormat="1" ht="23.25" x14ac:dyDescent="0.2">
      <c r="A55" s="369" t="s">
        <v>104</v>
      </c>
      <c r="B55" s="370" t="s">
        <v>429</v>
      </c>
      <c r="C55" s="371">
        <v>201600</v>
      </c>
      <c r="D55" s="372">
        <v>150000</v>
      </c>
      <c r="E55" s="364" t="s">
        <v>106</v>
      </c>
      <c r="F55" s="365">
        <v>150000</v>
      </c>
      <c r="G55" s="373">
        <v>0</v>
      </c>
      <c r="H55" s="366" t="s">
        <v>114</v>
      </c>
      <c r="I55" s="367">
        <v>42972</v>
      </c>
    </row>
    <row r="56" spans="1:9" s="20" customFormat="1" ht="15" x14ac:dyDescent="0.2">
      <c r="A56" s="369" t="s">
        <v>430</v>
      </c>
      <c r="B56" s="380" t="s">
        <v>431</v>
      </c>
      <c r="C56" s="371">
        <v>235000</v>
      </c>
      <c r="D56" s="371">
        <v>117500</v>
      </c>
      <c r="E56" s="364" t="s">
        <v>106</v>
      </c>
      <c r="F56" s="365">
        <v>117500</v>
      </c>
      <c r="G56" s="381">
        <v>0</v>
      </c>
      <c r="H56" s="366" t="s">
        <v>114</v>
      </c>
      <c r="I56" s="367">
        <v>42591</v>
      </c>
    </row>
    <row r="57" spans="1:9" s="387" customFormat="1" ht="43.5" customHeight="1" x14ac:dyDescent="0.2">
      <c r="A57" s="369" t="s">
        <v>115</v>
      </c>
      <c r="B57" s="374" t="s">
        <v>432</v>
      </c>
      <c r="C57" s="371">
        <v>215657</v>
      </c>
      <c r="D57" s="372">
        <v>150000</v>
      </c>
      <c r="E57" s="364" t="s">
        <v>106</v>
      </c>
      <c r="F57" s="365">
        <v>135000</v>
      </c>
      <c r="G57" s="373">
        <v>0</v>
      </c>
      <c r="H57" s="366" t="s">
        <v>114</v>
      </c>
      <c r="I57" s="367">
        <v>42900</v>
      </c>
    </row>
    <row r="58" spans="1:9" s="387" customFormat="1" ht="25.5" x14ac:dyDescent="0.2">
      <c r="A58" s="369" t="s">
        <v>433</v>
      </c>
      <c r="B58" s="374" t="s">
        <v>434</v>
      </c>
      <c r="C58" s="371">
        <v>60000</v>
      </c>
      <c r="D58" s="372">
        <v>30000</v>
      </c>
      <c r="E58" s="364" t="s">
        <v>106</v>
      </c>
      <c r="F58" s="365">
        <v>12250</v>
      </c>
      <c r="G58" s="373">
        <v>0</v>
      </c>
      <c r="H58" s="366" t="s">
        <v>114</v>
      </c>
      <c r="I58" s="367">
        <v>41957</v>
      </c>
    </row>
    <row r="59" spans="1:9" s="387" customFormat="1" ht="15" x14ac:dyDescent="0.2">
      <c r="A59" s="369" t="s">
        <v>118</v>
      </c>
      <c r="B59" s="374" t="s">
        <v>435</v>
      </c>
      <c r="C59" s="371">
        <v>107140</v>
      </c>
      <c r="D59" s="372">
        <v>74998</v>
      </c>
      <c r="E59" s="364" t="s">
        <v>106</v>
      </c>
      <c r="F59" s="365">
        <v>74998</v>
      </c>
      <c r="G59" s="373">
        <v>0</v>
      </c>
      <c r="H59" s="366" t="s">
        <v>114</v>
      </c>
      <c r="I59" s="367">
        <v>43068</v>
      </c>
    </row>
    <row r="60" spans="1:9" s="387" customFormat="1" ht="15" x14ac:dyDescent="0.2">
      <c r="A60" s="369" t="s">
        <v>436</v>
      </c>
      <c r="B60" s="380" t="s">
        <v>437</v>
      </c>
      <c r="C60" s="371">
        <v>27135</v>
      </c>
      <c r="D60" s="371">
        <v>21708</v>
      </c>
      <c r="E60" s="364" t="s">
        <v>106</v>
      </c>
      <c r="F60" s="365">
        <v>21628</v>
      </c>
      <c r="G60" s="381">
        <v>0</v>
      </c>
      <c r="H60" s="366" t="s">
        <v>114</v>
      </c>
      <c r="I60" s="367">
        <v>42170</v>
      </c>
    </row>
    <row r="61" spans="1:9" s="387" customFormat="1" ht="25.5" x14ac:dyDescent="0.2">
      <c r="A61" s="369" t="s">
        <v>438</v>
      </c>
      <c r="B61" s="374" t="s">
        <v>439</v>
      </c>
      <c r="C61" s="371">
        <v>24000</v>
      </c>
      <c r="D61" s="372">
        <v>14400</v>
      </c>
      <c r="E61" s="364" t="s">
        <v>106</v>
      </c>
      <c r="F61" s="365">
        <v>14400</v>
      </c>
      <c r="G61" s="373">
        <v>0</v>
      </c>
      <c r="H61" s="366" t="s">
        <v>114</v>
      </c>
      <c r="I61" s="367">
        <v>42389</v>
      </c>
    </row>
    <row r="62" spans="1:9" s="387" customFormat="1" ht="15" x14ac:dyDescent="0.2">
      <c r="A62" s="369" t="s">
        <v>440</v>
      </c>
      <c r="B62" s="374" t="s">
        <v>113</v>
      </c>
      <c r="C62" s="371">
        <v>76500</v>
      </c>
      <c r="D62" s="371">
        <v>57375</v>
      </c>
      <c r="E62" s="364" t="s">
        <v>106</v>
      </c>
      <c r="F62" s="365">
        <v>57375</v>
      </c>
      <c r="G62" s="381">
        <v>0</v>
      </c>
      <c r="H62" s="366" t="s">
        <v>114</v>
      </c>
      <c r="I62" s="367">
        <v>42506</v>
      </c>
    </row>
    <row r="63" spans="1:9" s="23" customFormat="1" ht="15" x14ac:dyDescent="0.2">
      <c r="A63" s="194"/>
      <c r="B63" s="195" t="s">
        <v>112</v>
      </c>
      <c r="C63" s="196">
        <f>SUM(C54:C62)</f>
        <v>1664232</v>
      </c>
      <c r="D63" s="196">
        <f>SUM(D54:D62)</f>
        <v>765981</v>
      </c>
      <c r="E63" s="30"/>
      <c r="F63" s="29">
        <f>SUM(F54:F62)</f>
        <v>733151</v>
      </c>
      <c r="G63" s="29">
        <f>SUM(G54:G62)</f>
        <v>0</v>
      </c>
      <c r="H63" s="31"/>
      <c r="I63" s="32"/>
    </row>
    <row r="64" spans="1:9" ht="15.75" x14ac:dyDescent="0.2">
      <c r="A64" s="614" t="s">
        <v>342</v>
      </c>
      <c r="B64" s="614"/>
      <c r="C64" s="614"/>
      <c r="D64" s="614"/>
      <c r="E64" s="614"/>
      <c r="F64" s="614"/>
      <c r="G64" s="614"/>
      <c r="H64" s="614"/>
      <c r="I64" s="614"/>
    </row>
    <row r="65" spans="1:9" ht="38.25" x14ac:dyDescent="0.2">
      <c r="A65" s="16" t="s">
        <v>97</v>
      </c>
      <c r="B65" s="17" t="s">
        <v>0</v>
      </c>
      <c r="C65" s="18" t="s">
        <v>1</v>
      </c>
      <c r="D65" s="18" t="s">
        <v>98</v>
      </c>
      <c r="E65" s="18" t="s">
        <v>99</v>
      </c>
      <c r="F65" s="18" t="s">
        <v>100</v>
      </c>
      <c r="G65" s="18" t="s">
        <v>101</v>
      </c>
      <c r="H65" s="19" t="s">
        <v>102</v>
      </c>
      <c r="I65" s="19" t="s">
        <v>103</v>
      </c>
    </row>
    <row r="66" spans="1:9" x14ac:dyDescent="0.2">
      <c r="A66" s="369" t="s">
        <v>343</v>
      </c>
      <c r="B66" s="382" t="s">
        <v>344</v>
      </c>
      <c r="C66" s="383">
        <v>326250</v>
      </c>
      <c r="D66" s="384">
        <v>150000</v>
      </c>
      <c r="E66" s="364" t="s">
        <v>106</v>
      </c>
      <c r="F66" s="385">
        <v>150000</v>
      </c>
      <c r="G66" s="386">
        <f>D66-F66</f>
        <v>0</v>
      </c>
      <c r="H66" s="366" t="s">
        <v>114</v>
      </c>
      <c r="I66" s="367">
        <v>41801</v>
      </c>
    </row>
    <row r="67" spans="1:9" x14ac:dyDescent="0.2">
      <c r="A67" s="369" t="s">
        <v>345</v>
      </c>
      <c r="B67" s="388" t="s">
        <v>346</v>
      </c>
      <c r="C67" s="389">
        <v>56660</v>
      </c>
      <c r="D67" s="390">
        <v>48161</v>
      </c>
      <c r="E67" s="364" t="s">
        <v>347</v>
      </c>
      <c r="F67" s="391">
        <v>48161</v>
      </c>
      <c r="G67" s="386">
        <f t="shared" ref="G67:G74" si="0">D67-F67</f>
        <v>0</v>
      </c>
      <c r="H67" s="366" t="s">
        <v>114</v>
      </c>
      <c r="I67" s="367">
        <v>41904</v>
      </c>
    </row>
    <row r="68" spans="1:9" x14ac:dyDescent="0.2">
      <c r="A68" s="369" t="s">
        <v>348</v>
      </c>
      <c r="B68" s="392" t="s">
        <v>349</v>
      </c>
      <c r="C68" s="389">
        <v>529170</v>
      </c>
      <c r="D68" s="389">
        <v>100000</v>
      </c>
      <c r="E68" s="364" t="s">
        <v>350</v>
      </c>
      <c r="F68" s="391">
        <v>100000</v>
      </c>
      <c r="G68" s="386">
        <f t="shared" si="0"/>
        <v>0</v>
      </c>
      <c r="H68" s="393" t="s">
        <v>114</v>
      </c>
      <c r="I68" s="367">
        <v>42530</v>
      </c>
    </row>
    <row r="69" spans="1:9" s="515" customFormat="1" x14ac:dyDescent="0.2">
      <c r="A69" s="369" t="s">
        <v>351</v>
      </c>
      <c r="B69" s="382" t="s">
        <v>352</v>
      </c>
      <c r="C69" s="389">
        <v>88200</v>
      </c>
      <c r="D69" s="390">
        <v>74970</v>
      </c>
      <c r="E69" s="364" t="s">
        <v>347</v>
      </c>
      <c r="F69" s="391">
        <v>72566</v>
      </c>
      <c r="G69" s="386">
        <v>0</v>
      </c>
      <c r="H69" s="366" t="s">
        <v>114</v>
      </c>
      <c r="I69" s="367">
        <v>42958</v>
      </c>
    </row>
    <row r="70" spans="1:9" x14ac:dyDescent="0.2">
      <c r="A70" s="369" t="s">
        <v>353</v>
      </c>
      <c r="B70" s="392" t="s">
        <v>354</v>
      </c>
      <c r="C70" s="389">
        <v>300000</v>
      </c>
      <c r="D70" s="389">
        <v>150000</v>
      </c>
      <c r="E70" s="364" t="s">
        <v>441</v>
      </c>
      <c r="F70" s="391">
        <v>150000</v>
      </c>
      <c r="G70" s="386">
        <f t="shared" si="0"/>
        <v>0</v>
      </c>
      <c r="H70" s="366" t="s">
        <v>114</v>
      </c>
      <c r="I70" s="367">
        <v>41905</v>
      </c>
    </row>
    <row r="71" spans="1:9" x14ac:dyDescent="0.2">
      <c r="A71" s="369" t="s">
        <v>355</v>
      </c>
      <c r="B71" s="382" t="s">
        <v>139</v>
      </c>
      <c r="C71" s="389">
        <v>74470</v>
      </c>
      <c r="D71" s="390">
        <v>59470</v>
      </c>
      <c r="E71" s="364" t="s">
        <v>356</v>
      </c>
      <c r="F71" s="391">
        <v>57555</v>
      </c>
      <c r="G71" s="386">
        <v>0</v>
      </c>
      <c r="H71" s="366" t="s">
        <v>114</v>
      </c>
      <c r="I71" s="367">
        <v>42185</v>
      </c>
    </row>
    <row r="72" spans="1:9" x14ac:dyDescent="0.2">
      <c r="A72" s="369" t="s">
        <v>357</v>
      </c>
      <c r="B72" s="382" t="s">
        <v>358</v>
      </c>
      <c r="C72" s="389">
        <v>422375</v>
      </c>
      <c r="D72" s="389">
        <v>150000</v>
      </c>
      <c r="E72" s="364" t="s">
        <v>359</v>
      </c>
      <c r="F72" s="391">
        <v>128239</v>
      </c>
      <c r="G72" s="386">
        <v>0</v>
      </c>
      <c r="H72" s="366" t="s">
        <v>114</v>
      </c>
      <c r="I72" s="367">
        <v>42156</v>
      </c>
    </row>
    <row r="73" spans="1:9" x14ac:dyDescent="0.2">
      <c r="A73" s="369" t="s">
        <v>360</v>
      </c>
      <c r="B73" s="382" t="s">
        <v>361</v>
      </c>
      <c r="C73" s="389">
        <v>20700</v>
      </c>
      <c r="D73" s="390">
        <v>16560</v>
      </c>
      <c r="E73" s="364" t="s">
        <v>347</v>
      </c>
      <c r="F73" s="391">
        <v>16560</v>
      </c>
      <c r="G73" s="386">
        <f t="shared" si="0"/>
        <v>0</v>
      </c>
      <c r="H73" s="366" t="s">
        <v>114</v>
      </c>
      <c r="I73" s="367">
        <v>41626</v>
      </c>
    </row>
    <row r="74" spans="1:9" x14ac:dyDescent="0.2">
      <c r="A74" s="394" t="s">
        <v>362</v>
      </c>
      <c r="B74" s="395" t="s">
        <v>363</v>
      </c>
      <c r="C74" s="396">
        <v>40500</v>
      </c>
      <c r="D74" s="397">
        <v>20250</v>
      </c>
      <c r="E74" s="364" t="s">
        <v>106</v>
      </c>
      <c r="F74" s="391">
        <v>20250</v>
      </c>
      <c r="G74" s="386">
        <f t="shared" si="0"/>
        <v>0</v>
      </c>
      <c r="H74" s="366" t="s">
        <v>114</v>
      </c>
      <c r="I74" s="367">
        <v>41791</v>
      </c>
    </row>
    <row r="75" spans="1:9" x14ac:dyDescent="0.2">
      <c r="A75" s="194"/>
      <c r="B75" s="195" t="s">
        <v>112</v>
      </c>
      <c r="C75" s="196">
        <f>SUM(C66:C73)</f>
        <v>1817825</v>
      </c>
      <c r="D75" s="196">
        <f>SUM(D66:D74)</f>
        <v>769411</v>
      </c>
      <c r="E75" s="30"/>
      <c r="F75" s="29">
        <f>SUM(F66:F74)</f>
        <v>743331</v>
      </c>
      <c r="G75" s="29">
        <f>SUM(G66:G74)</f>
        <v>0</v>
      </c>
      <c r="H75" s="31"/>
      <c r="I75" s="32"/>
    </row>
    <row r="76" spans="1:9" ht="15.75" x14ac:dyDescent="0.2">
      <c r="A76" s="614" t="s">
        <v>96</v>
      </c>
      <c r="B76" s="614"/>
      <c r="C76" s="614"/>
      <c r="D76" s="614"/>
      <c r="E76" s="614"/>
      <c r="F76" s="614"/>
      <c r="G76" s="614"/>
      <c r="H76" s="614"/>
      <c r="I76" s="614"/>
    </row>
    <row r="77" spans="1:9" ht="38.25" x14ac:dyDescent="0.2">
      <c r="A77" s="16" t="s">
        <v>97</v>
      </c>
      <c r="B77" s="17" t="s">
        <v>0</v>
      </c>
      <c r="C77" s="18" t="s">
        <v>1</v>
      </c>
      <c r="D77" s="18" t="s">
        <v>98</v>
      </c>
      <c r="E77" s="18" t="s">
        <v>99</v>
      </c>
      <c r="F77" s="18" t="s">
        <v>100</v>
      </c>
      <c r="G77" s="18" t="s">
        <v>101</v>
      </c>
      <c r="H77" s="19" t="s">
        <v>102</v>
      </c>
      <c r="I77" s="19" t="s">
        <v>103</v>
      </c>
    </row>
    <row r="78" spans="1:9" x14ac:dyDescent="0.2">
      <c r="A78" s="510" t="s">
        <v>104</v>
      </c>
      <c r="B78" s="511" t="s">
        <v>105</v>
      </c>
      <c r="C78" s="21">
        <v>187500</v>
      </c>
      <c r="D78" s="512">
        <v>150000</v>
      </c>
      <c r="E78" s="513" t="s">
        <v>106</v>
      </c>
      <c r="F78" s="21">
        <v>150000</v>
      </c>
      <c r="G78" s="512">
        <v>0</v>
      </c>
      <c r="H78" s="514" t="s">
        <v>243</v>
      </c>
      <c r="I78" s="25">
        <v>43077</v>
      </c>
    </row>
    <row r="79" spans="1:9" x14ac:dyDescent="0.2">
      <c r="A79" s="398" t="s">
        <v>107</v>
      </c>
      <c r="B79" s="399" t="s">
        <v>108</v>
      </c>
      <c r="C79" s="391">
        <v>600000</v>
      </c>
      <c r="D79" s="391">
        <v>150000</v>
      </c>
      <c r="E79" s="364" t="s">
        <v>106</v>
      </c>
      <c r="F79" s="391">
        <v>150000</v>
      </c>
      <c r="G79" s="391">
        <f>D79-F79</f>
        <v>0</v>
      </c>
      <c r="H79" s="366" t="s">
        <v>114</v>
      </c>
      <c r="I79" s="367">
        <v>41817</v>
      </c>
    </row>
    <row r="80" spans="1:9" x14ac:dyDescent="0.2">
      <c r="A80" s="398" t="s">
        <v>116</v>
      </c>
      <c r="B80" s="399" t="s">
        <v>442</v>
      </c>
      <c r="C80" s="391">
        <v>102000</v>
      </c>
      <c r="D80" s="391">
        <v>75000</v>
      </c>
      <c r="E80" s="364" t="s">
        <v>106</v>
      </c>
      <c r="F80" s="391">
        <v>75000</v>
      </c>
      <c r="G80" s="391">
        <f>D80-F80</f>
        <v>0</v>
      </c>
      <c r="H80" s="366" t="s">
        <v>114</v>
      </c>
      <c r="I80" s="367">
        <v>41939</v>
      </c>
    </row>
    <row r="81" spans="1:9" x14ac:dyDescent="0.2">
      <c r="A81" s="398" t="s">
        <v>109</v>
      </c>
      <c r="B81" s="399" t="s">
        <v>443</v>
      </c>
      <c r="C81" s="400">
        <v>326760</v>
      </c>
      <c r="D81" s="391">
        <v>150000</v>
      </c>
      <c r="E81" s="364" t="s">
        <v>106</v>
      </c>
      <c r="F81" s="400">
        <v>149183</v>
      </c>
      <c r="G81" s="391">
        <v>0</v>
      </c>
      <c r="H81" s="401" t="s">
        <v>114</v>
      </c>
      <c r="I81" s="367">
        <v>41900</v>
      </c>
    </row>
    <row r="82" spans="1:9" x14ac:dyDescent="0.2">
      <c r="A82" s="398" t="s">
        <v>110</v>
      </c>
      <c r="B82" s="399" t="s">
        <v>105</v>
      </c>
      <c r="C82" s="391">
        <v>210000</v>
      </c>
      <c r="D82" s="391">
        <v>150000</v>
      </c>
      <c r="E82" s="364" t="s">
        <v>106</v>
      </c>
      <c r="F82" s="391">
        <v>150000</v>
      </c>
      <c r="G82" s="391">
        <f>D82-F82</f>
        <v>0</v>
      </c>
      <c r="H82" s="366" t="s">
        <v>114</v>
      </c>
      <c r="I82" s="402">
        <v>41558</v>
      </c>
    </row>
    <row r="83" spans="1:9" x14ac:dyDescent="0.2">
      <c r="A83" s="403" t="s">
        <v>111</v>
      </c>
      <c r="B83" s="404" t="s">
        <v>105</v>
      </c>
      <c r="C83" s="391">
        <v>271000</v>
      </c>
      <c r="D83" s="391">
        <v>150000</v>
      </c>
      <c r="E83" s="364" t="s">
        <v>106</v>
      </c>
      <c r="F83" s="391">
        <v>150000</v>
      </c>
      <c r="G83" s="391">
        <f>D83-F83</f>
        <v>0</v>
      </c>
      <c r="H83" s="405" t="s">
        <v>114</v>
      </c>
      <c r="I83" s="406">
        <v>41691</v>
      </c>
    </row>
    <row r="84" spans="1:9" x14ac:dyDescent="0.2">
      <c r="A84" s="27"/>
      <c r="B84" s="28" t="s">
        <v>112</v>
      </c>
      <c r="C84" s="29">
        <f>SUM(C78:C83)</f>
        <v>1697260</v>
      </c>
      <c r="D84" s="29">
        <f>SUM(D78:D83)</f>
        <v>825000</v>
      </c>
      <c r="E84" s="30"/>
      <c r="F84" s="29">
        <f>SUM(F78:F83)</f>
        <v>824183</v>
      </c>
      <c r="G84" s="29">
        <f>SUM(G78:G83)</f>
        <v>0</v>
      </c>
      <c r="H84" s="31"/>
      <c r="I84" s="32"/>
    </row>
  </sheetData>
  <mergeCells count="7">
    <mergeCell ref="A64:I64"/>
    <mergeCell ref="A76:I76"/>
    <mergeCell ref="A1:I1"/>
    <mergeCell ref="A25:I25"/>
    <mergeCell ref="A15:I15"/>
    <mergeCell ref="A39:I39"/>
    <mergeCell ref="A52:I52"/>
  </mergeCells>
  <pageMargins left="1" right="0.25" top="0.25" bottom="0.25" header="0.3" footer="0.3"/>
  <pageSetup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2"/>
  <sheetViews>
    <sheetView zoomScaleNormal="100" workbookViewId="0"/>
  </sheetViews>
  <sheetFormatPr defaultRowHeight="12.75" x14ac:dyDescent="0.2"/>
  <cols>
    <col min="1" max="1" width="15" customWidth="1"/>
    <col min="2" max="2" width="34.5703125" customWidth="1"/>
    <col min="3" max="4" width="17.140625" customWidth="1"/>
    <col min="5" max="5" width="22.140625" customWidth="1"/>
    <col min="6" max="6" width="12.7109375" customWidth="1"/>
    <col min="7" max="7" width="14.42578125" customWidth="1"/>
    <col min="8" max="8" width="15.5703125" customWidth="1"/>
    <col min="9" max="9" width="18.28515625" customWidth="1"/>
  </cols>
  <sheetData>
    <row r="1" spans="1:10" ht="15" x14ac:dyDescent="0.25">
      <c r="C1" s="243" t="s">
        <v>877</v>
      </c>
      <c r="D1" s="243"/>
    </row>
    <row r="2" spans="1:10" ht="45" x14ac:dyDescent="0.2">
      <c r="A2" s="244" t="s">
        <v>97</v>
      </c>
      <c r="B2" s="244" t="s">
        <v>0</v>
      </c>
      <c r="C2" s="245" t="s">
        <v>1</v>
      </c>
      <c r="D2" s="245" t="s">
        <v>98</v>
      </c>
      <c r="E2" s="244" t="s">
        <v>99</v>
      </c>
      <c r="F2" s="245" t="s">
        <v>100</v>
      </c>
      <c r="G2" s="245" t="s">
        <v>101</v>
      </c>
      <c r="H2" s="244" t="s">
        <v>102</v>
      </c>
      <c r="I2" s="245" t="s">
        <v>493</v>
      </c>
    </row>
    <row r="3" spans="1:10" s="408" customFormat="1" ht="25.5" x14ac:dyDescent="0.2">
      <c r="A3" s="399" t="s">
        <v>494</v>
      </c>
      <c r="B3" s="380" t="s">
        <v>768</v>
      </c>
      <c r="C3" s="549">
        <v>96002</v>
      </c>
      <c r="D3" s="550">
        <v>96002.300455058357</v>
      </c>
      <c r="E3" s="407" t="s">
        <v>106</v>
      </c>
      <c r="F3" s="385">
        <v>0</v>
      </c>
      <c r="G3" s="551">
        <v>96002.300455058357</v>
      </c>
      <c r="H3" s="407" t="s">
        <v>339</v>
      </c>
      <c r="I3" s="367">
        <v>43678</v>
      </c>
    </row>
    <row r="4" spans="1:10" s="408" customFormat="1" ht="25.5" x14ac:dyDescent="0.2">
      <c r="A4" s="399" t="s">
        <v>497</v>
      </c>
      <c r="B4" s="370" t="s">
        <v>878</v>
      </c>
      <c r="C4" s="549">
        <v>322000</v>
      </c>
      <c r="D4" s="550">
        <v>304613.42517008499</v>
      </c>
      <c r="E4" s="407" t="s">
        <v>106</v>
      </c>
      <c r="F4" s="385">
        <v>0</v>
      </c>
      <c r="G4" s="551">
        <v>304613.42517008499</v>
      </c>
      <c r="H4" s="407" t="s">
        <v>617</v>
      </c>
      <c r="I4" s="367">
        <v>43800</v>
      </c>
      <c r="J4" s="418"/>
    </row>
    <row r="5" spans="1:10" s="408" customFormat="1" x14ac:dyDescent="0.2">
      <c r="A5" s="552" t="s">
        <v>123</v>
      </c>
      <c r="B5" s="399" t="s">
        <v>879</v>
      </c>
      <c r="C5" s="549">
        <v>995000</v>
      </c>
      <c r="D5" s="550">
        <v>593615.52986717899</v>
      </c>
      <c r="E5" s="407" t="s">
        <v>106</v>
      </c>
      <c r="F5" s="385">
        <v>0</v>
      </c>
      <c r="G5" s="551">
        <v>593615.52986717899</v>
      </c>
      <c r="H5" s="407" t="s">
        <v>617</v>
      </c>
      <c r="I5" s="367">
        <v>43891</v>
      </c>
    </row>
    <row r="6" spans="1:10" s="416" customFormat="1" ht="25.5" x14ac:dyDescent="0.2">
      <c r="A6" s="552" t="s">
        <v>124</v>
      </c>
      <c r="B6" s="553" t="s">
        <v>880</v>
      </c>
      <c r="C6" s="549">
        <v>105815</v>
      </c>
      <c r="D6" s="550">
        <v>105814.54723352937</v>
      </c>
      <c r="E6" s="407" t="s">
        <v>106</v>
      </c>
      <c r="F6" s="385">
        <v>0</v>
      </c>
      <c r="G6" s="551">
        <v>105814.54723352937</v>
      </c>
      <c r="H6" s="407" t="s">
        <v>496</v>
      </c>
      <c r="I6" s="367">
        <v>44012</v>
      </c>
    </row>
    <row r="7" spans="1:10" s="416" customFormat="1" ht="25.5" x14ac:dyDescent="0.2">
      <c r="A7" s="552" t="s">
        <v>126</v>
      </c>
      <c r="B7" s="553" t="s">
        <v>881</v>
      </c>
      <c r="C7" s="549">
        <v>96061</v>
      </c>
      <c r="D7" s="550">
        <v>96061.103105945425</v>
      </c>
      <c r="E7" s="407" t="s">
        <v>106</v>
      </c>
      <c r="F7" s="385">
        <v>0</v>
      </c>
      <c r="G7" s="551">
        <v>96061.103105945425</v>
      </c>
      <c r="H7" s="407" t="s">
        <v>339</v>
      </c>
      <c r="I7" s="367">
        <v>44196</v>
      </c>
    </row>
    <row r="8" spans="1:10" s="408" customFormat="1" x14ac:dyDescent="0.2">
      <c r="A8" s="552" t="s">
        <v>128</v>
      </c>
      <c r="B8" s="553" t="s">
        <v>882</v>
      </c>
      <c r="C8" s="549">
        <v>170000</v>
      </c>
      <c r="D8" s="550">
        <v>96208.268659246591</v>
      </c>
      <c r="E8" s="407" t="s">
        <v>106</v>
      </c>
      <c r="F8" s="385">
        <v>0</v>
      </c>
      <c r="G8" s="551">
        <v>96208.268659246591</v>
      </c>
      <c r="H8" s="407" t="s">
        <v>339</v>
      </c>
      <c r="I8" s="367">
        <v>43769</v>
      </c>
    </row>
    <row r="9" spans="1:10" s="408" customFormat="1" x14ac:dyDescent="0.2">
      <c r="A9" s="552" t="s">
        <v>130</v>
      </c>
      <c r="B9" s="553" t="s">
        <v>883</v>
      </c>
      <c r="C9" s="549">
        <v>105330</v>
      </c>
      <c r="D9" s="550">
        <v>105330.33813762672</v>
      </c>
      <c r="E9" s="407" t="s">
        <v>106</v>
      </c>
      <c r="F9" s="385">
        <v>0</v>
      </c>
      <c r="G9" s="551">
        <v>105330.33813762672</v>
      </c>
      <c r="H9" s="407" t="s">
        <v>339</v>
      </c>
      <c r="I9" s="367">
        <v>44012</v>
      </c>
    </row>
    <row r="10" spans="1:10" s="408" customFormat="1" x14ac:dyDescent="0.2">
      <c r="A10" s="552" t="s">
        <v>132</v>
      </c>
      <c r="B10" s="553" t="s">
        <v>884</v>
      </c>
      <c r="C10" s="549">
        <v>102354</v>
      </c>
      <c r="D10" s="550">
        <v>102354.48737132938</v>
      </c>
      <c r="E10" s="407" t="s">
        <v>106</v>
      </c>
      <c r="F10" s="385">
        <v>0</v>
      </c>
      <c r="G10" s="551">
        <v>102354.48737132938</v>
      </c>
      <c r="H10" s="407" t="s">
        <v>339</v>
      </c>
      <c r="I10" s="367">
        <v>43830</v>
      </c>
    </row>
    <row r="11" spans="1:10" ht="15" x14ac:dyDescent="0.25">
      <c r="A11" s="135"/>
      <c r="B11" s="247" t="s">
        <v>112</v>
      </c>
      <c r="C11" s="375">
        <f>SUM(C3:C10)</f>
        <v>1992562</v>
      </c>
      <c r="D11" s="248">
        <f>SUM(D3:D10)</f>
        <v>1500000</v>
      </c>
      <c r="E11" s="135"/>
      <c r="F11" s="248">
        <f t="shared" ref="F11:G11" si="0">SUM(F3:F10)</f>
        <v>0</v>
      </c>
      <c r="G11" s="375">
        <f t="shared" si="0"/>
        <v>1500000</v>
      </c>
      <c r="H11" s="135"/>
      <c r="I11" s="135"/>
    </row>
    <row r="13" spans="1:10" ht="15" x14ac:dyDescent="0.25">
      <c r="C13" s="243" t="s">
        <v>767</v>
      </c>
      <c r="D13" s="243"/>
    </row>
    <row r="14" spans="1:10" ht="45" x14ac:dyDescent="0.2">
      <c r="A14" s="244" t="s">
        <v>97</v>
      </c>
      <c r="B14" s="244" t="s">
        <v>0</v>
      </c>
      <c r="C14" s="245" t="s">
        <v>1</v>
      </c>
      <c r="D14" s="245" t="s">
        <v>98</v>
      </c>
      <c r="E14" s="244" t="s">
        <v>99</v>
      </c>
      <c r="F14" s="245" t="s">
        <v>100</v>
      </c>
      <c r="G14" s="245" t="s">
        <v>101</v>
      </c>
      <c r="H14" s="244" t="s">
        <v>102</v>
      </c>
      <c r="I14" s="245" t="s">
        <v>493</v>
      </c>
    </row>
    <row r="15" spans="1:10" s="3" customFormat="1" ht="25.5" x14ac:dyDescent="0.2">
      <c r="A15" s="24" t="s">
        <v>494</v>
      </c>
      <c r="B15" s="13" t="s">
        <v>768</v>
      </c>
      <c r="C15" s="417">
        <v>97000</v>
      </c>
      <c r="D15" s="409">
        <v>58024</v>
      </c>
      <c r="E15" s="410" t="s">
        <v>106</v>
      </c>
      <c r="F15" s="21">
        <v>0</v>
      </c>
      <c r="G15" s="554">
        <v>58024</v>
      </c>
      <c r="H15" s="407" t="s">
        <v>339</v>
      </c>
      <c r="I15" s="367">
        <v>43678</v>
      </c>
    </row>
    <row r="16" spans="1:10" s="3" customFormat="1" ht="25.5" x14ac:dyDescent="0.2">
      <c r="A16" s="24" t="s">
        <v>497</v>
      </c>
      <c r="B16" s="204" t="s">
        <v>769</v>
      </c>
      <c r="C16" s="417">
        <v>650000</v>
      </c>
      <c r="D16" s="409">
        <v>191592</v>
      </c>
      <c r="E16" s="410" t="s">
        <v>106</v>
      </c>
      <c r="F16" s="21">
        <v>0</v>
      </c>
      <c r="G16" s="554">
        <v>191592</v>
      </c>
      <c r="H16" s="407" t="s">
        <v>339</v>
      </c>
      <c r="I16" s="367">
        <v>43646</v>
      </c>
      <c r="J16" s="246"/>
    </row>
    <row r="17" spans="1:10" s="3" customFormat="1" x14ac:dyDescent="0.2">
      <c r="A17" s="419" t="s">
        <v>123</v>
      </c>
      <c r="B17" s="24" t="s">
        <v>619</v>
      </c>
      <c r="C17" s="417">
        <v>3376278</v>
      </c>
      <c r="D17" s="376">
        <v>348769</v>
      </c>
      <c r="E17" s="410" t="s">
        <v>106</v>
      </c>
      <c r="F17" s="21">
        <v>348769</v>
      </c>
      <c r="G17" s="376">
        <v>0</v>
      </c>
      <c r="H17" s="407" t="s">
        <v>243</v>
      </c>
      <c r="I17" s="367">
        <v>43196</v>
      </c>
    </row>
    <row r="18" spans="1:10" s="517" customFormat="1" ht="25.5" x14ac:dyDescent="0.2">
      <c r="A18" s="419" t="s">
        <v>124</v>
      </c>
      <c r="B18" s="13" t="s">
        <v>770</v>
      </c>
      <c r="C18" s="417">
        <v>560125</v>
      </c>
      <c r="D18" s="409">
        <v>63793</v>
      </c>
      <c r="E18" s="410" t="s">
        <v>106</v>
      </c>
      <c r="F18" s="385">
        <v>25855</v>
      </c>
      <c r="G18" s="554">
        <v>37938</v>
      </c>
      <c r="H18" s="407" t="s">
        <v>339</v>
      </c>
      <c r="I18" s="367">
        <v>43525</v>
      </c>
    </row>
    <row r="19" spans="1:10" s="517" customFormat="1" ht="25.5" x14ac:dyDescent="0.2">
      <c r="A19" s="419" t="s">
        <v>126</v>
      </c>
      <c r="B19" s="13" t="s">
        <v>771</v>
      </c>
      <c r="C19" s="417">
        <v>222000</v>
      </c>
      <c r="D19" s="376">
        <v>57281</v>
      </c>
      <c r="E19" s="410" t="s">
        <v>106</v>
      </c>
      <c r="F19" s="385">
        <v>51767</v>
      </c>
      <c r="G19" s="411">
        <v>5514</v>
      </c>
      <c r="H19" s="407" t="s">
        <v>369</v>
      </c>
      <c r="I19" s="367">
        <v>43646</v>
      </c>
    </row>
    <row r="20" spans="1:10" s="3" customFormat="1" x14ac:dyDescent="0.2">
      <c r="A20" s="419" t="s">
        <v>128</v>
      </c>
      <c r="B20" s="13" t="s">
        <v>772</v>
      </c>
      <c r="C20" s="417">
        <v>770500</v>
      </c>
      <c r="D20" s="518">
        <v>57581</v>
      </c>
      <c r="E20" s="410" t="s">
        <v>106</v>
      </c>
      <c r="F20" s="21">
        <v>0</v>
      </c>
      <c r="G20" s="518">
        <v>57581</v>
      </c>
      <c r="H20" s="407" t="s">
        <v>339</v>
      </c>
      <c r="I20" s="367">
        <v>43769</v>
      </c>
    </row>
    <row r="21" spans="1:10" s="3" customFormat="1" x14ac:dyDescent="0.2">
      <c r="A21" s="419" t="s">
        <v>130</v>
      </c>
      <c r="B21" s="204" t="s">
        <v>773</v>
      </c>
      <c r="C21" s="417">
        <v>110000</v>
      </c>
      <c r="D21" s="409">
        <v>61397</v>
      </c>
      <c r="E21" s="410" t="s">
        <v>106</v>
      </c>
      <c r="F21" s="21">
        <v>16968</v>
      </c>
      <c r="G21" s="409">
        <v>44429</v>
      </c>
      <c r="H21" s="407" t="s">
        <v>369</v>
      </c>
      <c r="I21" s="367">
        <v>43709</v>
      </c>
    </row>
    <row r="22" spans="1:10" s="3" customFormat="1" x14ac:dyDescent="0.2">
      <c r="A22" s="419" t="s">
        <v>132</v>
      </c>
      <c r="B22" s="13" t="s">
        <v>774</v>
      </c>
      <c r="C22" s="417">
        <v>80220</v>
      </c>
      <c r="D22" s="409">
        <v>61563</v>
      </c>
      <c r="E22" s="410" t="s">
        <v>106</v>
      </c>
      <c r="F22" s="21">
        <v>61563</v>
      </c>
      <c r="G22" s="554">
        <v>0</v>
      </c>
      <c r="H22" s="407" t="s">
        <v>243</v>
      </c>
      <c r="I22" s="367">
        <v>43208</v>
      </c>
    </row>
    <row r="23" spans="1:10" ht="15" x14ac:dyDescent="0.25">
      <c r="A23" s="135"/>
      <c r="B23" s="247" t="s">
        <v>112</v>
      </c>
      <c r="C23" s="375">
        <f>SUM(C15:C22)</f>
        <v>5866123</v>
      </c>
      <c r="D23" s="248">
        <f>SUM(D15:D22)</f>
        <v>900000</v>
      </c>
      <c r="E23" s="135"/>
      <c r="F23" s="248">
        <f t="shared" ref="F23:G23" si="1">SUM(F15:F22)</f>
        <v>504922</v>
      </c>
      <c r="G23" s="375">
        <f t="shared" si="1"/>
        <v>395078</v>
      </c>
      <c r="H23" s="135"/>
      <c r="I23" s="135"/>
    </row>
    <row r="24" spans="1:10" ht="15" x14ac:dyDescent="0.25">
      <c r="C24" s="243"/>
      <c r="D24" s="243"/>
    </row>
    <row r="25" spans="1:10" ht="15" x14ac:dyDescent="0.25">
      <c r="C25" s="243" t="s">
        <v>640</v>
      </c>
      <c r="D25" s="243"/>
    </row>
    <row r="26" spans="1:10" ht="45" x14ac:dyDescent="0.2">
      <c r="A26" s="244" t="s">
        <v>97</v>
      </c>
      <c r="B26" s="244" t="s">
        <v>0</v>
      </c>
      <c r="C26" s="245" t="s">
        <v>1</v>
      </c>
      <c r="D26" s="245" t="s">
        <v>98</v>
      </c>
      <c r="E26" s="244" t="s">
        <v>99</v>
      </c>
      <c r="F26" s="245" t="s">
        <v>100</v>
      </c>
      <c r="G26" s="245" t="s">
        <v>101</v>
      </c>
      <c r="H26" s="244" t="s">
        <v>102</v>
      </c>
      <c r="I26" s="245" t="s">
        <v>493</v>
      </c>
    </row>
    <row r="27" spans="1:10" s="3" customFormat="1" ht="25.5" x14ac:dyDescent="0.2">
      <c r="A27" s="24" t="s">
        <v>494</v>
      </c>
      <c r="B27" s="13" t="s">
        <v>641</v>
      </c>
      <c r="C27" s="417">
        <v>101000</v>
      </c>
      <c r="D27" s="409">
        <v>95966.733266567811</v>
      </c>
      <c r="E27" s="410" t="s">
        <v>106</v>
      </c>
      <c r="F27" s="21">
        <v>0</v>
      </c>
      <c r="G27" s="409">
        <v>95966.733266567811</v>
      </c>
      <c r="H27" s="410" t="s">
        <v>339</v>
      </c>
      <c r="I27" s="25">
        <v>43678</v>
      </c>
    </row>
    <row r="28" spans="1:10" s="3" customFormat="1" ht="25.5" x14ac:dyDescent="0.2">
      <c r="A28" s="24" t="s">
        <v>497</v>
      </c>
      <c r="B28" s="204" t="s">
        <v>618</v>
      </c>
      <c r="C28" s="417">
        <v>16330000</v>
      </c>
      <c r="D28" s="409">
        <v>325245.82927253726</v>
      </c>
      <c r="E28" s="407" t="s">
        <v>106</v>
      </c>
      <c r="F28" s="385">
        <v>0</v>
      </c>
      <c r="G28" s="554">
        <v>325245.82927253726</v>
      </c>
      <c r="H28" s="410" t="s">
        <v>339</v>
      </c>
      <c r="I28" s="25">
        <v>43646</v>
      </c>
      <c r="J28" s="246"/>
    </row>
    <row r="29" spans="1:10" s="3" customFormat="1" x14ac:dyDescent="0.2">
      <c r="A29" s="419" t="s">
        <v>123</v>
      </c>
      <c r="B29" s="24" t="s">
        <v>619</v>
      </c>
      <c r="C29" s="417">
        <v>3619000</v>
      </c>
      <c r="D29" s="376">
        <v>579266.88809214986</v>
      </c>
      <c r="E29" s="410" t="s">
        <v>106</v>
      </c>
      <c r="F29" s="21">
        <v>579267</v>
      </c>
      <c r="G29" s="376">
        <v>0</v>
      </c>
      <c r="H29" s="410" t="s">
        <v>114</v>
      </c>
      <c r="I29" s="25">
        <v>43088</v>
      </c>
    </row>
    <row r="30" spans="1:10" s="517" customFormat="1" ht="25.5" x14ac:dyDescent="0.2">
      <c r="A30" s="419" t="s">
        <v>124</v>
      </c>
      <c r="B30" s="13" t="s">
        <v>770</v>
      </c>
      <c r="C30" s="417">
        <v>560125</v>
      </c>
      <c r="D30" s="409">
        <v>105671.64230992709</v>
      </c>
      <c r="E30" s="410" t="s">
        <v>106</v>
      </c>
      <c r="F30" s="385">
        <v>105672</v>
      </c>
      <c r="G30" s="554">
        <v>0</v>
      </c>
      <c r="H30" s="407" t="s">
        <v>114</v>
      </c>
      <c r="I30" s="367">
        <v>43474</v>
      </c>
    </row>
    <row r="31" spans="1:10" s="517" customFormat="1" ht="25.5" x14ac:dyDescent="0.2">
      <c r="A31" s="419" t="s">
        <v>126</v>
      </c>
      <c r="B31" s="13" t="s">
        <v>642</v>
      </c>
      <c r="C31" s="417">
        <v>222000</v>
      </c>
      <c r="D31" s="376">
        <v>93901.381814528024</v>
      </c>
      <c r="E31" s="410" t="s">
        <v>106</v>
      </c>
      <c r="F31" s="21">
        <v>93901</v>
      </c>
      <c r="G31" s="376">
        <v>0</v>
      </c>
      <c r="H31" s="410" t="s">
        <v>114</v>
      </c>
      <c r="I31" s="25">
        <v>43297</v>
      </c>
    </row>
    <row r="32" spans="1:10" s="3" customFormat="1" x14ac:dyDescent="0.2">
      <c r="A32" s="419" t="s">
        <v>128</v>
      </c>
      <c r="B32" s="13" t="s">
        <v>643</v>
      </c>
      <c r="C32" s="417">
        <v>192500</v>
      </c>
      <c r="D32" s="518">
        <v>94005.089753362307</v>
      </c>
      <c r="E32" s="410" t="s">
        <v>106</v>
      </c>
      <c r="F32" s="21">
        <v>94005</v>
      </c>
      <c r="G32" s="518">
        <v>0</v>
      </c>
      <c r="H32" s="410" t="s">
        <v>114</v>
      </c>
      <c r="I32" s="25">
        <v>43038</v>
      </c>
    </row>
    <row r="33" spans="1:10" s="3" customFormat="1" x14ac:dyDescent="0.2">
      <c r="A33" s="419" t="s">
        <v>130</v>
      </c>
      <c r="B33" s="24" t="s">
        <v>622</v>
      </c>
      <c r="C33" s="417">
        <v>104244</v>
      </c>
      <c r="D33" s="409">
        <v>104243.69469948023</v>
      </c>
      <c r="E33" s="410" t="s">
        <v>106</v>
      </c>
      <c r="F33" s="21">
        <v>101711</v>
      </c>
      <c r="G33" s="409">
        <v>2533</v>
      </c>
      <c r="H33" s="410" t="s">
        <v>369</v>
      </c>
      <c r="I33" s="25">
        <v>43646</v>
      </c>
    </row>
    <row r="34" spans="1:10" s="3" customFormat="1" ht="25.5" x14ac:dyDescent="0.2">
      <c r="A34" s="419" t="s">
        <v>132</v>
      </c>
      <c r="B34" s="13" t="s">
        <v>644</v>
      </c>
      <c r="C34" s="417">
        <v>104800</v>
      </c>
      <c r="D34" s="409">
        <v>101698.74079144749</v>
      </c>
      <c r="E34" s="410" t="s">
        <v>106</v>
      </c>
      <c r="F34" s="21">
        <v>101699</v>
      </c>
      <c r="G34" s="409">
        <v>0</v>
      </c>
      <c r="H34" s="410" t="s">
        <v>114</v>
      </c>
      <c r="I34" s="25">
        <v>43116</v>
      </c>
    </row>
    <row r="35" spans="1:10" ht="15" x14ac:dyDescent="0.25">
      <c r="A35" s="135"/>
      <c r="B35" s="247" t="s">
        <v>112</v>
      </c>
      <c r="C35" s="375">
        <f>SUM(C27:C34)</f>
        <v>21233669</v>
      </c>
      <c r="D35" s="248">
        <f>SUM(D27:D34)</f>
        <v>1500000</v>
      </c>
      <c r="E35" s="135"/>
      <c r="F35" s="248">
        <f t="shared" ref="F35:G35" si="2">SUM(F27:F34)</f>
        <v>1076255</v>
      </c>
      <c r="G35" s="375">
        <f t="shared" si="2"/>
        <v>423745.56253910507</v>
      </c>
      <c r="H35" s="135"/>
      <c r="I35" s="135"/>
    </row>
    <row r="36" spans="1:10" ht="15" x14ac:dyDescent="0.25">
      <c r="A36" s="436" t="s">
        <v>645</v>
      </c>
      <c r="B36" s="413"/>
      <c r="C36" s="414"/>
      <c r="D36" s="415"/>
      <c r="E36" s="416"/>
      <c r="F36" s="415"/>
      <c r="G36" s="414"/>
      <c r="H36" s="416"/>
      <c r="I36" s="416"/>
    </row>
    <row r="37" spans="1:10" ht="15" x14ac:dyDescent="0.25">
      <c r="A37" s="504"/>
      <c r="B37" s="413"/>
      <c r="C37" s="414"/>
      <c r="D37" s="415"/>
      <c r="E37" s="416"/>
      <c r="F37" s="415"/>
      <c r="G37" s="414"/>
      <c r="H37" s="416"/>
      <c r="I37" s="416"/>
    </row>
    <row r="38" spans="1:10" ht="15" x14ac:dyDescent="0.25">
      <c r="C38" s="243" t="s">
        <v>615</v>
      </c>
      <c r="D38" s="243"/>
    </row>
    <row r="39" spans="1:10" ht="45" x14ac:dyDescent="0.2">
      <c r="A39" s="244" t="s">
        <v>97</v>
      </c>
      <c r="B39" s="244" t="s">
        <v>0</v>
      </c>
      <c r="C39" s="245" t="s">
        <v>1</v>
      </c>
      <c r="D39" s="245" t="s">
        <v>98</v>
      </c>
      <c r="E39" s="244" t="s">
        <v>99</v>
      </c>
      <c r="F39" s="245" t="s">
        <v>100</v>
      </c>
      <c r="G39" s="245" t="s">
        <v>101</v>
      </c>
      <c r="H39" s="244" t="s">
        <v>102</v>
      </c>
      <c r="I39" s="245" t="s">
        <v>493</v>
      </c>
    </row>
    <row r="40" spans="1:10" s="3" customFormat="1" ht="25.5" x14ac:dyDescent="0.2">
      <c r="A40" s="24" t="s">
        <v>494</v>
      </c>
      <c r="B40" s="204" t="s">
        <v>616</v>
      </c>
      <c r="C40" s="417">
        <v>288000</v>
      </c>
      <c r="D40" s="409">
        <v>96034.24054943808</v>
      </c>
      <c r="E40" s="410" t="s">
        <v>106</v>
      </c>
      <c r="F40" s="21">
        <v>82882</v>
      </c>
      <c r="G40" s="409">
        <v>13152</v>
      </c>
      <c r="H40" s="410" t="s">
        <v>369</v>
      </c>
      <c r="I40" s="367">
        <v>43556</v>
      </c>
    </row>
    <row r="41" spans="1:10" s="3" customFormat="1" ht="25.5" x14ac:dyDescent="0.2">
      <c r="A41" s="24" t="s">
        <v>497</v>
      </c>
      <c r="B41" s="204" t="s">
        <v>618</v>
      </c>
      <c r="C41" s="417">
        <v>8018250</v>
      </c>
      <c r="D41" s="409">
        <v>319397.98441273591</v>
      </c>
      <c r="E41" s="410" t="s">
        <v>106</v>
      </c>
      <c r="F41" s="21">
        <v>319398</v>
      </c>
      <c r="G41" s="409">
        <v>0</v>
      </c>
      <c r="H41" s="410" t="s">
        <v>114</v>
      </c>
      <c r="I41" s="25">
        <v>43465</v>
      </c>
    </row>
    <row r="42" spans="1:10" s="3" customFormat="1" x14ac:dyDescent="0.2">
      <c r="A42" s="419" t="s">
        <v>123</v>
      </c>
      <c r="B42" s="24" t="s">
        <v>619</v>
      </c>
      <c r="C42" s="417">
        <v>3619000</v>
      </c>
      <c r="D42" s="376">
        <v>585229.51871403877</v>
      </c>
      <c r="E42" s="410" t="s">
        <v>106</v>
      </c>
      <c r="F42" s="21">
        <v>585230</v>
      </c>
      <c r="G42" s="376">
        <v>0</v>
      </c>
      <c r="H42" s="410" t="s">
        <v>114</v>
      </c>
      <c r="I42" s="25">
        <v>43088</v>
      </c>
    </row>
    <row r="43" spans="1:10" s="3" customFormat="1" ht="25.5" x14ac:dyDescent="0.2">
      <c r="A43" s="419" t="s">
        <v>124</v>
      </c>
      <c r="B43" s="13" t="s">
        <v>775</v>
      </c>
      <c r="C43" s="417">
        <v>560125</v>
      </c>
      <c r="D43" s="409">
        <v>105683.790369853</v>
      </c>
      <c r="E43" s="407" t="s">
        <v>106</v>
      </c>
      <c r="F43" s="385">
        <v>105684</v>
      </c>
      <c r="G43" s="554">
        <v>0</v>
      </c>
      <c r="H43" s="407" t="s">
        <v>114</v>
      </c>
      <c r="I43" s="367">
        <v>43474</v>
      </c>
    </row>
    <row r="44" spans="1:10" s="3" customFormat="1" ht="57" customHeight="1" x14ac:dyDescent="0.2">
      <c r="A44" s="419" t="s">
        <v>126</v>
      </c>
      <c r="B44" s="24" t="s">
        <v>620</v>
      </c>
      <c r="C44" s="417">
        <v>100000</v>
      </c>
      <c r="D44" s="376">
        <v>94844.551220924899</v>
      </c>
      <c r="E44" s="410" t="s">
        <v>106</v>
      </c>
      <c r="F44" s="21">
        <v>94845</v>
      </c>
      <c r="G44" s="376">
        <v>0</v>
      </c>
      <c r="H44" s="410" t="s">
        <v>114</v>
      </c>
      <c r="I44" s="25">
        <v>43297</v>
      </c>
      <c r="J44" s="246"/>
    </row>
    <row r="45" spans="1:10" s="3" customFormat="1" ht="25.5" x14ac:dyDescent="0.2">
      <c r="A45" s="419" t="s">
        <v>128</v>
      </c>
      <c r="B45" s="24" t="s">
        <v>621</v>
      </c>
      <c r="C45" s="417">
        <v>46000</v>
      </c>
      <c r="D45" s="518">
        <v>94881.916953270527</v>
      </c>
      <c r="E45" s="410" t="s">
        <v>106</v>
      </c>
      <c r="F45" s="21">
        <v>94882</v>
      </c>
      <c r="G45" s="518">
        <v>0</v>
      </c>
      <c r="H45" s="410" t="s">
        <v>114</v>
      </c>
      <c r="I45" s="25">
        <v>42905</v>
      </c>
    </row>
    <row r="46" spans="1:10" s="3" customFormat="1" x14ac:dyDescent="0.2">
      <c r="A46" s="419" t="s">
        <v>130</v>
      </c>
      <c r="B46" s="24" t="s">
        <v>622</v>
      </c>
      <c r="C46" s="417">
        <v>120000</v>
      </c>
      <c r="D46" s="409">
        <v>102731.84359065405</v>
      </c>
      <c r="E46" s="410" t="s">
        <v>106</v>
      </c>
      <c r="F46" s="21">
        <v>102732</v>
      </c>
      <c r="G46" s="409">
        <v>0</v>
      </c>
      <c r="H46" s="410" t="s">
        <v>114</v>
      </c>
      <c r="I46" s="25">
        <v>42690</v>
      </c>
    </row>
    <row r="47" spans="1:10" s="3" customFormat="1" ht="25.5" x14ac:dyDescent="0.2">
      <c r="A47" s="419" t="s">
        <v>132</v>
      </c>
      <c r="B47" s="24" t="s">
        <v>623</v>
      </c>
      <c r="C47" s="417">
        <v>119720</v>
      </c>
      <c r="D47" s="409">
        <v>101196.15418908508</v>
      </c>
      <c r="E47" s="410" t="s">
        <v>106</v>
      </c>
      <c r="F47" s="21">
        <v>101196</v>
      </c>
      <c r="G47" s="409">
        <v>0</v>
      </c>
      <c r="H47" s="410" t="s">
        <v>114</v>
      </c>
      <c r="I47" s="25">
        <v>43311</v>
      </c>
    </row>
    <row r="48" spans="1:10" s="408" customFormat="1" ht="15" x14ac:dyDescent="0.25">
      <c r="A48" s="135"/>
      <c r="B48" s="247" t="s">
        <v>112</v>
      </c>
      <c r="C48" s="375">
        <f>SUM(C40:C47)</f>
        <v>12871095</v>
      </c>
      <c r="D48" s="248">
        <f>SUM(D40:D47)</f>
        <v>1500000.0000000002</v>
      </c>
      <c r="E48" s="135"/>
      <c r="F48" s="248">
        <f t="shared" ref="F48" si="3">SUM(F40:F47)</f>
        <v>1486849</v>
      </c>
      <c r="G48" s="375">
        <f>SUM(G40:G47)</f>
        <v>13152</v>
      </c>
      <c r="H48" s="135"/>
      <c r="I48" s="135"/>
    </row>
    <row r="49" spans="1:10" ht="15" x14ac:dyDescent="0.25">
      <c r="C49" s="243"/>
      <c r="D49" s="243"/>
    </row>
    <row r="50" spans="1:10" ht="15" x14ac:dyDescent="0.25">
      <c r="C50" s="243" t="s">
        <v>492</v>
      </c>
      <c r="D50" s="243"/>
    </row>
    <row r="51" spans="1:10" ht="45" x14ac:dyDescent="0.2">
      <c r="A51" s="244" t="s">
        <v>97</v>
      </c>
      <c r="B51" s="244" t="s">
        <v>0</v>
      </c>
      <c r="C51" s="245" t="s">
        <v>1</v>
      </c>
      <c r="D51" s="245" t="s">
        <v>98</v>
      </c>
      <c r="E51" s="244" t="s">
        <v>99</v>
      </c>
      <c r="F51" s="245" t="s">
        <v>100</v>
      </c>
      <c r="G51" s="245" t="s">
        <v>101</v>
      </c>
      <c r="H51" s="244" t="s">
        <v>102</v>
      </c>
      <c r="I51" s="245" t="s">
        <v>493</v>
      </c>
    </row>
    <row r="52" spans="1:10" s="3" customFormat="1" ht="25.5" x14ac:dyDescent="0.2">
      <c r="A52" s="425" t="s">
        <v>494</v>
      </c>
      <c r="B52" s="425" t="s">
        <v>495</v>
      </c>
      <c r="C52" s="21">
        <v>240000</v>
      </c>
      <c r="D52" s="33">
        <v>96692</v>
      </c>
      <c r="E52" s="423" t="s">
        <v>106</v>
      </c>
      <c r="F52" s="424">
        <v>96692</v>
      </c>
      <c r="G52" s="21">
        <v>0</v>
      </c>
      <c r="H52" s="410" t="s">
        <v>114</v>
      </c>
      <c r="I52" s="226">
        <v>42943</v>
      </c>
    </row>
    <row r="53" spans="1:10" s="3" customFormat="1" ht="25.5" x14ac:dyDescent="0.2">
      <c r="A53" s="425" t="s">
        <v>497</v>
      </c>
      <c r="B53" s="425" t="s">
        <v>122</v>
      </c>
      <c r="C53" s="21">
        <v>10387000</v>
      </c>
      <c r="D53" s="33">
        <v>317297</v>
      </c>
      <c r="E53" s="423" t="s">
        <v>106</v>
      </c>
      <c r="F53" s="424">
        <v>317297</v>
      </c>
      <c r="G53" s="21">
        <v>0</v>
      </c>
      <c r="H53" s="423" t="s">
        <v>114</v>
      </c>
      <c r="I53" s="226">
        <v>42293</v>
      </c>
    </row>
    <row r="54" spans="1:10" s="3" customFormat="1" ht="25.5" x14ac:dyDescent="0.2">
      <c r="A54" s="422" t="s">
        <v>123</v>
      </c>
      <c r="B54" s="425" t="s">
        <v>498</v>
      </c>
      <c r="C54" s="21">
        <v>1533500</v>
      </c>
      <c r="D54" s="33">
        <v>583354</v>
      </c>
      <c r="E54" s="423" t="s">
        <v>106</v>
      </c>
      <c r="F54" s="424">
        <v>583354</v>
      </c>
      <c r="G54" s="21">
        <v>0</v>
      </c>
      <c r="H54" s="423" t="s">
        <v>114</v>
      </c>
      <c r="I54" s="226">
        <v>42212</v>
      </c>
    </row>
    <row r="55" spans="1:10" s="3" customFormat="1" ht="25.5" x14ac:dyDescent="0.2">
      <c r="A55" s="422" t="s">
        <v>124</v>
      </c>
      <c r="B55" s="24" t="s">
        <v>776</v>
      </c>
      <c r="C55" s="21">
        <v>1277920</v>
      </c>
      <c r="D55" s="33">
        <v>105886</v>
      </c>
      <c r="E55" s="423" t="s">
        <v>106</v>
      </c>
      <c r="F55" s="421">
        <v>105866</v>
      </c>
      <c r="G55" s="385">
        <v>0</v>
      </c>
      <c r="H55" s="407" t="s">
        <v>114</v>
      </c>
      <c r="I55" s="402">
        <v>43474</v>
      </c>
    </row>
    <row r="56" spans="1:10" s="3" customFormat="1" x14ac:dyDescent="0.2">
      <c r="A56" s="422" t="s">
        <v>126</v>
      </c>
      <c r="B56" s="425" t="s">
        <v>499</v>
      </c>
      <c r="C56" s="21">
        <v>130000</v>
      </c>
      <c r="D56" s="33">
        <v>95854</v>
      </c>
      <c r="E56" s="423" t="s">
        <v>106</v>
      </c>
      <c r="F56" s="424">
        <v>95854</v>
      </c>
      <c r="G56" s="21">
        <v>0</v>
      </c>
      <c r="H56" s="423" t="s">
        <v>114</v>
      </c>
      <c r="I56" s="226">
        <v>43297</v>
      </c>
    </row>
    <row r="57" spans="1:10" s="3" customFormat="1" ht="38.25" x14ac:dyDescent="0.2">
      <c r="A57" s="422" t="s">
        <v>128</v>
      </c>
      <c r="B57" s="425" t="s">
        <v>500</v>
      </c>
      <c r="C57" s="21">
        <v>121000</v>
      </c>
      <c r="D57" s="33">
        <v>96001</v>
      </c>
      <c r="E57" s="423" t="s">
        <v>106</v>
      </c>
      <c r="F57" s="424">
        <v>96001</v>
      </c>
      <c r="G57" s="21">
        <v>0</v>
      </c>
      <c r="H57" s="410" t="s">
        <v>114</v>
      </c>
      <c r="I57" s="226">
        <v>42905</v>
      </c>
    </row>
    <row r="58" spans="1:10" s="3" customFormat="1" ht="57" customHeight="1" x14ac:dyDescent="0.2">
      <c r="A58" s="422" t="s">
        <v>130</v>
      </c>
      <c r="B58" s="24" t="s">
        <v>501</v>
      </c>
      <c r="C58" s="21">
        <v>103884</v>
      </c>
      <c r="D58" s="21">
        <v>103884</v>
      </c>
      <c r="E58" s="423" t="s">
        <v>106</v>
      </c>
      <c r="F58" s="424">
        <v>103884</v>
      </c>
      <c r="G58" s="21">
        <v>0</v>
      </c>
      <c r="H58" s="410" t="s">
        <v>114</v>
      </c>
      <c r="I58" s="226">
        <v>42660</v>
      </c>
      <c r="J58" s="246"/>
    </row>
    <row r="59" spans="1:10" s="3" customFormat="1" ht="38.25" x14ac:dyDescent="0.2">
      <c r="A59" s="422" t="s">
        <v>132</v>
      </c>
      <c r="B59" s="425" t="s">
        <v>502</v>
      </c>
      <c r="C59" s="21">
        <v>107375</v>
      </c>
      <c r="D59" s="33">
        <v>101032</v>
      </c>
      <c r="E59" s="423" t="s">
        <v>106</v>
      </c>
      <c r="F59" s="424">
        <v>101032</v>
      </c>
      <c r="G59" s="21">
        <v>0</v>
      </c>
      <c r="H59" s="410" t="s">
        <v>114</v>
      </c>
      <c r="I59" s="226">
        <v>42727</v>
      </c>
    </row>
    <row r="60" spans="1:10" s="408" customFormat="1" ht="15" x14ac:dyDescent="0.25">
      <c r="A60" s="135"/>
      <c r="B60" s="247" t="s">
        <v>112</v>
      </c>
      <c r="C60" s="375">
        <f>SUM(C52:C59)</f>
        <v>13900679</v>
      </c>
      <c r="D60" s="248">
        <f>SUM(D52:D59)</f>
        <v>1500000</v>
      </c>
      <c r="E60" s="135"/>
      <c r="F60" s="248">
        <f>SUM(F52:F59)</f>
        <v>1499980</v>
      </c>
      <c r="G60" s="375">
        <f t="shared" ref="G60" si="4">SUM(G52:G59)</f>
        <v>0</v>
      </c>
      <c r="H60" s="135"/>
      <c r="I60" s="135"/>
    </row>
    <row r="61" spans="1:10" s="408" customFormat="1" x14ac:dyDescent="0.2"/>
    <row r="62" spans="1:10" s="408" customFormat="1" x14ac:dyDescent="0.2"/>
    <row r="64" spans="1:10" ht="15" x14ac:dyDescent="0.25">
      <c r="C64" s="243" t="s">
        <v>364</v>
      </c>
      <c r="D64" s="243"/>
    </row>
    <row r="65" spans="1:10" ht="45" x14ac:dyDescent="0.2">
      <c r="A65" s="244" t="s">
        <v>97</v>
      </c>
      <c r="B65" s="244" t="s">
        <v>0</v>
      </c>
      <c r="C65" s="245" t="s">
        <v>1</v>
      </c>
      <c r="D65" s="245" t="s">
        <v>98</v>
      </c>
      <c r="E65" s="244" t="s">
        <v>99</v>
      </c>
      <c r="F65" s="245" t="s">
        <v>100</v>
      </c>
      <c r="G65" s="245" t="s">
        <v>101</v>
      </c>
      <c r="H65" s="244" t="s">
        <v>102</v>
      </c>
      <c r="I65" s="245" t="s">
        <v>493</v>
      </c>
    </row>
    <row r="66" spans="1:10" s="408" customFormat="1" ht="25.5" x14ac:dyDescent="0.2">
      <c r="A66" s="519" t="s">
        <v>494</v>
      </c>
      <c r="B66" s="427" t="s">
        <v>105</v>
      </c>
      <c r="C66" s="385">
        <v>480000</v>
      </c>
      <c r="D66" s="386">
        <v>96594</v>
      </c>
      <c r="E66" s="420" t="s">
        <v>106</v>
      </c>
      <c r="F66" s="385">
        <v>96594</v>
      </c>
      <c r="G66" s="421">
        <v>0</v>
      </c>
      <c r="H66" s="407" t="s">
        <v>114</v>
      </c>
      <c r="I66" s="402">
        <v>42886</v>
      </c>
    </row>
    <row r="67" spans="1:10" s="408" customFormat="1" ht="25.5" x14ac:dyDescent="0.2">
      <c r="A67" s="519" t="s">
        <v>497</v>
      </c>
      <c r="B67" s="427" t="s">
        <v>365</v>
      </c>
      <c r="C67" s="385">
        <v>330000</v>
      </c>
      <c r="D67" s="386">
        <v>311190</v>
      </c>
      <c r="E67" s="420" t="s">
        <v>106</v>
      </c>
      <c r="F67" s="385">
        <v>311190</v>
      </c>
      <c r="G67" s="428">
        <v>0</v>
      </c>
      <c r="H67" s="420" t="s">
        <v>114</v>
      </c>
      <c r="I67" s="402">
        <v>41898</v>
      </c>
    </row>
    <row r="68" spans="1:10" s="408" customFormat="1" x14ac:dyDescent="0.2">
      <c r="A68" s="426" t="s">
        <v>123</v>
      </c>
      <c r="B68" s="427" t="s">
        <v>503</v>
      </c>
      <c r="C68" s="385">
        <v>4500000</v>
      </c>
      <c r="D68" s="386">
        <v>579215</v>
      </c>
      <c r="E68" s="420" t="s">
        <v>106</v>
      </c>
      <c r="F68" s="385">
        <v>579214</v>
      </c>
      <c r="G68" s="428">
        <v>0</v>
      </c>
      <c r="H68" s="420" t="s">
        <v>114</v>
      </c>
      <c r="I68" s="402">
        <v>42100</v>
      </c>
    </row>
    <row r="69" spans="1:10" s="408" customFormat="1" x14ac:dyDescent="0.2">
      <c r="A69" s="426" t="s">
        <v>124</v>
      </c>
      <c r="B69" s="427" t="s">
        <v>125</v>
      </c>
      <c r="C69" s="385">
        <v>1277920</v>
      </c>
      <c r="D69" s="386">
        <v>108456</v>
      </c>
      <c r="E69" s="420" t="s">
        <v>106</v>
      </c>
      <c r="F69" s="385">
        <v>108456</v>
      </c>
      <c r="G69" s="428">
        <v>0</v>
      </c>
      <c r="H69" s="407" t="s">
        <v>114</v>
      </c>
      <c r="I69" s="402">
        <v>42767</v>
      </c>
    </row>
    <row r="70" spans="1:10" s="408" customFormat="1" ht="38.25" x14ac:dyDescent="0.2">
      <c r="A70" s="426" t="s">
        <v>126</v>
      </c>
      <c r="B70" s="427" t="s">
        <v>366</v>
      </c>
      <c r="C70" s="385">
        <f>150000</f>
        <v>150000</v>
      </c>
      <c r="D70" s="386">
        <v>98159</v>
      </c>
      <c r="E70" s="420" t="s">
        <v>106</v>
      </c>
      <c r="F70" s="385">
        <v>98159</v>
      </c>
      <c r="G70" s="428">
        <v>0</v>
      </c>
      <c r="H70" s="407" t="s">
        <v>114</v>
      </c>
      <c r="I70" s="402">
        <v>42929</v>
      </c>
    </row>
    <row r="71" spans="1:10" s="408" customFormat="1" ht="51" x14ac:dyDescent="0.2">
      <c r="A71" s="426" t="s">
        <v>128</v>
      </c>
      <c r="B71" s="427" t="s">
        <v>367</v>
      </c>
      <c r="C71" s="385">
        <f>69356+24884+4904</f>
        <v>99144</v>
      </c>
      <c r="D71" s="386">
        <v>98450</v>
      </c>
      <c r="E71" s="420" t="s">
        <v>106</v>
      </c>
      <c r="F71" s="385">
        <v>98450</v>
      </c>
      <c r="G71" s="428">
        <v>0</v>
      </c>
      <c r="H71" s="407" t="s">
        <v>114</v>
      </c>
      <c r="I71" s="402">
        <v>42873</v>
      </c>
    </row>
    <row r="72" spans="1:10" s="408" customFormat="1" ht="57" customHeight="1" x14ac:dyDescent="0.2">
      <c r="A72" s="426" t="s">
        <v>130</v>
      </c>
      <c r="B72" s="427" t="s">
        <v>368</v>
      </c>
      <c r="C72" s="385">
        <v>120000</v>
      </c>
      <c r="D72" s="385">
        <v>105151</v>
      </c>
      <c r="E72" s="420" t="s">
        <v>106</v>
      </c>
      <c r="F72" s="385">
        <v>105151</v>
      </c>
      <c r="G72" s="428">
        <v>0</v>
      </c>
      <c r="H72" s="407" t="s">
        <v>114</v>
      </c>
      <c r="I72" s="367">
        <v>42779</v>
      </c>
      <c r="J72" s="418"/>
    </row>
    <row r="73" spans="1:10" s="408" customFormat="1" x14ac:dyDescent="0.2">
      <c r="A73" s="426" t="s">
        <v>132</v>
      </c>
      <c r="B73" s="427" t="s">
        <v>131</v>
      </c>
      <c r="C73" s="385">
        <f>39300+66700</f>
        <v>106000</v>
      </c>
      <c r="D73" s="386">
        <v>102785</v>
      </c>
      <c r="E73" s="420" t="s">
        <v>106</v>
      </c>
      <c r="F73" s="385">
        <v>102785</v>
      </c>
      <c r="G73" s="428">
        <v>0</v>
      </c>
      <c r="H73" s="407" t="s">
        <v>114</v>
      </c>
      <c r="I73" s="402">
        <v>42696</v>
      </c>
    </row>
    <row r="74" spans="1:10" ht="15" x14ac:dyDescent="0.25">
      <c r="A74" s="135"/>
      <c r="B74" s="247" t="s">
        <v>112</v>
      </c>
      <c r="C74" s="249">
        <f>SUM(C66:C73)</f>
        <v>7063064</v>
      </c>
      <c r="D74" s="248">
        <f>SUM(D66:D73)</f>
        <v>1500000</v>
      </c>
      <c r="E74" s="135"/>
      <c r="F74" s="249">
        <f t="shared" ref="F74:G74" si="5">SUM(F66:F73)</f>
        <v>1499999</v>
      </c>
      <c r="G74" s="375">
        <f t="shared" si="5"/>
        <v>0</v>
      </c>
      <c r="H74" s="135"/>
      <c r="I74" s="135"/>
    </row>
    <row r="75" spans="1:10" s="416" customFormat="1" ht="15" x14ac:dyDescent="0.25">
      <c r="B75" s="413"/>
      <c r="C75" s="429"/>
      <c r="D75" s="430"/>
      <c r="F75" s="429"/>
      <c r="G75" s="431"/>
    </row>
    <row r="76" spans="1:10" s="412" customFormat="1" ht="15" x14ac:dyDescent="0.25">
      <c r="B76" s="432"/>
      <c r="C76" s="433"/>
      <c r="D76" s="434"/>
      <c r="F76" s="433"/>
      <c r="G76" s="435"/>
    </row>
    <row r="78" spans="1:10" ht="15" x14ac:dyDescent="0.25">
      <c r="C78" s="243" t="s">
        <v>120</v>
      </c>
      <c r="D78" s="243"/>
    </row>
    <row r="79" spans="1:10" ht="45" x14ac:dyDescent="0.2">
      <c r="A79" s="244" t="s">
        <v>97</v>
      </c>
      <c r="B79" s="244" t="s">
        <v>0</v>
      </c>
      <c r="C79" s="245" t="s">
        <v>1</v>
      </c>
      <c r="D79" s="245" t="s">
        <v>98</v>
      </c>
      <c r="E79" s="244" t="s">
        <v>99</v>
      </c>
      <c r="F79" s="245" t="s">
        <v>100</v>
      </c>
      <c r="G79" s="245" t="s">
        <v>101</v>
      </c>
      <c r="H79" s="244" t="s">
        <v>102</v>
      </c>
      <c r="I79" s="245" t="s">
        <v>493</v>
      </c>
    </row>
    <row r="80" spans="1:10" s="408" customFormat="1" ht="25.5" x14ac:dyDescent="0.2">
      <c r="A80" s="519" t="s">
        <v>494</v>
      </c>
      <c r="B80" s="380" t="s">
        <v>121</v>
      </c>
      <c r="C80" s="411">
        <v>450000</v>
      </c>
      <c r="D80" s="520">
        <v>94903</v>
      </c>
      <c r="E80" s="420" t="s">
        <v>106</v>
      </c>
      <c r="F80" s="520">
        <v>94903</v>
      </c>
      <c r="G80" s="428">
        <f>SUM(D80-F80)</f>
        <v>0</v>
      </c>
      <c r="H80" s="420" t="s">
        <v>114</v>
      </c>
      <c r="I80" s="402">
        <v>41939</v>
      </c>
    </row>
    <row r="81" spans="1:9" s="408" customFormat="1" ht="25.5" x14ac:dyDescent="0.2">
      <c r="A81" s="519" t="s">
        <v>497</v>
      </c>
      <c r="B81" s="380" t="s">
        <v>122</v>
      </c>
      <c r="C81" s="381">
        <v>3430000</v>
      </c>
      <c r="D81" s="381">
        <v>325782</v>
      </c>
      <c r="E81" s="420" t="s">
        <v>106</v>
      </c>
      <c r="F81" s="381">
        <v>325782</v>
      </c>
      <c r="G81" s="428">
        <f>SUM(D81-F81)</f>
        <v>0</v>
      </c>
      <c r="H81" s="420" t="s">
        <v>114</v>
      </c>
      <c r="I81" s="402">
        <v>41898</v>
      </c>
    </row>
    <row r="82" spans="1:9" s="408" customFormat="1" x14ac:dyDescent="0.2">
      <c r="A82" s="426" t="s">
        <v>123</v>
      </c>
      <c r="B82" s="521" t="s">
        <v>504</v>
      </c>
      <c r="C82" s="381">
        <v>5200000</v>
      </c>
      <c r="D82" s="381">
        <v>568101</v>
      </c>
      <c r="E82" s="420" t="s">
        <v>106</v>
      </c>
      <c r="F82" s="381">
        <v>568101</v>
      </c>
      <c r="G82" s="428">
        <v>0</v>
      </c>
      <c r="H82" s="420" t="s">
        <v>114</v>
      </c>
      <c r="I82" s="402">
        <v>41228</v>
      </c>
    </row>
    <row r="83" spans="1:9" s="408" customFormat="1" x14ac:dyDescent="0.2">
      <c r="A83" s="426" t="s">
        <v>124</v>
      </c>
      <c r="B83" s="380" t="s">
        <v>125</v>
      </c>
      <c r="C83" s="381">
        <v>1351480</v>
      </c>
      <c r="D83" s="373">
        <v>107598</v>
      </c>
      <c r="E83" s="420" t="s">
        <v>106</v>
      </c>
      <c r="F83" s="373">
        <v>107598</v>
      </c>
      <c r="G83" s="428">
        <f t="shared" ref="G83:G84" si="6">SUM(D83-F83)</f>
        <v>0</v>
      </c>
      <c r="H83" s="407" t="s">
        <v>114</v>
      </c>
      <c r="I83" s="402">
        <v>42767</v>
      </c>
    </row>
    <row r="84" spans="1:9" s="408" customFormat="1" ht="25.5" x14ac:dyDescent="0.2">
      <c r="A84" s="426" t="s">
        <v>126</v>
      </c>
      <c r="B84" s="380" t="s">
        <v>127</v>
      </c>
      <c r="C84" s="381">
        <v>100000</v>
      </c>
      <c r="D84" s="373">
        <v>97119</v>
      </c>
      <c r="E84" s="420" t="s">
        <v>106</v>
      </c>
      <c r="F84" s="373">
        <v>97119</v>
      </c>
      <c r="G84" s="428">
        <f t="shared" si="6"/>
        <v>0</v>
      </c>
      <c r="H84" s="420" t="s">
        <v>114</v>
      </c>
      <c r="I84" s="402">
        <v>42185</v>
      </c>
    </row>
    <row r="85" spans="1:9" s="408" customFormat="1" x14ac:dyDescent="0.2">
      <c r="A85" s="426" t="s">
        <v>128</v>
      </c>
      <c r="B85" s="380" t="s">
        <v>129</v>
      </c>
      <c r="C85" s="373">
        <v>722170</v>
      </c>
      <c r="D85" s="373">
        <v>99415</v>
      </c>
      <c r="E85" s="420" t="s">
        <v>106</v>
      </c>
      <c r="F85" s="373">
        <v>99415</v>
      </c>
      <c r="G85" s="428">
        <v>0</v>
      </c>
      <c r="H85" s="420" t="s">
        <v>114</v>
      </c>
      <c r="I85" s="402">
        <v>41110</v>
      </c>
    </row>
    <row r="86" spans="1:9" s="408" customFormat="1" x14ac:dyDescent="0.2">
      <c r="A86" s="426" t="s">
        <v>130</v>
      </c>
      <c r="B86" s="380" t="s">
        <v>131</v>
      </c>
      <c r="C86" s="381">
        <v>200000</v>
      </c>
      <c r="D86" s="373">
        <v>103848</v>
      </c>
      <c r="E86" s="420" t="s">
        <v>106</v>
      </c>
      <c r="F86" s="373">
        <v>103848</v>
      </c>
      <c r="G86" s="428">
        <v>0</v>
      </c>
      <c r="H86" s="407" t="s">
        <v>114</v>
      </c>
      <c r="I86" s="402">
        <v>42433</v>
      </c>
    </row>
    <row r="87" spans="1:9" s="408" customFormat="1" ht="25.5" x14ac:dyDescent="0.2">
      <c r="A87" s="426" t="s">
        <v>132</v>
      </c>
      <c r="B87" s="380" t="s">
        <v>133</v>
      </c>
      <c r="C87" s="381">
        <v>103560</v>
      </c>
      <c r="D87" s="373">
        <v>103234</v>
      </c>
      <c r="E87" s="420" t="s">
        <v>106</v>
      </c>
      <c r="F87" s="373">
        <v>103234</v>
      </c>
      <c r="G87" s="411">
        <v>0</v>
      </c>
      <c r="H87" s="420" t="s">
        <v>114</v>
      </c>
      <c r="I87" s="402">
        <v>42845</v>
      </c>
    </row>
    <row r="88" spans="1:9" ht="15" x14ac:dyDescent="0.25">
      <c r="A88" s="135"/>
      <c r="B88" s="247" t="s">
        <v>112</v>
      </c>
      <c r="C88" s="249">
        <f>SUM(C80:C87)</f>
        <v>11557210</v>
      </c>
      <c r="D88" s="248">
        <f>SUM(D80:D87)</f>
        <v>1500000</v>
      </c>
      <c r="E88" s="135"/>
      <c r="F88" s="249">
        <f t="shared" ref="F88" si="7">SUM(F80:F87)</f>
        <v>1500000</v>
      </c>
      <c r="G88" s="377">
        <f>SUM(G80:G87)</f>
        <v>0</v>
      </c>
      <c r="H88" s="135"/>
      <c r="I88" s="135"/>
    </row>
    <row r="90" spans="1:9" s="408" customFormat="1" x14ac:dyDescent="0.2"/>
    <row r="92" spans="1:9" ht="15" x14ac:dyDescent="0.25">
      <c r="C92" s="243" t="s">
        <v>134</v>
      </c>
      <c r="D92" s="243"/>
    </row>
    <row r="93" spans="1:9" ht="45" x14ac:dyDescent="0.2">
      <c r="A93" s="244" t="s">
        <v>97</v>
      </c>
      <c r="B93" s="244" t="s">
        <v>0</v>
      </c>
      <c r="C93" s="245" t="s">
        <v>1</v>
      </c>
      <c r="D93" s="245" t="s">
        <v>98</v>
      </c>
      <c r="E93" s="244" t="s">
        <v>99</v>
      </c>
      <c r="F93" s="245" t="s">
        <v>100</v>
      </c>
      <c r="G93" s="245" t="s">
        <v>101</v>
      </c>
      <c r="H93" s="244" t="s">
        <v>102</v>
      </c>
      <c r="I93" s="245" t="s">
        <v>493</v>
      </c>
    </row>
    <row r="94" spans="1:9" s="408" customFormat="1" ht="25.5" x14ac:dyDescent="0.2">
      <c r="A94" s="519" t="s">
        <v>494</v>
      </c>
      <c r="B94" s="380" t="s">
        <v>135</v>
      </c>
      <c r="C94" s="365">
        <v>898500</v>
      </c>
      <c r="D94" s="522">
        <v>94579</v>
      </c>
      <c r="E94" s="420" t="s">
        <v>106</v>
      </c>
      <c r="F94" s="385">
        <f>8398+86181</f>
        <v>94579</v>
      </c>
      <c r="G94" s="421">
        <f>SUM(D94-F94)</f>
        <v>0</v>
      </c>
      <c r="H94" s="420" t="s">
        <v>114</v>
      </c>
      <c r="I94" s="523">
        <v>41809</v>
      </c>
    </row>
    <row r="95" spans="1:9" s="408" customFormat="1" ht="25.5" x14ac:dyDescent="0.2">
      <c r="A95" s="519" t="s">
        <v>497</v>
      </c>
      <c r="B95" s="380" t="s">
        <v>136</v>
      </c>
      <c r="C95" s="365">
        <v>3904000</v>
      </c>
      <c r="D95" s="363">
        <v>328020</v>
      </c>
      <c r="E95" s="420" t="s">
        <v>106</v>
      </c>
      <c r="F95" s="385">
        <v>328020</v>
      </c>
      <c r="G95" s="428">
        <v>0</v>
      </c>
      <c r="H95" s="420" t="s">
        <v>114</v>
      </c>
      <c r="I95" s="523">
        <v>41281</v>
      </c>
    </row>
    <row r="96" spans="1:9" s="408" customFormat="1" x14ac:dyDescent="0.2">
      <c r="A96" s="426" t="s">
        <v>123</v>
      </c>
      <c r="B96" s="521" t="s">
        <v>504</v>
      </c>
      <c r="C96" s="365">
        <v>800000</v>
      </c>
      <c r="D96" s="363">
        <v>562349</v>
      </c>
      <c r="E96" s="420" t="s">
        <v>106</v>
      </c>
      <c r="F96" s="385">
        <f>470325+89799+2225</f>
        <v>562349</v>
      </c>
      <c r="G96" s="428">
        <f t="shared" ref="G96:G100" si="8">SUM(D96-F96)</f>
        <v>0</v>
      </c>
      <c r="H96" s="420" t="s">
        <v>114</v>
      </c>
      <c r="I96" s="523">
        <v>41176</v>
      </c>
    </row>
    <row r="97" spans="1:9" s="408" customFormat="1" x14ac:dyDescent="0.2">
      <c r="A97" s="426" t="s">
        <v>124</v>
      </c>
      <c r="B97" s="380" t="s">
        <v>125</v>
      </c>
      <c r="C97" s="365">
        <v>8752175</v>
      </c>
      <c r="D97" s="522">
        <v>110137</v>
      </c>
      <c r="E97" s="420" t="s">
        <v>106</v>
      </c>
      <c r="F97" s="385">
        <v>110137</v>
      </c>
      <c r="G97" s="428">
        <f t="shared" si="8"/>
        <v>0</v>
      </c>
      <c r="H97" s="420" t="s">
        <v>114</v>
      </c>
      <c r="I97" s="523">
        <v>41494</v>
      </c>
    </row>
    <row r="98" spans="1:9" s="408" customFormat="1" ht="51" x14ac:dyDescent="0.2">
      <c r="A98" s="426" t="s">
        <v>126</v>
      </c>
      <c r="B98" s="380" t="s">
        <v>137</v>
      </c>
      <c r="C98" s="365">
        <v>225000</v>
      </c>
      <c r="D98" s="522">
        <v>97119</v>
      </c>
      <c r="E98" s="420" t="s">
        <v>106</v>
      </c>
      <c r="F98" s="391">
        <v>97119</v>
      </c>
      <c r="G98" s="428">
        <v>0</v>
      </c>
      <c r="H98" s="420" t="s">
        <v>114</v>
      </c>
      <c r="I98" s="523">
        <v>42181</v>
      </c>
    </row>
    <row r="99" spans="1:9" s="408" customFormat="1" x14ac:dyDescent="0.2">
      <c r="A99" s="426" t="s">
        <v>128</v>
      </c>
      <c r="B99" s="524" t="s">
        <v>129</v>
      </c>
      <c r="C99" s="525">
        <v>500000</v>
      </c>
      <c r="D99" s="522">
        <v>99205</v>
      </c>
      <c r="E99" s="420" t="s">
        <v>106</v>
      </c>
      <c r="F99" s="385">
        <f>44551+54654</f>
        <v>99205</v>
      </c>
      <c r="G99" s="428">
        <f t="shared" si="8"/>
        <v>0</v>
      </c>
      <c r="H99" s="420" t="s">
        <v>114</v>
      </c>
      <c r="I99" s="523">
        <v>41246</v>
      </c>
    </row>
    <row r="100" spans="1:9" s="408" customFormat="1" x14ac:dyDescent="0.2">
      <c r="A100" s="426" t="s">
        <v>130</v>
      </c>
      <c r="B100" s="380" t="s">
        <v>131</v>
      </c>
      <c r="C100" s="365">
        <v>200000</v>
      </c>
      <c r="D100" s="522">
        <v>107536</v>
      </c>
      <c r="E100" s="420" t="s">
        <v>106</v>
      </c>
      <c r="F100" s="385">
        <f>34487+52970+11078+9001</f>
        <v>107536</v>
      </c>
      <c r="G100" s="428">
        <f t="shared" si="8"/>
        <v>0</v>
      </c>
      <c r="H100" s="420" t="s">
        <v>114</v>
      </c>
      <c r="I100" s="523">
        <v>41506</v>
      </c>
    </row>
    <row r="101" spans="1:9" s="408" customFormat="1" x14ac:dyDescent="0.2">
      <c r="A101" s="426" t="s">
        <v>132</v>
      </c>
      <c r="B101" s="380" t="s">
        <v>131</v>
      </c>
      <c r="C101" s="365">
        <v>104929</v>
      </c>
      <c r="D101" s="522">
        <v>103021</v>
      </c>
      <c r="E101" s="420" t="s">
        <v>106</v>
      </c>
      <c r="F101" s="385">
        <v>103021</v>
      </c>
      <c r="G101" s="428">
        <v>0</v>
      </c>
      <c r="H101" s="407" t="s">
        <v>114</v>
      </c>
      <c r="I101" s="523">
        <v>42696</v>
      </c>
    </row>
    <row r="102" spans="1:9" ht="15" x14ac:dyDescent="0.25">
      <c r="A102" s="135"/>
      <c r="B102" s="247" t="s">
        <v>112</v>
      </c>
      <c r="C102" s="249">
        <f>SUM(C94:C101)</f>
        <v>15384604</v>
      </c>
      <c r="D102" s="248">
        <f>SUM(D94:D101)</f>
        <v>1501966</v>
      </c>
      <c r="E102" s="135"/>
      <c r="F102" s="249">
        <f>SUM(F94:F101)</f>
        <v>1501966</v>
      </c>
      <c r="G102" s="375">
        <f>SUM(G94:G101)</f>
        <v>0</v>
      </c>
      <c r="H102" s="135"/>
      <c r="I102" s="13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Y151"/>
  <sheetViews>
    <sheetView zoomScaleNormal="100" workbookViewId="0">
      <pane ySplit="1" topLeftCell="A2" activePane="bottomLeft" state="frozen"/>
      <selection activeCell="C1" sqref="C1"/>
      <selection pane="bottomLeft" sqref="A1:J1"/>
    </sheetView>
  </sheetViews>
  <sheetFormatPr defaultColWidth="9.140625" defaultRowHeight="12.75" x14ac:dyDescent="0.2"/>
  <cols>
    <col min="1" max="1" width="17" style="255" customWidth="1"/>
    <col min="2" max="2" width="7.85546875" style="255" customWidth="1"/>
    <col min="3" max="3" width="55.5703125" style="255" customWidth="1"/>
    <col min="4" max="4" width="22.7109375" style="255" customWidth="1"/>
    <col min="5" max="5" width="14.42578125" style="299" customWidth="1"/>
    <col min="6" max="6" width="48.42578125" style="255" customWidth="1"/>
    <col min="7" max="7" width="11.7109375" style="299" customWidth="1"/>
    <col min="8" max="8" width="3.85546875" style="487" customWidth="1"/>
    <col min="9" max="9" width="10.85546875" style="255" customWidth="1"/>
    <col min="10" max="10" width="20" style="137" customWidth="1"/>
    <col min="11" max="11" width="9.140625" style="255"/>
    <col min="12" max="12" width="14.7109375" style="255" customWidth="1"/>
    <col min="13" max="16384" width="9.140625" style="255"/>
  </cols>
  <sheetData>
    <row r="1" spans="1:10" s="252" customFormat="1" ht="23.25" x14ac:dyDescent="0.35">
      <c r="A1" s="619" t="s">
        <v>47</v>
      </c>
      <c r="B1" s="619"/>
      <c r="C1" s="619"/>
      <c r="D1" s="619"/>
      <c r="E1" s="619"/>
      <c r="F1" s="619"/>
      <c r="G1" s="619"/>
      <c r="H1" s="619"/>
      <c r="I1" s="619"/>
      <c r="J1" s="619"/>
    </row>
    <row r="2" spans="1:10" ht="25.5" x14ac:dyDescent="0.2">
      <c r="A2" s="253" t="s">
        <v>45</v>
      </c>
      <c r="B2" s="14" t="s">
        <v>44</v>
      </c>
      <c r="C2" s="254" t="s">
        <v>0</v>
      </c>
      <c r="D2" s="254" t="s">
        <v>43</v>
      </c>
      <c r="E2" s="254" t="s">
        <v>1</v>
      </c>
      <c r="F2" s="254" t="s">
        <v>42</v>
      </c>
      <c r="G2" s="620" t="s">
        <v>777</v>
      </c>
      <c r="H2" s="621"/>
      <c r="I2" s="254" t="s">
        <v>41</v>
      </c>
      <c r="J2" s="254" t="s">
        <v>40</v>
      </c>
    </row>
    <row r="3" spans="1:10" x14ac:dyDescent="0.2">
      <c r="A3" s="263"/>
      <c r="B3" s="263"/>
      <c r="C3" s="263"/>
      <c r="D3" s="263"/>
      <c r="E3" s="263"/>
      <c r="F3" s="263"/>
      <c r="G3" s="263"/>
      <c r="H3" s="263"/>
      <c r="I3" s="263"/>
      <c r="J3" s="263"/>
    </row>
    <row r="4" spans="1:10" ht="25.5" x14ac:dyDescent="0.2">
      <c r="A4" s="256" t="s">
        <v>7</v>
      </c>
      <c r="B4" s="257">
        <v>2019</v>
      </c>
      <c r="C4" s="258" t="s">
        <v>914</v>
      </c>
      <c r="D4" s="259" t="s">
        <v>12</v>
      </c>
      <c r="E4" s="526">
        <v>850000</v>
      </c>
      <c r="F4" s="260" t="s">
        <v>915</v>
      </c>
      <c r="G4" s="526">
        <v>360000</v>
      </c>
      <c r="H4" s="528"/>
      <c r="I4" s="444">
        <v>0</v>
      </c>
      <c r="J4" s="261">
        <v>44012</v>
      </c>
    </row>
    <row r="5" spans="1:10" ht="38.25" x14ac:dyDescent="0.2">
      <c r="A5" s="256" t="s">
        <v>7</v>
      </c>
      <c r="B5" s="257">
        <v>2019</v>
      </c>
      <c r="C5" s="258" t="s">
        <v>916</v>
      </c>
      <c r="D5" s="259" t="s">
        <v>12</v>
      </c>
      <c r="E5" s="526">
        <v>531840</v>
      </c>
      <c r="F5" s="260" t="s">
        <v>917</v>
      </c>
      <c r="G5" s="526">
        <v>91100</v>
      </c>
      <c r="H5" s="528"/>
      <c r="I5" s="444">
        <v>0</v>
      </c>
      <c r="J5" s="261">
        <v>44012</v>
      </c>
    </row>
    <row r="6" spans="1:10" ht="38.25" x14ac:dyDescent="0.2">
      <c r="A6" s="256" t="s">
        <v>7</v>
      </c>
      <c r="B6" s="257">
        <v>2019</v>
      </c>
      <c r="C6" s="258" t="s">
        <v>918</v>
      </c>
      <c r="D6" s="259" t="s">
        <v>919</v>
      </c>
      <c r="E6" s="526">
        <v>461000</v>
      </c>
      <c r="F6" s="260" t="s">
        <v>920</v>
      </c>
      <c r="G6" s="526">
        <v>230000</v>
      </c>
      <c r="H6" s="528"/>
      <c r="I6" s="444">
        <v>0</v>
      </c>
      <c r="J6" s="261">
        <v>44012</v>
      </c>
    </row>
    <row r="7" spans="1:10" ht="38.25" x14ac:dyDescent="0.2">
      <c r="A7" s="256" t="s">
        <v>7</v>
      </c>
      <c r="B7" s="257">
        <v>2019</v>
      </c>
      <c r="C7" s="258" t="s">
        <v>921</v>
      </c>
      <c r="D7" s="259" t="s">
        <v>12</v>
      </c>
      <c r="E7" s="526">
        <v>939000</v>
      </c>
      <c r="F7" s="260" t="s">
        <v>922</v>
      </c>
      <c r="G7" s="526">
        <v>300000</v>
      </c>
      <c r="H7" s="528"/>
      <c r="I7" s="444">
        <v>0</v>
      </c>
      <c r="J7" s="261">
        <v>44012</v>
      </c>
    </row>
    <row r="8" spans="1:10" ht="25.5" x14ac:dyDescent="0.2">
      <c r="A8" s="256" t="s">
        <v>7</v>
      </c>
      <c r="B8" s="257">
        <v>2019</v>
      </c>
      <c r="C8" s="258" t="s">
        <v>923</v>
      </c>
      <c r="D8" s="259" t="s">
        <v>12</v>
      </c>
      <c r="E8" s="526">
        <v>1188000</v>
      </c>
      <c r="F8" s="260" t="s">
        <v>924</v>
      </c>
      <c r="G8" s="526">
        <v>328000</v>
      </c>
      <c r="H8" s="528"/>
      <c r="I8" s="444">
        <v>0</v>
      </c>
      <c r="J8" s="261">
        <v>44012</v>
      </c>
    </row>
    <row r="9" spans="1:10" x14ac:dyDescent="0.2">
      <c r="A9" s="263"/>
      <c r="B9" s="263"/>
      <c r="C9" s="263"/>
      <c r="D9" s="263"/>
      <c r="E9" s="263"/>
      <c r="F9" s="263"/>
      <c r="G9" s="263"/>
      <c r="H9" s="263"/>
      <c r="I9" s="263"/>
      <c r="J9" s="263"/>
    </row>
    <row r="10" spans="1:10" ht="38.25" x14ac:dyDescent="0.2">
      <c r="A10" s="256" t="s">
        <v>7</v>
      </c>
      <c r="B10" s="257">
        <v>2018</v>
      </c>
      <c r="C10" s="258" t="s">
        <v>778</v>
      </c>
      <c r="D10" s="259" t="s">
        <v>925</v>
      </c>
      <c r="E10" s="526">
        <v>162482</v>
      </c>
      <c r="F10" s="260" t="s">
        <v>664</v>
      </c>
      <c r="G10" s="527">
        <v>113185</v>
      </c>
      <c r="H10" s="565"/>
      <c r="I10" s="444">
        <v>0</v>
      </c>
      <c r="J10" s="261">
        <v>43646</v>
      </c>
    </row>
    <row r="11" spans="1:10" ht="55.5" customHeight="1" x14ac:dyDescent="0.2">
      <c r="A11" s="256" t="s">
        <v>7</v>
      </c>
      <c r="B11" s="257">
        <v>2018</v>
      </c>
      <c r="C11" s="258" t="s">
        <v>779</v>
      </c>
      <c r="D11" s="259" t="s">
        <v>926</v>
      </c>
      <c r="E11" s="526">
        <v>456000</v>
      </c>
      <c r="F11" s="260" t="s">
        <v>780</v>
      </c>
      <c r="G11" s="527">
        <v>250000</v>
      </c>
      <c r="H11" s="565"/>
      <c r="I11" s="444">
        <v>0</v>
      </c>
      <c r="J11" s="261">
        <v>43646</v>
      </c>
    </row>
    <row r="12" spans="1:10" ht="38.25" x14ac:dyDescent="0.2">
      <c r="A12" s="256" t="s">
        <v>7</v>
      </c>
      <c r="B12" s="257">
        <v>2018</v>
      </c>
      <c r="C12" s="258" t="s">
        <v>781</v>
      </c>
      <c r="D12" s="259" t="s">
        <v>927</v>
      </c>
      <c r="E12" s="526">
        <v>1700000</v>
      </c>
      <c r="F12" s="260" t="s">
        <v>782</v>
      </c>
      <c r="G12" s="527">
        <v>400082</v>
      </c>
      <c r="H12" s="565"/>
      <c r="I12" s="444">
        <v>0</v>
      </c>
      <c r="J12" s="261">
        <v>43646</v>
      </c>
    </row>
    <row r="13" spans="1:10" ht="38.25" x14ac:dyDescent="0.2">
      <c r="A13" s="256" t="s">
        <v>7</v>
      </c>
      <c r="B13" s="257">
        <v>2018</v>
      </c>
      <c r="C13" s="258" t="s">
        <v>783</v>
      </c>
      <c r="D13" s="259" t="s">
        <v>928</v>
      </c>
      <c r="E13" s="526">
        <v>556000</v>
      </c>
      <c r="F13" s="260" t="s">
        <v>784</v>
      </c>
      <c r="G13" s="527">
        <v>366000</v>
      </c>
      <c r="H13" s="565"/>
      <c r="I13" s="444">
        <v>140702.45000000001</v>
      </c>
      <c r="J13" s="261">
        <v>43646</v>
      </c>
    </row>
    <row r="14" spans="1:10" ht="63.75" x14ac:dyDescent="0.2">
      <c r="A14" s="256" t="s">
        <v>7</v>
      </c>
      <c r="B14" s="257">
        <v>2018</v>
      </c>
      <c r="C14" s="258" t="s">
        <v>785</v>
      </c>
      <c r="D14" s="259" t="s">
        <v>925</v>
      </c>
      <c r="E14" s="526">
        <v>765490</v>
      </c>
      <c r="F14" s="260" t="s">
        <v>786</v>
      </c>
      <c r="G14" s="527">
        <v>139000</v>
      </c>
      <c r="H14" s="565"/>
      <c r="I14" s="444">
        <v>0</v>
      </c>
      <c r="J14" s="261">
        <v>43646</v>
      </c>
    </row>
    <row r="15" spans="1:10" x14ac:dyDescent="0.2">
      <c r="A15" s="263"/>
      <c r="B15" s="263"/>
      <c r="C15" s="263"/>
      <c r="D15" s="263"/>
      <c r="E15" s="263"/>
      <c r="F15" s="263"/>
      <c r="G15" s="263"/>
      <c r="H15" s="263"/>
      <c r="I15" s="263"/>
      <c r="J15" s="263"/>
    </row>
    <row r="16" spans="1:10" s="262" customFormat="1" ht="38.25" x14ac:dyDescent="0.2">
      <c r="A16" s="256" t="s">
        <v>7</v>
      </c>
      <c r="B16" s="257">
        <v>2017</v>
      </c>
      <c r="C16" s="258" t="s">
        <v>646</v>
      </c>
      <c r="D16" s="259" t="s">
        <v>787</v>
      </c>
      <c r="E16" s="442">
        <v>600000</v>
      </c>
      <c r="F16" s="260" t="s">
        <v>647</v>
      </c>
      <c r="G16" s="443">
        <v>250000</v>
      </c>
      <c r="H16" s="257"/>
      <c r="I16" s="444">
        <v>67245.320000000007</v>
      </c>
      <c r="J16" s="261">
        <v>43646</v>
      </c>
    </row>
    <row r="17" spans="1:10" s="262" customFormat="1" ht="39.75" customHeight="1" x14ac:dyDescent="0.2">
      <c r="A17" s="256" t="s">
        <v>7</v>
      </c>
      <c r="B17" s="257">
        <v>2017</v>
      </c>
      <c r="C17" s="258" t="s">
        <v>648</v>
      </c>
      <c r="D17" s="259" t="s">
        <v>929</v>
      </c>
      <c r="E17" s="442">
        <v>753000</v>
      </c>
      <c r="F17" s="260" t="s">
        <v>649</v>
      </c>
      <c r="G17" s="443">
        <v>300000</v>
      </c>
      <c r="H17" s="257"/>
      <c r="I17" s="443">
        <v>300000</v>
      </c>
      <c r="J17" s="261">
        <v>43281</v>
      </c>
    </row>
    <row r="18" spans="1:10" s="262" customFormat="1" ht="38.25" x14ac:dyDescent="0.2">
      <c r="A18" s="256" t="s">
        <v>7</v>
      </c>
      <c r="B18" s="257">
        <v>2017</v>
      </c>
      <c r="C18" s="258" t="s">
        <v>650</v>
      </c>
      <c r="D18" s="259" t="s">
        <v>930</v>
      </c>
      <c r="E18" s="442">
        <v>3225917</v>
      </c>
      <c r="F18" s="260" t="s">
        <v>651</v>
      </c>
      <c r="G18" s="443">
        <v>650000</v>
      </c>
      <c r="H18" s="257"/>
      <c r="I18" s="444">
        <v>50645.78</v>
      </c>
      <c r="J18" s="261">
        <v>43646</v>
      </c>
    </row>
    <row r="19" spans="1:10" s="262" customFormat="1" ht="38.25" x14ac:dyDescent="0.2">
      <c r="A19" s="256" t="s">
        <v>7</v>
      </c>
      <c r="B19" s="257">
        <v>2017</v>
      </c>
      <c r="C19" s="258" t="s">
        <v>652</v>
      </c>
      <c r="D19" s="259" t="s">
        <v>788</v>
      </c>
      <c r="E19" s="442">
        <v>1158614</v>
      </c>
      <c r="F19" s="260" t="s">
        <v>653</v>
      </c>
      <c r="G19" s="443">
        <v>650000</v>
      </c>
      <c r="H19" s="257"/>
      <c r="I19" s="444">
        <v>0</v>
      </c>
      <c r="J19" s="261">
        <v>43646</v>
      </c>
    </row>
    <row r="20" spans="1:10" s="262" customFormat="1" ht="63.75" x14ac:dyDescent="0.2">
      <c r="A20" s="256" t="s">
        <v>7</v>
      </c>
      <c r="B20" s="257">
        <v>2017</v>
      </c>
      <c r="C20" s="258" t="s">
        <v>654</v>
      </c>
      <c r="D20" s="259" t="s">
        <v>931</v>
      </c>
      <c r="E20" s="442">
        <v>1288380</v>
      </c>
      <c r="F20" s="260" t="s">
        <v>655</v>
      </c>
      <c r="G20" s="443">
        <v>664678</v>
      </c>
      <c r="H20" s="257"/>
      <c r="I20" s="444">
        <v>113653.6</v>
      </c>
      <c r="J20" s="261">
        <v>43646</v>
      </c>
    </row>
    <row r="21" spans="1:10" s="262" customFormat="1" x14ac:dyDescent="0.2">
      <c r="A21" s="263"/>
      <c r="B21" s="263"/>
      <c r="C21" s="263"/>
      <c r="D21" s="263"/>
      <c r="E21" s="263"/>
      <c r="F21" s="263"/>
      <c r="G21" s="263"/>
      <c r="H21" s="263"/>
      <c r="I21" s="263"/>
      <c r="J21" s="263"/>
    </row>
    <row r="22" spans="1:10" s="262" customFormat="1" ht="39.75" customHeight="1" x14ac:dyDescent="0.2">
      <c r="A22" s="256" t="s">
        <v>7</v>
      </c>
      <c r="B22" s="257">
        <v>2016</v>
      </c>
      <c r="C22" s="258" t="s">
        <v>505</v>
      </c>
      <c r="D22" s="259" t="s">
        <v>932</v>
      </c>
      <c r="E22" s="442">
        <v>1209000</v>
      </c>
      <c r="F22" s="260" t="s">
        <v>656</v>
      </c>
      <c r="G22" s="443">
        <v>600000</v>
      </c>
      <c r="H22" s="257"/>
      <c r="I22" s="444">
        <v>600000</v>
      </c>
      <c r="J22" s="261">
        <v>43281</v>
      </c>
    </row>
    <row r="23" spans="1:10" s="262" customFormat="1" ht="38.25" x14ac:dyDescent="0.2">
      <c r="A23" s="256" t="s">
        <v>7</v>
      </c>
      <c r="B23" s="257">
        <v>2016</v>
      </c>
      <c r="C23" s="258" t="s">
        <v>506</v>
      </c>
      <c r="D23" s="259" t="s">
        <v>933</v>
      </c>
      <c r="E23" s="442">
        <v>850000</v>
      </c>
      <c r="F23" s="260" t="s">
        <v>657</v>
      </c>
      <c r="G23" s="443">
        <v>398500</v>
      </c>
      <c r="H23" s="257"/>
      <c r="I23" s="444">
        <v>398500</v>
      </c>
      <c r="J23" s="261">
        <v>43281</v>
      </c>
    </row>
    <row r="24" spans="1:10" s="262" customFormat="1" ht="38.25" x14ac:dyDescent="0.2">
      <c r="A24" s="256" t="s">
        <v>7</v>
      </c>
      <c r="B24" s="257">
        <v>2016</v>
      </c>
      <c r="C24" s="258" t="s">
        <v>507</v>
      </c>
      <c r="D24" s="259" t="s">
        <v>508</v>
      </c>
      <c r="E24" s="442">
        <v>4321590</v>
      </c>
      <c r="F24" s="260" t="s">
        <v>658</v>
      </c>
      <c r="G24" s="443">
        <v>679699</v>
      </c>
      <c r="H24" s="257"/>
      <c r="I24" s="444">
        <v>583171.02</v>
      </c>
      <c r="J24" s="261">
        <v>43646</v>
      </c>
    </row>
    <row r="25" spans="1:10" s="262" customFormat="1" ht="38.25" x14ac:dyDescent="0.2">
      <c r="A25" s="256" t="s">
        <v>7</v>
      </c>
      <c r="B25" s="257">
        <v>2016</v>
      </c>
      <c r="C25" s="258" t="s">
        <v>934</v>
      </c>
      <c r="D25" s="259" t="s">
        <v>789</v>
      </c>
      <c r="E25" s="442">
        <v>296400</v>
      </c>
      <c r="F25" s="260" t="s">
        <v>659</v>
      </c>
      <c r="G25" s="443">
        <v>222300</v>
      </c>
      <c r="H25" s="566" t="s">
        <v>790</v>
      </c>
      <c r="I25" s="444">
        <v>197851</v>
      </c>
      <c r="J25" s="261">
        <v>42916</v>
      </c>
    </row>
    <row r="26" spans="1:10" s="262" customFormat="1" ht="38.25" x14ac:dyDescent="0.2">
      <c r="A26" s="256" t="s">
        <v>7</v>
      </c>
      <c r="B26" s="257">
        <v>2016</v>
      </c>
      <c r="C26" s="258" t="s">
        <v>509</v>
      </c>
      <c r="D26" s="259" t="s">
        <v>510</v>
      </c>
      <c r="E26" s="442">
        <v>1200100</v>
      </c>
      <c r="F26" s="260" t="s">
        <v>660</v>
      </c>
      <c r="G26" s="443">
        <v>749501</v>
      </c>
      <c r="H26" s="257"/>
      <c r="I26" s="444">
        <v>632661.72</v>
      </c>
      <c r="J26" s="261">
        <v>43646</v>
      </c>
    </row>
    <row r="27" spans="1:10" s="262" customFormat="1" ht="40.5" customHeight="1" x14ac:dyDescent="0.2">
      <c r="A27" s="256" t="s">
        <v>7</v>
      </c>
      <c r="B27" s="257">
        <v>2016</v>
      </c>
      <c r="C27" s="258" t="s">
        <v>511</v>
      </c>
      <c r="D27" s="259" t="s">
        <v>508</v>
      </c>
      <c r="E27" s="442">
        <v>1136000</v>
      </c>
      <c r="F27" s="260" t="s">
        <v>661</v>
      </c>
      <c r="G27" s="443">
        <v>750000</v>
      </c>
      <c r="H27" s="257"/>
      <c r="I27" s="444">
        <v>496654.57</v>
      </c>
      <c r="J27" s="261">
        <v>43646</v>
      </c>
    </row>
    <row r="28" spans="1:10" s="262" customFormat="1" x14ac:dyDescent="0.2">
      <c r="A28" s="263"/>
      <c r="B28" s="264"/>
      <c r="C28" s="265"/>
      <c r="D28" s="265"/>
      <c r="E28" s="265"/>
      <c r="F28" s="265"/>
      <c r="G28" s="266"/>
      <c r="H28" s="267"/>
      <c r="I28" s="265"/>
      <c r="J28" s="265"/>
    </row>
    <row r="29" spans="1:10" s="262" customFormat="1" ht="38.25" x14ac:dyDescent="0.2">
      <c r="A29" s="268" t="s">
        <v>7</v>
      </c>
      <c r="B29" s="257">
        <v>2015</v>
      </c>
      <c r="C29" s="258" t="s">
        <v>444</v>
      </c>
      <c r="D29" s="259" t="s">
        <v>512</v>
      </c>
      <c r="E29" s="442">
        <v>2109860</v>
      </c>
      <c r="F29" s="260" t="s">
        <v>662</v>
      </c>
      <c r="G29" s="443">
        <v>782500</v>
      </c>
      <c r="H29" s="257"/>
      <c r="I29" s="444">
        <v>782500</v>
      </c>
      <c r="J29" s="269">
        <v>42061</v>
      </c>
    </row>
    <row r="30" spans="1:10" s="262" customFormat="1" ht="38.25" x14ac:dyDescent="0.2">
      <c r="A30" s="268" t="s">
        <v>7</v>
      </c>
      <c r="B30" s="257">
        <v>2015</v>
      </c>
      <c r="C30" s="258" t="s">
        <v>445</v>
      </c>
      <c r="D30" s="259" t="s">
        <v>663</v>
      </c>
      <c r="E30" s="442">
        <v>214542</v>
      </c>
      <c r="F30" s="260" t="s">
        <v>664</v>
      </c>
      <c r="G30" s="443">
        <v>160906</v>
      </c>
      <c r="H30" s="257"/>
      <c r="I30" s="444">
        <v>160906</v>
      </c>
      <c r="J30" s="269">
        <v>42551</v>
      </c>
    </row>
    <row r="31" spans="1:10" s="262" customFormat="1" ht="38.25" x14ac:dyDescent="0.2">
      <c r="A31" s="268" t="s">
        <v>7</v>
      </c>
      <c r="B31" s="257">
        <v>2015</v>
      </c>
      <c r="C31" s="258" t="s">
        <v>446</v>
      </c>
      <c r="D31" s="259" t="s">
        <v>791</v>
      </c>
      <c r="E31" s="442">
        <v>299250</v>
      </c>
      <c r="F31" s="260" t="s">
        <v>25</v>
      </c>
      <c r="G31" s="443">
        <v>224437</v>
      </c>
      <c r="H31" s="257"/>
      <c r="I31" s="444">
        <v>224437</v>
      </c>
      <c r="J31" s="269">
        <v>42916</v>
      </c>
    </row>
    <row r="32" spans="1:10" s="262" customFormat="1" ht="38.25" x14ac:dyDescent="0.2">
      <c r="A32" s="268" t="s">
        <v>7</v>
      </c>
      <c r="B32" s="257">
        <v>2015</v>
      </c>
      <c r="C32" s="258" t="s">
        <v>935</v>
      </c>
      <c r="D32" s="259" t="s">
        <v>792</v>
      </c>
      <c r="E32" s="442">
        <v>1690000</v>
      </c>
      <c r="F32" s="260" t="s">
        <v>447</v>
      </c>
      <c r="G32" s="443">
        <v>340000</v>
      </c>
      <c r="H32" s="566" t="s">
        <v>936</v>
      </c>
      <c r="I32" s="444">
        <v>257045.57</v>
      </c>
      <c r="J32" s="269">
        <v>42719</v>
      </c>
    </row>
    <row r="33" spans="1:77" s="262" customFormat="1" ht="38.25" x14ac:dyDescent="0.2">
      <c r="A33" s="268" t="s">
        <v>7</v>
      </c>
      <c r="B33" s="257">
        <v>2015</v>
      </c>
      <c r="C33" s="258" t="s">
        <v>448</v>
      </c>
      <c r="D33" s="259" t="s">
        <v>937</v>
      </c>
      <c r="E33" s="442">
        <v>605333</v>
      </c>
      <c r="F33" s="260" t="s">
        <v>664</v>
      </c>
      <c r="G33" s="443">
        <v>454000</v>
      </c>
      <c r="H33" s="257"/>
      <c r="I33" s="444">
        <v>454000</v>
      </c>
      <c r="J33" s="269">
        <v>43281</v>
      </c>
    </row>
    <row r="34" spans="1:77" s="262" customFormat="1" ht="38.25" x14ac:dyDescent="0.2">
      <c r="A34" s="268" t="s">
        <v>7</v>
      </c>
      <c r="B34" s="257">
        <v>2015</v>
      </c>
      <c r="C34" s="258" t="s">
        <v>449</v>
      </c>
      <c r="D34" s="259" t="s">
        <v>665</v>
      </c>
      <c r="E34" s="442">
        <v>395000</v>
      </c>
      <c r="F34" s="260" t="s">
        <v>666</v>
      </c>
      <c r="G34" s="443">
        <v>296250</v>
      </c>
      <c r="H34" s="257"/>
      <c r="I34" s="444">
        <v>296250</v>
      </c>
      <c r="J34" s="269">
        <v>42551</v>
      </c>
    </row>
    <row r="35" spans="1:77" s="270" customFormat="1" ht="38.25" x14ac:dyDescent="0.2">
      <c r="A35" s="268" t="s">
        <v>7</v>
      </c>
      <c r="B35" s="257">
        <v>2015</v>
      </c>
      <c r="C35" s="258" t="s">
        <v>450</v>
      </c>
      <c r="D35" s="259" t="s">
        <v>793</v>
      </c>
      <c r="E35" s="442">
        <v>1335000</v>
      </c>
      <c r="F35" s="260" t="s">
        <v>667</v>
      </c>
      <c r="G35" s="443">
        <v>775000</v>
      </c>
      <c r="H35" s="257"/>
      <c r="I35" s="444">
        <v>775000</v>
      </c>
      <c r="J35" s="269">
        <v>42376</v>
      </c>
    </row>
    <row r="36" spans="1:77" s="270" customFormat="1" ht="38.25" x14ac:dyDescent="0.2">
      <c r="A36" s="268" t="s">
        <v>7</v>
      </c>
      <c r="B36" s="257">
        <v>2015</v>
      </c>
      <c r="C36" s="258" t="s">
        <v>794</v>
      </c>
      <c r="D36" s="259" t="s">
        <v>513</v>
      </c>
      <c r="E36" s="442">
        <v>1066590</v>
      </c>
      <c r="F36" s="260" t="s">
        <v>668</v>
      </c>
      <c r="G36" s="443">
        <v>500000</v>
      </c>
      <c r="H36" s="566" t="s">
        <v>795</v>
      </c>
      <c r="I36" s="444">
        <v>424454.12</v>
      </c>
      <c r="J36" s="269">
        <v>43646</v>
      </c>
    </row>
    <row r="37" spans="1:77" s="262" customFormat="1" ht="38.25" x14ac:dyDescent="0.2">
      <c r="A37" s="268" t="s">
        <v>7</v>
      </c>
      <c r="B37" s="257">
        <v>2015</v>
      </c>
      <c r="C37" s="258" t="s">
        <v>938</v>
      </c>
      <c r="D37" s="259" t="s">
        <v>939</v>
      </c>
      <c r="E37" s="442">
        <v>862853</v>
      </c>
      <c r="F37" s="260" t="s">
        <v>669</v>
      </c>
      <c r="G37" s="443">
        <v>647140</v>
      </c>
      <c r="H37" s="566" t="s">
        <v>936</v>
      </c>
      <c r="I37" s="444">
        <v>631947.12</v>
      </c>
      <c r="J37" s="269">
        <v>43281</v>
      </c>
    </row>
    <row r="38" spans="1:77" s="262" customFormat="1" ht="38.25" x14ac:dyDescent="0.2">
      <c r="A38" s="268" t="s">
        <v>7</v>
      </c>
      <c r="B38" s="257">
        <v>2015</v>
      </c>
      <c r="C38" s="258" t="s">
        <v>940</v>
      </c>
      <c r="D38" s="259" t="s">
        <v>941</v>
      </c>
      <c r="E38" s="442">
        <v>1369575</v>
      </c>
      <c r="F38" s="260" t="s">
        <v>451</v>
      </c>
      <c r="G38" s="443">
        <v>579074</v>
      </c>
      <c r="H38" s="566" t="s">
        <v>936</v>
      </c>
      <c r="I38" s="444">
        <v>282679.69</v>
      </c>
      <c r="J38" s="269">
        <v>43281</v>
      </c>
    </row>
    <row r="39" spans="1:77" s="262" customFormat="1" ht="38.25" x14ac:dyDescent="0.2">
      <c r="A39" s="268" t="s">
        <v>7</v>
      </c>
      <c r="B39" s="257">
        <v>2015</v>
      </c>
      <c r="C39" s="258" t="s">
        <v>452</v>
      </c>
      <c r="D39" s="259" t="s">
        <v>514</v>
      </c>
      <c r="E39" s="442">
        <v>933333</v>
      </c>
      <c r="F39" s="260" t="s">
        <v>670</v>
      </c>
      <c r="G39" s="443">
        <v>700000</v>
      </c>
      <c r="H39" s="257"/>
      <c r="I39" s="444">
        <v>58748.56</v>
      </c>
      <c r="J39" s="269">
        <v>43646</v>
      </c>
    </row>
    <row r="40" spans="1:77" s="262" customFormat="1" ht="38.25" x14ac:dyDescent="0.2">
      <c r="A40" s="268" t="s">
        <v>7</v>
      </c>
      <c r="B40" s="257">
        <v>2015</v>
      </c>
      <c r="C40" s="258" t="s">
        <v>453</v>
      </c>
      <c r="D40" s="259" t="s">
        <v>796</v>
      </c>
      <c r="E40" s="442">
        <v>75000</v>
      </c>
      <c r="F40" s="260" t="s">
        <v>454</v>
      </c>
      <c r="G40" s="443">
        <v>55000</v>
      </c>
      <c r="H40" s="257"/>
      <c r="I40" s="444">
        <v>55000</v>
      </c>
      <c r="J40" s="269">
        <v>42913</v>
      </c>
    </row>
    <row r="41" spans="1:77" s="262" customFormat="1" ht="38.25" x14ac:dyDescent="0.2">
      <c r="A41" s="268" t="s">
        <v>7</v>
      </c>
      <c r="B41" s="257">
        <v>2015</v>
      </c>
      <c r="C41" s="258" t="s">
        <v>797</v>
      </c>
      <c r="D41" s="259" t="s">
        <v>798</v>
      </c>
      <c r="E41" s="442">
        <v>3740000</v>
      </c>
      <c r="F41" s="260" t="s">
        <v>671</v>
      </c>
      <c r="G41" s="443">
        <v>500000</v>
      </c>
      <c r="H41" s="566" t="s">
        <v>795</v>
      </c>
      <c r="I41" s="444">
        <v>500000</v>
      </c>
      <c r="J41" s="269">
        <v>42746</v>
      </c>
    </row>
    <row r="42" spans="1:77" s="262" customFormat="1" x14ac:dyDescent="0.2">
      <c r="A42" s="263"/>
      <c r="B42" s="271">
        <v>2014</v>
      </c>
      <c r="C42" s="265"/>
      <c r="D42" s="272"/>
      <c r="E42" s="272"/>
      <c r="F42" s="272"/>
      <c r="G42" s="272"/>
      <c r="H42" s="273" t="e">
        <f>SUM(#REF!)</f>
        <v>#REF!</v>
      </c>
      <c r="I42" s="272"/>
      <c r="J42" s="273" t="e">
        <f>SUM(#REF!)</f>
        <v>#REF!</v>
      </c>
    </row>
    <row r="43" spans="1:77" s="274" customFormat="1" ht="38.25" x14ac:dyDescent="0.2">
      <c r="A43" s="268" t="s">
        <v>7</v>
      </c>
      <c r="B43" s="257">
        <v>2014</v>
      </c>
      <c r="C43" s="258" t="s">
        <v>455</v>
      </c>
      <c r="D43" s="259" t="s">
        <v>456</v>
      </c>
      <c r="E43" s="442">
        <v>3065000</v>
      </c>
      <c r="F43" s="260" t="s">
        <v>370</v>
      </c>
      <c r="G43" s="443">
        <v>782500</v>
      </c>
      <c r="H43" s="257"/>
      <c r="I43" s="444">
        <v>782500</v>
      </c>
      <c r="J43" s="269">
        <v>41760</v>
      </c>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row>
    <row r="44" spans="1:77" s="262" customFormat="1" ht="38.25" x14ac:dyDescent="0.2">
      <c r="A44" s="268" t="s">
        <v>7</v>
      </c>
      <c r="B44" s="257">
        <v>2014</v>
      </c>
      <c r="C44" s="258" t="s">
        <v>371</v>
      </c>
      <c r="D44" s="259" t="s">
        <v>672</v>
      </c>
      <c r="E44" s="442">
        <v>722275</v>
      </c>
      <c r="F44" s="260" t="s">
        <v>673</v>
      </c>
      <c r="G44" s="443">
        <v>260774</v>
      </c>
      <c r="H44" s="257"/>
      <c r="I44" s="444">
        <v>260774</v>
      </c>
      <c r="J44" s="261">
        <v>42551</v>
      </c>
      <c r="K44" s="275"/>
      <c r="L44" s="270"/>
      <c r="M44" s="270"/>
    </row>
    <row r="45" spans="1:77" s="270" customFormat="1" ht="38.25" x14ac:dyDescent="0.2">
      <c r="A45" s="276" t="s">
        <v>7</v>
      </c>
      <c r="B45" s="257">
        <v>2014</v>
      </c>
      <c r="C45" s="258" t="s">
        <v>372</v>
      </c>
      <c r="D45" s="259" t="s">
        <v>457</v>
      </c>
      <c r="E45" s="442">
        <v>1604512</v>
      </c>
      <c r="F45" s="260" t="s">
        <v>674</v>
      </c>
      <c r="G45" s="443">
        <v>380265</v>
      </c>
      <c r="H45" s="257"/>
      <c r="I45" s="444">
        <v>53200.01</v>
      </c>
      <c r="J45" s="529">
        <v>43646</v>
      </c>
      <c r="K45" s="277"/>
      <c r="L45" s="278"/>
      <c r="M45" s="278"/>
    </row>
    <row r="46" spans="1:77" s="270" customFormat="1" ht="38.25" x14ac:dyDescent="0.2">
      <c r="A46" s="268" t="s">
        <v>7</v>
      </c>
      <c r="B46" s="257">
        <v>2014</v>
      </c>
      <c r="C46" s="258" t="s">
        <v>373</v>
      </c>
      <c r="D46" s="259" t="s">
        <v>675</v>
      </c>
      <c r="E46" s="442">
        <v>650000</v>
      </c>
      <c r="F46" s="260" t="s">
        <v>374</v>
      </c>
      <c r="G46" s="443">
        <v>487500</v>
      </c>
      <c r="H46" s="257"/>
      <c r="I46" s="444">
        <v>141285.6</v>
      </c>
      <c r="J46" s="529">
        <v>43646</v>
      </c>
      <c r="K46" s="278"/>
      <c r="L46" s="278"/>
      <c r="M46" s="278"/>
    </row>
    <row r="47" spans="1:77" s="270" customFormat="1" ht="38.25" x14ac:dyDescent="0.2">
      <c r="A47" s="268" t="s">
        <v>7</v>
      </c>
      <c r="B47" s="257">
        <v>2014</v>
      </c>
      <c r="C47" s="258" t="s">
        <v>375</v>
      </c>
      <c r="D47" s="259" t="s">
        <v>676</v>
      </c>
      <c r="E47" s="442">
        <v>1375694</v>
      </c>
      <c r="F47" s="260" t="s">
        <v>376</v>
      </c>
      <c r="G47" s="443">
        <v>775000</v>
      </c>
      <c r="H47" s="257"/>
      <c r="I47" s="444">
        <v>775000</v>
      </c>
      <c r="J47" s="529">
        <v>42551</v>
      </c>
      <c r="K47" s="445" t="s">
        <v>486</v>
      </c>
    </row>
    <row r="48" spans="1:77" s="270" customFormat="1" ht="38.25" x14ac:dyDescent="0.2">
      <c r="A48" s="268" t="s">
        <v>7</v>
      </c>
      <c r="B48" s="257">
        <v>2014</v>
      </c>
      <c r="C48" s="258" t="s">
        <v>377</v>
      </c>
      <c r="D48" s="259" t="s">
        <v>799</v>
      </c>
      <c r="E48" s="442">
        <v>1017000</v>
      </c>
      <c r="F48" s="260" t="s">
        <v>677</v>
      </c>
      <c r="G48" s="443">
        <v>318644</v>
      </c>
      <c r="H48" s="257"/>
      <c r="I48" s="444">
        <v>318644</v>
      </c>
      <c r="J48" s="529">
        <v>42878</v>
      </c>
    </row>
    <row r="49" spans="1:13" s="270" customFormat="1" ht="38.25" x14ac:dyDescent="0.2">
      <c r="A49" s="268" t="s">
        <v>7</v>
      </c>
      <c r="B49" s="257">
        <v>2014</v>
      </c>
      <c r="C49" s="258" t="s">
        <v>378</v>
      </c>
      <c r="D49" s="259" t="s">
        <v>678</v>
      </c>
      <c r="E49" s="442">
        <v>521479</v>
      </c>
      <c r="F49" s="260" t="s">
        <v>379</v>
      </c>
      <c r="G49" s="443">
        <v>371479</v>
      </c>
      <c r="H49" s="257"/>
      <c r="I49" s="444">
        <v>371479</v>
      </c>
      <c r="J49" s="261">
        <v>42551</v>
      </c>
      <c r="K49" s="277"/>
      <c r="L49" s="278"/>
      <c r="M49" s="278"/>
    </row>
    <row r="50" spans="1:13" s="270" customFormat="1" ht="38.25" x14ac:dyDescent="0.2">
      <c r="A50" s="268" t="s">
        <v>7</v>
      </c>
      <c r="B50" s="257">
        <v>2014</v>
      </c>
      <c r="C50" s="258" t="s">
        <v>380</v>
      </c>
      <c r="D50" s="259" t="s">
        <v>381</v>
      </c>
      <c r="E50" s="442">
        <v>290000</v>
      </c>
      <c r="F50" s="260" t="s">
        <v>382</v>
      </c>
      <c r="G50" s="443">
        <v>92897</v>
      </c>
      <c r="H50" s="567"/>
      <c r="I50" s="444">
        <v>86341.37</v>
      </c>
      <c r="J50" s="529">
        <v>43646</v>
      </c>
      <c r="K50" s="278"/>
      <c r="L50" s="278"/>
      <c r="M50" s="278"/>
    </row>
    <row r="51" spans="1:13" s="270" customFormat="1" x14ac:dyDescent="0.2">
      <c r="A51" s="263"/>
      <c r="B51" s="271">
        <v>2014</v>
      </c>
      <c r="C51" s="265"/>
      <c r="D51" s="272"/>
      <c r="E51" s="272"/>
      <c r="F51" s="272"/>
      <c r="G51" s="272"/>
      <c r="H51" s="273" t="e">
        <f>SUM(#REF!)</f>
        <v>#REF!</v>
      </c>
      <c r="I51" s="272"/>
      <c r="J51" s="273" t="e">
        <f>SUM(#REF!)</f>
        <v>#REF!</v>
      </c>
    </row>
    <row r="52" spans="1:13" s="270" customFormat="1" ht="38.25" x14ac:dyDescent="0.2">
      <c r="A52" s="268" t="s">
        <v>7</v>
      </c>
      <c r="B52" s="279">
        <v>2013</v>
      </c>
      <c r="C52" s="260" t="s">
        <v>94</v>
      </c>
      <c r="D52" s="259" t="s">
        <v>515</v>
      </c>
      <c r="E52" s="442">
        <v>125800</v>
      </c>
      <c r="F52" s="260" t="s">
        <v>679</v>
      </c>
      <c r="G52" s="443">
        <v>78000</v>
      </c>
      <c r="H52" s="568"/>
      <c r="I52" s="444">
        <v>78000</v>
      </c>
      <c r="J52" s="269">
        <v>42233</v>
      </c>
    </row>
    <row r="53" spans="1:13" s="270" customFormat="1" ht="38.25" x14ac:dyDescent="0.2">
      <c r="A53" s="268" t="s">
        <v>7</v>
      </c>
      <c r="B53" s="279">
        <v>2013</v>
      </c>
      <c r="C53" s="260" t="s">
        <v>73</v>
      </c>
      <c r="D53" s="259" t="s">
        <v>516</v>
      </c>
      <c r="E53" s="442">
        <v>535544</v>
      </c>
      <c r="F53" s="260" t="s">
        <v>87</v>
      </c>
      <c r="G53" s="443">
        <v>400000</v>
      </c>
      <c r="H53" s="568"/>
      <c r="I53" s="444">
        <v>400000</v>
      </c>
      <c r="J53" s="269">
        <v>42130</v>
      </c>
    </row>
    <row r="54" spans="1:13" s="270" customFormat="1" ht="51" x14ac:dyDescent="0.2">
      <c r="A54" s="268" t="s">
        <v>7</v>
      </c>
      <c r="B54" s="279">
        <v>2013</v>
      </c>
      <c r="C54" s="260" t="s">
        <v>95</v>
      </c>
      <c r="D54" s="259" t="s">
        <v>800</v>
      </c>
      <c r="E54" s="442">
        <v>1190931</v>
      </c>
      <c r="F54" s="260" t="s">
        <v>680</v>
      </c>
      <c r="G54" s="443">
        <v>700000</v>
      </c>
      <c r="H54" s="568"/>
      <c r="I54" s="442">
        <v>700000</v>
      </c>
      <c r="J54" s="261">
        <v>42978</v>
      </c>
      <c r="K54" s="277"/>
      <c r="L54" s="278"/>
      <c r="M54" s="278"/>
    </row>
    <row r="55" spans="1:13" s="270" customFormat="1" ht="38.25" x14ac:dyDescent="0.2">
      <c r="A55" s="268" t="s">
        <v>7</v>
      </c>
      <c r="B55" s="279">
        <v>2013</v>
      </c>
      <c r="C55" s="260" t="s">
        <v>78</v>
      </c>
      <c r="D55" s="259" t="s">
        <v>663</v>
      </c>
      <c r="E55" s="442">
        <v>2100000</v>
      </c>
      <c r="F55" s="260" t="s">
        <v>681</v>
      </c>
      <c r="G55" s="443">
        <v>441000</v>
      </c>
      <c r="H55" s="568"/>
      <c r="I55" s="442">
        <v>441000</v>
      </c>
      <c r="J55" s="261">
        <v>42762</v>
      </c>
      <c r="K55" s="277"/>
      <c r="L55" s="278"/>
      <c r="M55" s="278"/>
    </row>
    <row r="56" spans="1:13" s="270" customFormat="1" ht="38.25" x14ac:dyDescent="0.2">
      <c r="A56" s="268" t="s">
        <v>7</v>
      </c>
      <c r="B56" s="279">
        <v>2013</v>
      </c>
      <c r="C56" s="260" t="s">
        <v>74</v>
      </c>
      <c r="D56" s="259" t="s">
        <v>516</v>
      </c>
      <c r="E56" s="442">
        <v>227333</v>
      </c>
      <c r="F56" s="260" t="s">
        <v>88</v>
      </c>
      <c r="G56" s="443">
        <v>170500</v>
      </c>
      <c r="H56" s="568"/>
      <c r="I56" s="442">
        <v>170500</v>
      </c>
      <c r="J56" s="261">
        <v>42551</v>
      </c>
      <c r="K56" s="277"/>
      <c r="L56" s="278"/>
      <c r="M56" s="278"/>
    </row>
    <row r="57" spans="1:13" s="270" customFormat="1" ht="38.25" x14ac:dyDescent="0.2">
      <c r="A57" s="268" t="s">
        <v>7</v>
      </c>
      <c r="B57" s="279">
        <v>2013</v>
      </c>
      <c r="C57" s="260" t="s">
        <v>75</v>
      </c>
      <c r="D57" s="259" t="s">
        <v>458</v>
      </c>
      <c r="E57" s="442">
        <v>984400</v>
      </c>
      <c r="F57" s="260" t="s">
        <v>89</v>
      </c>
      <c r="G57" s="443">
        <v>381100</v>
      </c>
      <c r="H57" s="568"/>
      <c r="I57" s="442">
        <v>362045</v>
      </c>
      <c r="J57" s="261">
        <v>43646</v>
      </c>
      <c r="K57" s="277"/>
      <c r="L57" s="278"/>
      <c r="M57" s="278"/>
    </row>
    <row r="58" spans="1:13" s="270" customFormat="1" ht="38.25" x14ac:dyDescent="0.2">
      <c r="A58" s="268" t="s">
        <v>7</v>
      </c>
      <c r="B58" s="279">
        <v>2013</v>
      </c>
      <c r="C58" s="260" t="s">
        <v>76</v>
      </c>
      <c r="D58" s="259" t="s">
        <v>942</v>
      </c>
      <c r="E58" s="442">
        <v>1007592</v>
      </c>
      <c r="F58" s="260" t="s">
        <v>682</v>
      </c>
      <c r="G58" s="443">
        <v>755694</v>
      </c>
      <c r="H58" s="568"/>
      <c r="I58" s="442">
        <v>659506.71</v>
      </c>
      <c r="J58" s="261">
        <v>43281</v>
      </c>
      <c r="K58" s="277"/>
      <c r="L58" s="278"/>
      <c r="M58" s="278"/>
    </row>
    <row r="59" spans="1:13" s="270" customFormat="1" ht="38.25" x14ac:dyDescent="0.2">
      <c r="A59" s="268" t="s">
        <v>7</v>
      </c>
      <c r="B59" s="279">
        <v>2013</v>
      </c>
      <c r="C59" s="260" t="s">
        <v>77</v>
      </c>
      <c r="D59" s="259" t="s">
        <v>801</v>
      </c>
      <c r="E59" s="442">
        <v>354000</v>
      </c>
      <c r="F59" s="260" t="s">
        <v>25</v>
      </c>
      <c r="G59" s="443">
        <v>204000</v>
      </c>
      <c r="H59" s="568"/>
      <c r="I59" s="442">
        <v>204000</v>
      </c>
      <c r="J59" s="261">
        <v>42842</v>
      </c>
      <c r="K59" s="277"/>
      <c r="L59" s="278"/>
      <c r="M59" s="278"/>
    </row>
    <row r="60" spans="1:13" s="270" customFormat="1" x14ac:dyDescent="0.2">
      <c r="A60" s="272"/>
      <c r="B60" s="272"/>
      <c r="C60" s="272"/>
      <c r="D60" s="272"/>
      <c r="E60" s="273" t="e">
        <f>SUM(#REF!)</f>
        <v>#REF!</v>
      </c>
      <c r="F60" s="272"/>
      <c r="G60" s="273" t="e">
        <f>SUM(#REF!)</f>
        <v>#REF!</v>
      </c>
      <c r="H60" s="280"/>
      <c r="I60" s="272"/>
      <c r="J60" s="272"/>
      <c r="K60" s="277"/>
      <c r="L60" s="278"/>
      <c r="M60" s="278"/>
    </row>
    <row r="61" spans="1:13" s="270" customFormat="1" ht="38.25" x14ac:dyDescent="0.2">
      <c r="A61" s="268" t="s">
        <v>7</v>
      </c>
      <c r="B61" s="279">
        <v>2012</v>
      </c>
      <c r="C61" s="281" t="s">
        <v>91</v>
      </c>
      <c r="D61" s="259" t="s">
        <v>517</v>
      </c>
      <c r="E61" s="282">
        <v>506100</v>
      </c>
      <c r="F61" s="260" t="s">
        <v>683</v>
      </c>
      <c r="G61" s="283">
        <v>100000</v>
      </c>
      <c r="H61" s="568"/>
      <c r="I61" s="442">
        <v>98300</v>
      </c>
      <c r="J61" s="269">
        <v>43646</v>
      </c>
      <c r="K61" s="277"/>
      <c r="L61" s="278"/>
      <c r="M61" s="278"/>
    </row>
    <row r="62" spans="1:13" s="270" customFormat="1" ht="38.25" x14ac:dyDescent="0.2">
      <c r="A62" s="268" t="s">
        <v>7</v>
      </c>
      <c r="B62" s="279">
        <v>2012</v>
      </c>
      <c r="C62" s="281" t="s">
        <v>943</v>
      </c>
      <c r="D62" s="259" t="s">
        <v>459</v>
      </c>
      <c r="E62" s="282">
        <v>80000</v>
      </c>
      <c r="F62" s="260" t="s">
        <v>48</v>
      </c>
      <c r="G62" s="283">
        <v>60000</v>
      </c>
      <c r="H62" s="569" t="s">
        <v>936</v>
      </c>
      <c r="I62" s="442">
        <v>25959.74</v>
      </c>
      <c r="J62" s="261">
        <v>43281</v>
      </c>
      <c r="K62" s="277"/>
      <c r="L62" s="278"/>
      <c r="M62" s="278"/>
    </row>
    <row r="63" spans="1:13" s="270" customFormat="1" ht="38.25" x14ac:dyDescent="0.2">
      <c r="A63" s="268" t="s">
        <v>7</v>
      </c>
      <c r="B63" s="279">
        <v>2012</v>
      </c>
      <c r="C63" s="281" t="s">
        <v>49</v>
      </c>
      <c r="D63" s="259" t="s">
        <v>944</v>
      </c>
      <c r="E63" s="282">
        <v>562500</v>
      </c>
      <c r="F63" s="260" t="s">
        <v>518</v>
      </c>
      <c r="G63" s="283">
        <v>108500</v>
      </c>
      <c r="H63" s="568"/>
      <c r="I63" s="442">
        <v>108500</v>
      </c>
      <c r="J63" s="529">
        <v>43281</v>
      </c>
      <c r="K63" s="277"/>
      <c r="L63" s="278"/>
      <c r="M63" s="278"/>
    </row>
    <row r="64" spans="1:13" s="270" customFormat="1" ht="51" x14ac:dyDescent="0.2">
      <c r="A64" s="268" t="s">
        <v>7</v>
      </c>
      <c r="B64" s="279">
        <v>2012</v>
      </c>
      <c r="C64" s="281" t="s">
        <v>802</v>
      </c>
      <c r="D64" s="259" t="s">
        <v>383</v>
      </c>
      <c r="E64" s="282">
        <v>3612516</v>
      </c>
      <c r="F64" s="260" t="s">
        <v>684</v>
      </c>
      <c r="G64" s="283">
        <v>396516</v>
      </c>
      <c r="H64" s="569" t="s">
        <v>803</v>
      </c>
      <c r="I64" s="442" t="s">
        <v>46</v>
      </c>
      <c r="J64" s="269" t="s">
        <v>17</v>
      </c>
      <c r="K64" s="277"/>
      <c r="L64" s="278"/>
      <c r="M64" s="278"/>
    </row>
    <row r="65" spans="1:13" s="270" customFormat="1" ht="38.25" x14ac:dyDescent="0.2">
      <c r="A65" s="268" t="s">
        <v>7</v>
      </c>
      <c r="B65" s="279">
        <v>2012</v>
      </c>
      <c r="C65" s="281" t="s">
        <v>50</v>
      </c>
      <c r="D65" s="259" t="s">
        <v>519</v>
      </c>
      <c r="E65" s="282">
        <v>10891016</v>
      </c>
      <c r="F65" s="260" t="s">
        <v>685</v>
      </c>
      <c r="G65" s="283">
        <v>753750</v>
      </c>
      <c r="H65" s="568"/>
      <c r="I65" s="442">
        <v>753750</v>
      </c>
      <c r="J65" s="269">
        <v>42311</v>
      </c>
      <c r="K65" s="277"/>
      <c r="L65" s="278"/>
      <c r="M65" s="278"/>
    </row>
    <row r="66" spans="1:13" s="270" customFormat="1" ht="38.25" x14ac:dyDescent="0.2">
      <c r="A66" s="268" t="s">
        <v>7</v>
      </c>
      <c r="B66" s="279">
        <v>2012</v>
      </c>
      <c r="C66" s="281" t="s">
        <v>51</v>
      </c>
      <c r="D66" s="259" t="s">
        <v>384</v>
      </c>
      <c r="E66" s="282">
        <v>165500</v>
      </c>
      <c r="F66" s="260" t="s">
        <v>379</v>
      </c>
      <c r="G66" s="283">
        <v>115850</v>
      </c>
      <c r="H66" s="568"/>
      <c r="I66" s="442">
        <v>115850</v>
      </c>
      <c r="J66" s="269">
        <v>41555</v>
      </c>
    </row>
    <row r="67" spans="1:13" s="270" customFormat="1" ht="38.25" x14ac:dyDescent="0.2">
      <c r="A67" s="268" t="s">
        <v>7</v>
      </c>
      <c r="B67" s="279">
        <v>2012</v>
      </c>
      <c r="C67" s="281" t="s">
        <v>804</v>
      </c>
      <c r="D67" s="259" t="s">
        <v>686</v>
      </c>
      <c r="E67" s="282">
        <v>586570</v>
      </c>
      <c r="F67" s="260" t="s">
        <v>52</v>
      </c>
      <c r="G67" s="283">
        <v>439920</v>
      </c>
      <c r="H67" s="569" t="s">
        <v>805</v>
      </c>
      <c r="I67" s="442">
        <v>439920</v>
      </c>
      <c r="J67" s="261">
        <v>42551</v>
      </c>
      <c r="K67" s="446" t="s">
        <v>486</v>
      </c>
      <c r="L67" s="278"/>
      <c r="M67" s="278"/>
    </row>
    <row r="68" spans="1:13" s="270" customFormat="1" ht="38.25" x14ac:dyDescent="0.2">
      <c r="A68" s="268" t="s">
        <v>7</v>
      </c>
      <c r="B68" s="279">
        <v>2012</v>
      </c>
      <c r="C68" s="281" t="s">
        <v>53</v>
      </c>
      <c r="D68" s="259" t="s">
        <v>520</v>
      </c>
      <c r="E68" s="282">
        <v>626349</v>
      </c>
      <c r="F68" s="260" t="s">
        <v>687</v>
      </c>
      <c r="G68" s="283">
        <v>211500</v>
      </c>
      <c r="H68" s="568"/>
      <c r="I68" s="442">
        <v>211500</v>
      </c>
      <c r="J68" s="269">
        <v>42550</v>
      </c>
      <c r="K68" s="284"/>
      <c r="L68" s="284"/>
      <c r="M68" s="284"/>
    </row>
    <row r="69" spans="1:13" s="270" customFormat="1" ht="38.25" x14ac:dyDescent="0.2">
      <c r="A69" s="268" t="s">
        <v>7</v>
      </c>
      <c r="B69" s="279">
        <v>2012</v>
      </c>
      <c r="C69" s="281" t="s">
        <v>54</v>
      </c>
      <c r="D69" s="259" t="s">
        <v>459</v>
      </c>
      <c r="E69" s="282">
        <v>350000</v>
      </c>
      <c r="F69" s="260" t="s">
        <v>666</v>
      </c>
      <c r="G69" s="283">
        <v>262500</v>
      </c>
      <c r="H69" s="568"/>
      <c r="I69" s="442">
        <v>262500</v>
      </c>
      <c r="J69" s="269">
        <v>41988</v>
      </c>
    </row>
    <row r="70" spans="1:13" s="270" customFormat="1" ht="38.25" x14ac:dyDescent="0.2">
      <c r="A70" s="268" t="s">
        <v>7</v>
      </c>
      <c r="B70" s="279">
        <v>2012</v>
      </c>
      <c r="C70" s="281" t="s">
        <v>55</v>
      </c>
      <c r="D70" s="259" t="s">
        <v>688</v>
      </c>
      <c r="E70" s="282">
        <v>2400000</v>
      </c>
      <c r="F70" s="260" t="s">
        <v>56</v>
      </c>
      <c r="G70" s="283">
        <v>181464</v>
      </c>
      <c r="H70" s="568"/>
      <c r="I70" s="442">
        <v>181464</v>
      </c>
      <c r="J70" s="261">
        <v>42551</v>
      </c>
    </row>
    <row r="71" spans="1:13" s="270" customFormat="1" ht="38.25" x14ac:dyDescent="0.2">
      <c r="A71" s="268" t="s">
        <v>7</v>
      </c>
      <c r="B71" s="279">
        <v>2012</v>
      </c>
      <c r="C71" s="281" t="s">
        <v>57</v>
      </c>
      <c r="D71" s="259" t="s">
        <v>460</v>
      </c>
      <c r="E71" s="282">
        <v>880576</v>
      </c>
      <c r="F71" s="260" t="s">
        <v>689</v>
      </c>
      <c r="G71" s="283">
        <v>220000</v>
      </c>
      <c r="H71" s="568"/>
      <c r="I71" s="442">
        <v>13050.94</v>
      </c>
      <c r="J71" s="529">
        <v>43646</v>
      </c>
    </row>
    <row r="72" spans="1:13" s="270" customFormat="1" ht="38.25" x14ac:dyDescent="0.2">
      <c r="A72" s="268" t="s">
        <v>7</v>
      </c>
      <c r="B72" s="279">
        <v>2012</v>
      </c>
      <c r="C72" s="281" t="s">
        <v>58</v>
      </c>
      <c r="D72" s="259" t="s">
        <v>521</v>
      </c>
      <c r="E72" s="282">
        <v>160000</v>
      </c>
      <c r="F72" s="260" t="s">
        <v>59</v>
      </c>
      <c r="G72" s="283">
        <v>120000</v>
      </c>
      <c r="H72" s="568"/>
      <c r="I72" s="442">
        <v>120000</v>
      </c>
      <c r="J72" s="269">
        <v>42067</v>
      </c>
    </row>
    <row r="73" spans="1:13" s="270" customFormat="1" x14ac:dyDescent="0.2">
      <c r="A73" s="272"/>
      <c r="B73" s="272"/>
      <c r="C73" s="272"/>
      <c r="D73" s="272"/>
      <c r="E73" s="285" t="e">
        <f>SUM(#REF!)</f>
        <v>#REF!</v>
      </c>
      <c r="F73" s="272"/>
      <c r="G73" s="273">
        <f>SUM(G61:G72)</f>
        <v>2970000</v>
      </c>
      <c r="H73" s="280"/>
      <c r="I73" s="272"/>
      <c r="J73" s="272"/>
    </row>
    <row r="74" spans="1:13" s="270" customFormat="1" ht="38.25" x14ac:dyDescent="0.2">
      <c r="A74" s="268" t="s">
        <v>7</v>
      </c>
      <c r="B74" s="279">
        <v>2010</v>
      </c>
      <c r="C74" s="571" t="s">
        <v>945</v>
      </c>
      <c r="D74" s="572" t="s">
        <v>690</v>
      </c>
      <c r="E74" s="573">
        <v>7245382</v>
      </c>
      <c r="F74" s="571" t="s">
        <v>39</v>
      </c>
      <c r="G74" s="574">
        <v>750000</v>
      </c>
      <c r="H74" s="575" t="s">
        <v>790</v>
      </c>
      <c r="I74" s="573">
        <v>750000</v>
      </c>
      <c r="J74" s="576">
        <v>42551</v>
      </c>
      <c r="K74" s="270" t="s">
        <v>486</v>
      </c>
    </row>
    <row r="75" spans="1:13" s="270" customFormat="1" ht="38.25" x14ac:dyDescent="0.2">
      <c r="A75" s="268" t="s">
        <v>7</v>
      </c>
      <c r="B75" s="279">
        <v>2010</v>
      </c>
      <c r="C75" s="260" t="s">
        <v>38</v>
      </c>
      <c r="D75" s="259" t="s">
        <v>385</v>
      </c>
      <c r="E75" s="442">
        <v>2658938</v>
      </c>
      <c r="F75" s="260" t="s">
        <v>691</v>
      </c>
      <c r="G75" s="443">
        <v>250000</v>
      </c>
      <c r="H75" s="568"/>
      <c r="I75" s="442">
        <v>250000</v>
      </c>
      <c r="J75" s="269">
        <v>41182</v>
      </c>
    </row>
    <row r="76" spans="1:13" s="270" customFormat="1" ht="38.25" x14ac:dyDescent="0.2">
      <c r="A76" s="268" t="s">
        <v>7</v>
      </c>
      <c r="B76" s="279">
        <v>2010</v>
      </c>
      <c r="C76" s="260" t="s">
        <v>806</v>
      </c>
      <c r="D76" s="259" t="s">
        <v>83</v>
      </c>
      <c r="E76" s="442">
        <f>1426504.65+511493.03</f>
        <v>1937997.68</v>
      </c>
      <c r="F76" s="260" t="s">
        <v>692</v>
      </c>
      <c r="G76" s="443">
        <v>73474</v>
      </c>
      <c r="H76" s="569" t="s">
        <v>807</v>
      </c>
      <c r="I76" s="442">
        <v>73474</v>
      </c>
      <c r="J76" s="269">
        <v>42016</v>
      </c>
    </row>
    <row r="77" spans="1:13" s="270" customFormat="1" ht="38.25" x14ac:dyDescent="0.2">
      <c r="A77" s="268" t="s">
        <v>7</v>
      </c>
      <c r="B77" s="279">
        <v>2010</v>
      </c>
      <c r="C77" s="260" t="s">
        <v>37</v>
      </c>
      <c r="D77" s="259" t="s">
        <v>93</v>
      </c>
      <c r="E77" s="442">
        <v>350000</v>
      </c>
      <c r="F77" s="260" t="s">
        <v>666</v>
      </c>
      <c r="G77" s="443">
        <v>262500</v>
      </c>
      <c r="H77" s="568"/>
      <c r="I77" s="442">
        <v>262500</v>
      </c>
      <c r="J77" s="269">
        <v>41246</v>
      </c>
    </row>
    <row r="78" spans="1:13" s="270" customFormat="1" ht="38.25" x14ac:dyDescent="0.2">
      <c r="A78" s="268" t="s">
        <v>7</v>
      </c>
      <c r="B78" s="279">
        <v>2010</v>
      </c>
      <c r="C78" s="260" t="s">
        <v>808</v>
      </c>
      <c r="D78" s="259" t="s">
        <v>83</v>
      </c>
      <c r="E78" s="442">
        <v>375000</v>
      </c>
      <c r="F78" s="260" t="s">
        <v>36</v>
      </c>
      <c r="G78" s="443">
        <v>281000</v>
      </c>
      <c r="H78" s="569" t="s">
        <v>809</v>
      </c>
      <c r="I78" s="442">
        <v>180059.72</v>
      </c>
      <c r="J78" s="269">
        <v>41127</v>
      </c>
    </row>
    <row r="79" spans="1:13" s="270" customFormat="1" ht="38.25" x14ac:dyDescent="0.2">
      <c r="A79" s="268" t="s">
        <v>7</v>
      </c>
      <c r="B79" s="279">
        <v>2010</v>
      </c>
      <c r="C79" s="260" t="s">
        <v>810</v>
      </c>
      <c r="D79" s="259" t="s">
        <v>386</v>
      </c>
      <c r="E79" s="442">
        <v>1600000</v>
      </c>
      <c r="F79" s="260" t="s">
        <v>35</v>
      </c>
      <c r="G79" s="443">
        <v>128000</v>
      </c>
      <c r="H79" s="569" t="s">
        <v>807</v>
      </c>
      <c r="I79" s="442">
        <v>128000</v>
      </c>
      <c r="J79" s="269">
        <v>41493</v>
      </c>
    </row>
    <row r="80" spans="1:13" s="270" customFormat="1" ht="38.25" x14ac:dyDescent="0.2">
      <c r="A80" s="268" t="s">
        <v>7</v>
      </c>
      <c r="B80" s="279">
        <v>2010</v>
      </c>
      <c r="C80" s="260" t="s">
        <v>811</v>
      </c>
      <c r="D80" s="259" t="s">
        <v>388</v>
      </c>
      <c r="E80" s="442">
        <v>666667</v>
      </c>
      <c r="F80" s="260" t="s">
        <v>34</v>
      </c>
      <c r="G80" s="443">
        <v>500000</v>
      </c>
      <c r="H80" s="569" t="s">
        <v>812</v>
      </c>
      <c r="I80" s="442">
        <v>500000</v>
      </c>
      <c r="J80" s="269">
        <v>41148</v>
      </c>
    </row>
    <row r="81" spans="1:10" s="270" customFormat="1" ht="38.25" x14ac:dyDescent="0.2">
      <c r="A81" s="268" t="s">
        <v>7</v>
      </c>
      <c r="B81" s="279">
        <v>2010</v>
      </c>
      <c r="C81" s="260" t="s">
        <v>813</v>
      </c>
      <c r="D81" s="259" t="s">
        <v>387</v>
      </c>
      <c r="E81" s="442">
        <v>1000000</v>
      </c>
      <c r="F81" s="260" t="s">
        <v>33</v>
      </c>
      <c r="G81" s="443">
        <v>750000</v>
      </c>
      <c r="H81" s="569" t="s">
        <v>812</v>
      </c>
      <c r="I81" s="442">
        <v>750000</v>
      </c>
      <c r="J81" s="269">
        <v>41379</v>
      </c>
    </row>
    <row r="82" spans="1:10" s="270" customFormat="1" ht="204" x14ac:dyDescent="0.2">
      <c r="A82" s="268" t="s">
        <v>7</v>
      </c>
      <c r="B82" s="279">
        <v>2010</v>
      </c>
      <c r="C82" s="260" t="s">
        <v>814</v>
      </c>
      <c r="D82" s="259" t="s">
        <v>86</v>
      </c>
      <c r="E82" s="442">
        <v>6655696</v>
      </c>
      <c r="F82" s="260" t="s">
        <v>92</v>
      </c>
      <c r="G82" s="443">
        <v>484995</v>
      </c>
      <c r="H82" s="569" t="s">
        <v>807</v>
      </c>
      <c r="I82" s="442">
        <v>460745.25</v>
      </c>
      <c r="J82" s="269">
        <v>41144</v>
      </c>
    </row>
    <row r="83" spans="1:10" s="270" customFormat="1" ht="38.25" x14ac:dyDescent="0.2">
      <c r="A83" s="268" t="s">
        <v>7</v>
      </c>
      <c r="B83" s="279">
        <v>2010</v>
      </c>
      <c r="C83" s="260" t="s">
        <v>32</v>
      </c>
      <c r="D83" s="259" t="s">
        <v>60</v>
      </c>
      <c r="E83" s="442">
        <v>1203795</v>
      </c>
      <c r="F83" s="260" t="s">
        <v>693</v>
      </c>
      <c r="G83" s="443">
        <v>525000</v>
      </c>
      <c r="H83" s="568"/>
      <c r="I83" s="442">
        <v>525000</v>
      </c>
      <c r="J83" s="269">
        <v>40378</v>
      </c>
    </row>
    <row r="84" spans="1:10" s="270" customFormat="1" ht="38.25" x14ac:dyDescent="0.2">
      <c r="A84" s="268" t="s">
        <v>7</v>
      </c>
      <c r="B84" s="279">
        <v>2010</v>
      </c>
      <c r="C84" s="260" t="s">
        <v>815</v>
      </c>
      <c r="D84" s="259" t="s">
        <v>79</v>
      </c>
      <c r="E84" s="442">
        <v>143028</v>
      </c>
      <c r="F84" s="260" t="s">
        <v>31</v>
      </c>
      <c r="G84" s="443">
        <v>107271</v>
      </c>
      <c r="H84" s="569" t="s">
        <v>816</v>
      </c>
      <c r="I84" s="442">
        <v>107271</v>
      </c>
      <c r="J84" s="269">
        <v>41058</v>
      </c>
    </row>
    <row r="85" spans="1:10" s="270" customFormat="1" ht="38.25" x14ac:dyDescent="0.2">
      <c r="A85" s="268" t="s">
        <v>7</v>
      </c>
      <c r="B85" s="279">
        <v>2010</v>
      </c>
      <c r="C85" s="260" t="s">
        <v>30</v>
      </c>
      <c r="D85" s="259" t="s">
        <v>80</v>
      </c>
      <c r="E85" s="442">
        <v>782722</v>
      </c>
      <c r="F85" s="260" t="s">
        <v>694</v>
      </c>
      <c r="G85" s="443">
        <v>300000</v>
      </c>
      <c r="H85" s="568"/>
      <c r="I85" s="442">
        <v>300000</v>
      </c>
      <c r="J85" s="269">
        <v>40973</v>
      </c>
    </row>
    <row r="86" spans="1:10" s="270" customFormat="1" ht="38.25" x14ac:dyDescent="0.2">
      <c r="A86" s="268" t="s">
        <v>7</v>
      </c>
      <c r="B86" s="279">
        <v>2010</v>
      </c>
      <c r="C86" s="260" t="s">
        <v>461</v>
      </c>
      <c r="D86" s="259" t="s">
        <v>81</v>
      </c>
      <c r="E86" s="442">
        <v>105000</v>
      </c>
      <c r="F86" s="260" t="s">
        <v>695</v>
      </c>
      <c r="G86" s="443">
        <v>75000</v>
      </c>
      <c r="H86" s="568"/>
      <c r="I86" s="442">
        <v>75000</v>
      </c>
      <c r="J86" s="269">
        <v>41092</v>
      </c>
    </row>
    <row r="87" spans="1:10" s="270" customFormat="1" x14ac:dyDescent="0.2">
      <c r="A87" s="272"/>
      <c r="B87" s="272"/>
      <c r="C87" s="272"/>
      <c r="D87" s="272"/>
      <c r="E87" s="285">
        <f>SUM(E74:E86)</f>
        <v>24724225.68</v>
      </c>
      <c r="F87" s="272"/>
      <c r="G87" s="273">
        <f>SUM(G74:G86)</f>
        <v>4487240</v>
      </c>
      <c r="H87" s="280"/>
      <c r="I87" s="272"/>
      <c r="J87" s="272"/>
    </row>
    <row r="88" spans="1:10" s="270" customFormat="1" ht="38.25" x14ac:dyDescent="0.2">
      <c r="A88" s="268" t="s">
        <v>7</v>
      </c>
      <c r="B88" s="279">
        <v>2009</v>
      </c>
      <c r="C88" s="260" t="s">
        <v>817</v>
      </c>
      <c r="D88" s="259" t="s">
        <v>63</v>
      </c>
      <c r="E88" s="286">
        <v>133333</v>
      </c>
      <c r="F88" s="260" t="s">
        <v>29</v>
      </c>
      <c r="G88" s="443">
        <v>100000</v>
      </c>
      <c r="H88" s="569" t="s">
        <v>812</v>
      </c>
      <c r="I88" s="442">
        <v>100000</v>
      </c>
      <c r="J88" s="269">
        <v>43281</v>
      </c>
    </row>
    <row r="89" spans="1:10" s="270" customFormat="1" ht="38.25" x14ac:dyDescent="0.2">
      <c r="A89" s="268" t="s">
        <v>7</v>
      </c>
      <c r="B89" s="279">
        <v>2009</v>
      </c>
      <c r="C89" s="260" t="s">
        <v>818</v>
      </c>
      <c r="D89" s="259" t="s">
        <v>61</v>
      </c>
      <c r="E89" s="286">
        <v>40000</v>
      </c>
      <c r="F89" s="260" t="s">
        <v>6</v>
      </c>
      <c r="G89" s="443">
        <v>30000</v>
      </c>
      <c r="H89" s="569" t="s">
        <v>812</v>
      </c>
      <c r="I89" s="442">
        <v>30000</v>
      </c>
      <c r="J89" s="287">
        <v>40441</v>
      </c>
    </row>
    <row r="90" spans="1:10" s="270" customFormat="1" ht="38.25" x14ac:dyDescent="0.2">
      <c r="A90" s="268" t="s">
        <v>7</v>
      </c>
      <c r="B90" s="279">
        <v>2009</v>
      </c>
      <c r="C90" s="260" t="s">
        <v>819</v>
      </c>
      <c r="D90" s="259" t="s">
        <v>84</v>
      </c>
      <c r="E90" s="286">
        <v>653550</v>
      </c>
      <c r="F90" s="260" t="s">
        <v>696</v>
      </c>
      <c r="G90" s="443">
        <v>490162</v>
      </c>
      <c r="H90" s="569" t="s">
        <v>803</v>
      </c>
      <c r="I90" s="442">
        <v>408425.41</v>
      </c>
      <c r="J90" s="287">
        <v>41191</v>
      </c>
    </row>
    <row r="91" spans="1:10" s="270" customFormat="1" ht="38.25" x14ac:dyDescent="0.2">
      <c r="A91" s="268" t="s">
        <v>7</v>
      </c>
      <c r="B91" s="279">
        <v>2009</v>
      </c>
      <c r="C91" s="260" t="s">
        <v>28</v>
      </c>
      <c r="D91" s="259" t="s">
        <v>388</v>
      </c>
      <c r="E91" s="286">
        <v>1476000</v>
      </c>
      <c r="F91" s="260" t="s">
        <v>6</v>
      </c>
      <c r="G91" s="443">
        <v>800000</v>
      </c>
      <c r="H91" s="568"/>
      <c r="I91" s="442">
        <v>800000</v>
      </c>
      <c r="J91" s="287">
        <v>41157</v>
      </c>
    </row>
    <row r="92" spans="1:10" s="270" customFormat="1" ht="38.25" x14ac:dyDescent="0.2">
      <c r="A92" s="268" t="s">
        <v>7</v>
      </c>
      <c r="B92" s="279">
        <v>2009</v>
      </c>
      <c r="C92" s="260" t="s">
        <v>820</v>
      </c>
      <c r="D92" s="259" t="s">
        <v>62</v>
      </c>
      <c r="E92" s="286">
        <v>133334</v>
      </c>
      <c r="F92" s="260" t="s">
        <v>6</v>
      </c>
      <c r="G92" s="443">
        <v>100000</v>
      </c>
      <c r="H92" s="569" t="s">
        <v>812</v>
      </c>
      <c r="I92" s="442">
        <v>100000</v>
      </c>
      <c r="J92" s="287">
        <v>40763</v>
      </c>
    </row>
    <row r="93" spans="1:10" s="270" customFormat="1" ht="38.25" x14ac:dyDescent="0.2">
      <c r="A93" s="268" t="s">
        <v>7</v>
      </c>
      <c r="B93" s="279">
        <v>2009</v>
      </c>
      <c r="C93" s="260" t="s">
        <v>27</v>
      </c>
      <c r="D93" s="259" t="s">
        <v>63</v>
      </c>
      <c r="E93" s="286">
        <v>469000</v>
      </c>
      <c r="F93" s="260" t="s">
        <v>697</v>
      </c>
      <c r="G93" s="443">
        <v>351750</v>
      </c>
      <c r="H93" s="568"/>
      <c r="I93" s="442">
        <v>351750</v>
      </c>
      <c r="J93" s="287">
        <v>40294</v>
      </c>
    </row>
    <row r="94" spans="1:10" s="270" customFormat="1" ht="38.25" x14ac:dyDescent="0.2">
      <c r="A94" s="268" t="s">
        <v>7</v>
      </c>
      <c r="B94" s="279">
        <v>2009</v>
      </c>
      <c r="C94" s="260" t="s">
        <v>821</v>
      </c>
      <c r="D94" s="259" t="s">
        <v>389</v>
      </c>
      <c r="E94" s="286">
        <v>1000000</v>
      </c>
      <c r="F94" s="260" t="s">
        <v>698</v>
      </c>
      <c r="G94" s="443">
        <v>750000</v>
      </c>
      <c r="H94" s="569" t="s">
        <v>812</v>
      </c>
      <c r="I94" s="442">
        <v>750000</v>
      </c>
      <c r="J94" s="287">
        <v>41379</v>
      </c>
    </row>
    <row r="95" spans="1:10" s="270" customFormat="1" ht="38.25" x14ac:dyDescent="0.2">
      <c r="A95" s="268" t="s">
        <v>7</v>
      </c>
      <c r="B95" s="279">
        <v>2009</v>
      </c>
      <c r="C95" s="260" t="s">
        <v>822</v>
      </c>
      <c r="D95" s="259" t="s">
        <v>90</v>
      </c>
      <c r="E95" s="286">
        <v>71000</v>
      </c>
      <c r="F95" s="260" t="s">
        <v>10</v>
      </c>
      <c r="G95" s="443">
        <v>40000</v>
      </c>
      <c r="H95" s="569" t="s">
        <v>803</v>
      </c>
      <c r="I95" s="442" t="s">
        <v>46</v>
      </c>
      <c r="J95" s="287" t="s">
        <v>17</v>
      </c>
    </row>
    <row r="96" spans="1:10" s="270" customFormat="1" ht="38.25" x14ac:dyDescent="0.2">
      <c r="A96" s="268" t="s">
        <v>7</v>
      </c>
      <c r="B96" s="279">
        <v>2009</v>
      </c>
      <c r="C96" s="260" t="s">
        <v>823</v>
      </c>
      <c r="D96" s="259" t="s">
        <v>26</v>
      </c>
      <c r="E96" s="286">
        <v>133333</v>
      </c>
      <c r="F96" s="260" t="s">
        <v>6</v>
      </c>
      <c r="G96" s="443">
        <v>100000</v>
      </c>
      <c r="H96" s="569" t="s">
        <v>812</v>
      </c>
      <c r="I96" s="442">
        <v>0</v>
      </c>
      <c r="J96" s="269">
        <v>43646</v>
      </c>
    </row>
    <row r="97" spans="1:10" s="270" customFormat="1" ht="38.25" x14ac:dyDescent="0.2">
      <c r="A97" s="268" t="s">
        <v>7</v>
      </c>
      <c r="B97" s="279">
        <v>2009</v>
      </c>
      <c r="C97" s="260" t="s">
        <v>824</v>
      </c>
      <c r="D97" s="259" t="s">
        <v>946</v>
      </c>
      <c r="E97" s="286">
        <v>133333</v>
      </c>
      <c r="F97" s="260" t="s">
        <v>699</v>
      </c>
      <c r="G97" s="443">
        <v>100000</v>
      </c>
      <c r="H97" s="569" t="s">
        <v>812</v>
      </c>
      <c r="I97" s="442">
        <v>100000</v>
      </c>
      <c r="J97" s="269">
        <v>43281</v>
      </c>
    </row>
    <row r="98" spans="1:10" s="270" customFormat="1" ht="38.25" x14ac:dyDescent="0.2">
      <c r="A98" s="268" t="s">
        <v>7</v>
      </c>
      <c r="B98" s="279">
        <v>2009</v>
      </c>
      <c r="C98" s="260" t="s">
        <v>24</v>
      </c>
      <c r="D98" s="259" t="s">
        <v>64</v>
      </c>
      <c r="E98" s="286">
        <v>443750</v>
      </c>
      <c r="F98" s="260" t="s">
        <v>700</v>
      </c>
      <c r="G98" s="443">
        <v>138088</v>
      </c>
      <c r="H98" s="568"/>
      <c r="I98" s="442">
        <v>138088</v>
      </c>
      <c r="J98" s="287">
        <v>40469</v>
      </c>
    </row>
    <row r="99" spans="1:10" s="270" customFormat="1" x14ac:dyDescent="0.2">
      <c r="A99" s="288"/>
      <c r="B99" s="289"/>
      <c r="C99" s="289"/>
      <c r="D99" s="290"/>
      <c r="E99" s="291">
        <f>SUM(E88:E98)</f>
        <v>4686633</v>
      </c>
      <c r="F99" s="289"/>
      <c r="G99" s="292">
        <f>SUM(G88:G98)</f>
        <v>3000000</v>
      </c>
      <c r="H99" s="293"/>
      <c r="I99" s="294"/>
      <c r="J99" s="295"/>
    </row>
    <row r="100" spans="1:10" s="270" customFormat="1" ht="38.25" x14ac:dyDescent="0.2">
      <c r="A100" s="268" t="s">
        <v>7</v>
      </c>
      <c r="B100" s="279">
        <v>2008</v>
      </c>
      <c r="C100" s="260" t="s">
        <v>23</v>
      </c>
      <c r="D100" s="259" t="s">
        <v>390</v>
      </c>
      <c r="E100" s="286">
        <v>3415960</v>
      </c>
      <c r="F100" s="260" t="s">
        <v>701</v>
      </c>
      <c r="G100" s="443">
        <v>565960</v>
      </c>
      <c r="H100" s="568"/>
      <c r="I100" s="442">
        <v>565960</v>
      </c>
      <c r="J100" s="287">
        <v>41121</v>
      </c>
    </row>
    <row r="101" spans="1:10" s="270" customFormat="1" ht="38.25" x14ac:dyDescent="0.2">
      <c r="A101" s="268" t="s">
        <v>7</v>
      </c>
      <c r="B101" s="279">
        <v>2008</v>
      </c>
      <c r="C101" s="260" t="s">
        <v>825</v>
      </c>
      <c r="D101" s="259" t="s">
        <v>61</v>
      </c>
      <c r="E101" s="286">
        <v>40000</v>
      </c>
      <c r="F101" s="260" t="s">
        <v>22</v>
      </c>
      <c r="G101" s="443">
        <v>30000</v>
      </c>
      <c r="H101" s="569" t="s">
        <v>812</v>
      </c>
      <c r="I101" s="442">
        <v>30000</v>
      </c>
      <c r="J101" s="287">
        <v>40441</v>
      </c>
    </row>
    <row r="102" spans="1:10" s="270" customFormat="1" ht="38.25" x14ac:dyDescent="0.2">
      <c r="A102" s="268" t="s">
        <v>7</v>
      </c>
      <c r="B102" s="279">
        <v>2008</v>
      </c>
      <c r="C102" s="260" t="s">
        <v>826</v>
      </c>
      <c r="D102" s="259" t="s">
        <v>82</v>
      </c>
      <c r="E102" s="286">
        <v>266667</v>
      </c>
      <c r="F102" s="260" t="s">
        <v>6</v>
      </c>
      <c r="G102" s="443">
        <v>200000</v>
      </c>
      <c r="H102" s="569" t="s">
        <v>812</v>
      </c>
      <c r="I102" s="442">
        <v>200000</v>
      </c>
      <c r="J102" s="287">
        <v>41058</v>
      </c>
    </row>
    <row r="103" spans="1:10" s="270" customFormat="1" ht="38.25" x14ac:dyDescent="0.2">
      <c r="A103" s="268" t="s">
        <v>7</v>
      </c>
      <c r="B103" s="279">
        <v>2008</v>
      </c>
      <c r="C103" s="260" t="s">
        <v>21</v>
      </c>
      <c r="D103" s="259" t="s">
        <v>462</v>
      </c>
      <c r="E103" s="286">
        <v>1937254</v>
      </c>
      <c r="F103" s="260" t="s">
        <v>6</v>
      </c>
      <c r="G103" s="443">
        <v>100000</v>
      </c>
      <c r="H103" s="568"/>
      <c r="I103" s="442">
        <v>100000</v>
      </c>
      <c r="J103" s="287">
        <v>41638</v>
      </c>
    </row>
    <row r="104" spans="1:10" s="270" customFormat="1" ht="38.25" x14ac:dyDescent="0.2">
      <c r="A104" s="268" t="s">
        <v>7</v>
      </c>
      <c r="B104" s="279">
        <v>2008</v>
      </c>
      <c r="C104" s="260" t="s">
        <v>827</v>
      </c>
      <c r="D104" s="259" t="s">
        <v>947</v>
      </c>
      <c r="E104" s="286">
        <v>246667</v>
      </c>
      <c r="F104" s="260" t="s">
        <v>6</v>
      </c>
      <c r="G104" s="443">
        <v>185000</v>
      </c>
      <c r="H104" s="569" t="s">
        <v>812</v>
      </c>
      <c r="I104" s="442">
        <v>182908</v>
      </c>
      <c r="J104" s="269">
        <v>43281</v>
      </c>
    </row>
    <row r="105" spans="1:10" s="270" customFormat="1" ht="25.5" x14ac:dyDescent="0.2">
      <c r="A105" s="268" t="s">
        <v>7</v>
      </c>
      <c r="B105" s="279">
        <v>2008</v>
      </c>
      <c r="C105" s="260" t="s">
        <v>20</v>
      </c>
      <c r="D105" s="259" t="s">
        <v>702</v>
      </c>
      <c r="E105" s="286">
        <v>66667</v>
      </c>
      <c r="F105" s="260" t="s">
        <v>6</v>
      </c>
      <c r="G105" s="443">
        <v>50000</v>
      </c>
      <c r="H105" s="568"/>
      <c r="I105" s="442">
        <v>50000</v>
      </c>
      <c r="J105" s="287">
        <v>40735</v>
      </c>
    </row>
    <row r="106" spans="1:10" s="270" customFormat="1" ht="38.25" x14ac:dyDescent="0.2">
      <c r="A106" s="268" t="s">
        <v>7</v>
      </c>
      <c r="B106" s="279">
        <v>2008</v>
      </c>
      <c r="C106" s="260" t="s">
        <v>19</v>
      </c>
      <c r="D106" s="259" t="s">
        <v>65</v>
      </c>
      <c r="E106" s="286">
        <v>549605</v>
      </c>
      <c r="F106" s="260" t="s">
        <v>6</v>
      </c>
      <c r="G106" s="443">
        <v>69300</v>
      </c>
      <c r="H106" s="568"/>
      <c r="I106" s="442">
        <v>69300</v>
      </c>
      <c r="J106" s="287">
        <v>40763</v>
      </c>
    </row>
    <row r="107" spans="1:10" s="270" customFormat="1" ht="51" x14ac:dyDescent="0.2">
      <c r="A107" s="268" t="s">
        <v>7</v>
      </c>
      <c r="B107" s="279">
        <v>2008</v>
      </c>
      <c r="C107" s="260" t="s">
        <v>828</v>
      </c>
      <c r="D107" s="259" t="s">
        <v>18</v>
      </c>
      <c r="E107" s="286">
        <v>1227779</v>
      </c>
      <c r="F107" s="260" t="s">
        <v>6</v>
      </c>
      <c r="G107" s="443">
        <v>799740</v>
      </c>
      <c r="H107" s="569" t="s">
        <v>807</v>
      </c>
      <c r="I107" s="442" t="s">
        <v>46</v>
      </c>
      <c r="J107" s="287" t="s">
        <v>17</v>
      </c>
    </row>
    <row r="108" spans="1:10" s="270" customFormat="1" x14ac:dyDescent="0.2">
      <c r="A108" s="288"/>
      <c r="B108" s="289"/>
      <c r="C108" s="289"/>
      <c r="D108" s="290"/>
      <c r="E108" s="291">
        <f>SUM(E100:E107)</f>
        <v>7750599</v>
      </c>
      <c r="F108" s="289"/>
      <c r="G108" s="292">
        <f>SUM(G100:G107)</f>
        <v>2000000</v>
      </c>
      <c r="H108" s="293"/>
      <c r="I108" s="447">
        <v>0</v>
      </c>
      <c r="J108" s="295"/>
    </row>
    <row r="109" spans="1:10" s="270" customFormat="1" ht="38.25" x14ac:dyDescent="0.2">
      <c r="A109" s="268" t="s">
        <v>9</v>
      </c>
      <c r="B109" s="279">
        <v>2007</v>
      </c>
      <c r="C109" s="260" t="s">
        <v>16</v>
      </c>
      <c r="D109" s="259" t="s">
        <v>391</v>
      </c>
      <c r="E109" s="286">
        <v>1334331</v>
      </c>
      <c r="F109" s="260" t="s">
        <v>703</v>
      </c>
      <c r="G109" s="443">
        <v>690000</v>
      </c>
      <c r="H109" s="568"/>
      <c r="I109" s="442">
        <v>690000</v>
      </c>
      <c r="J109" s="287">
        <v>41059</v>
      </c>
    </row>
    <row r="110" spans="1:10" s="270" customFormat="1" ht="38.25" x14ac:dyDescent="0.2">
      <c r="A110" s="268" t="s">
        <v>9</v>
      </c>
      <c r="B110" s="279">
        <v>2007</v>
      </c>
      <c r="C110" s="260" t="s">
        <v>15</v>
      </c>
      <c r="D110" s="259" t="s">
        <v>66</v>
      </c>
      <c r="E110" s="286">
        <v>336250</v>
      </c>
      <c r="F110" s="260" t="s">
        <v>14</v>
      </c>
      <c r="G110" s="443">
        <v>252187</v>
      </c>
      <c r="H110" s="568"/>
      <c r="I110" s="442">
        <v>252187</v>
      </c>
      <c r="J110" s="287">
        <v>40637</v>
      </c>
    </row>
    <row r="111" spans="1:10" s="270" customFormat="1" ht="38.25" x14ac:dyDescent="0.2">
      <c r="A111" s="268" t="s">
        <v>9</v>
      </c>
      <c r="B111" s="279">
        <v>2007</v>
      </c>
      <c r="C111" s="260" t="s">
        <v>13</v>
      </c>
      <c r="D111" s="259" t="s">
        <v>463</v>
      </c>
      <c r="E111" s="286">
        <v>536540</v>
      </c>
      <c r="F111" s="260" t="s">
        <v>704</v>
      </c>
      <c r="G111" s="443">
        <v>402405</v>
      </c>
      <c r="H111" s="568"/>
      <c r="I111" s="442">
        <v>402405</v>
      </c>
      <c r="J111" s="287">
        <v>41900</v>
      </c>
    </row>
    <row r="112" spans="1:10" s="262" customFormat="1" ht="38.25" x14ac:dyDescent="0.2">
      <c r="A112" s="268" t="s">
        <v>9</v>
      </c>
      <c r="B112" s="279">
        <v>2007</v>
      </c>
      <c r="C112" s="260" t="s">
        <v>948</v>
      </c>
      <c r="D112" s="259" t="s">
        <v>949</v>
      </c>
      <c r="E112" s="286">
        <v>200000</v>
      </c>
      <c r="F112" s="260" t="s">
        <v>705</v>
      </c>
      <c r="G112" s="443">
        <v>150000</v>
      </c>
      <c r="H112" s="569" t="s">
        <v>936</v>
      </c>
      <c r="I112" s="442">
        <v>129112.3</v>
      </c>
      <c r="J112" s="269">
        <v>43281</v>
      </c>
    </row>
    <row r="113" spans="1:11" s="270" customFormat="1" ht="38.25" x14ac:dyDescent="0.2">
      <c r="A113" s="268" t="s">
        <v>9</v>
      </c>
      <c r="B113" s="279">
        <v>2007</v>
      </c>
      <c r="C113" s="260" t="s">
        <v>11</v>
      </c>
      <c r="D113" s="259" t="s">
        <v>67</v>
      </c>
      <c r="E113" s="286">
        <v>142500</v>
      </c>
      <c r="F113" s="260" t="s">
        <v>706</v>
      </c>
      <c r="G113" s="443">
        <v>106875</v>
      </c>
      <c r="H113" s="568"/>
      <c r="I113" s="442">
        <v>106875</v>
      </c>
      <c r="J113" s="287">
        <v>40252</v>
      </c>
    </row>
    <row r="114" spans="1:11" s="270" customFormat="1" ht="38.25" x14ac:dyDescent="0.2">
      <c r="A114" s="268" t="s">
        <v>9</v>
      </c>
      <c r="B114" s="279">
        <v>2007</v>
      </c>
      <c r="C114" s="260" t="s">
        <v>829</v>
      </c>
      <c r="D114" s="259" t="s">
        <v>830</v>
      </c>
      <c r="E114" s="286">
        <v>480000</v>
      </c>
      <c r="F114" s="260" t="s">
        <v>707</v>
      </c>
      <c r="G114" s="443">
        <v>360000</v>
      </c>
      <c r="H114" s="569" t="s">
        <v>790</v>
      </c>
      <c r="I114" s="442">
        <v>357491.87</v>
      </c>
      <c r="J114" s="269">
        <v>42773</v>
      </c>
    </row>
    <row r="115" spans="1:11" s="262" customFormat="1" ht="38.25" x14ac:dyDescent="0.2">
      <c r="A115" s="268" t="s">
        <v>9</v>
      </c>
      <c r="B115" s="279">
        <v>2007</v>
      </c>
      <c r="C115" s="260" t="s">
        <v>831</v>
      </c>
      <c r="D115" s="259" t="s">
        <v>708</v>
      </c>
      <c r="E115" s="286">
        <v>52420</v>
      </c>
      <c r="F115" s="260" t="s">
        <v>10</v>
      </c>
      <c r="G115" s="443">
        <v>39315</v>
      </c>
      <c r="H115" s="569" t="s">
        <v>805</v>
      </c>
      <c r="I115" s="442">
        <v>39315</v>
      </c>
      <c r="J115" s="269">
        <v>42551</v>
      </c>
      <c r="K115" s="448" t="s">
        <v>486</v>
      </c>
    </row>
    <row r="116" spans="1:11" s="270" customFormat="1" ht="51" x14ac:dyDescent="0.2">
      <c r="A116" s="268" t="s">
        <v>9</v>
      </c>
      <c r="B116" s="279">
        <v>2007</v>
      </c>
      <c r="C116" s="260" t="s">
        <v>832</v>
      </c>
      <c r="D116" s="259" t="s">
        <v>85</v>
      </c>
      <c r="E116" s="286">
        <v>266667</v>
      </c>
      <c r="F116" s="260" t="s">
        <v>6</v>
      </c>
      <c r="G116" s="443">
        <v>200000</v>
      </c>
      <c r="H116" s="569" t="s">
        <v>812</v>
      </c>
      <c r="I116" s="442">
        <v>196072.35</v>
      </c>
      <c r="J116" s="287">
        <v>40259</v>
      </c>
    </row>
    <row r="117" spans="1:11" s="262" customFormat="1" x14ac:dyDescent="0.2">
      <c r="A117" s="288"/>
      <c r="B117" s="289"/>
      <c r="C117" s="289"/>
      <c r="D117" s="290"/>
      <c r="E117" s="291">
        <f>SUM(E122:E123)</f>
        <v>4674520</v>
      </c>
      <c r="F117" s="289"/>
      <c r="G117" s="292">
        <f>SUM(G122:G123)</f>
        <v>1124651</v>
      </c>
      <c r="H117" s="293"/>
      <c r="I117" s="294"/>
      <c r="J117" s="295"/>
    </row>
    <row r="118" spans="1:11" s="270" customFormat="1" ht="38.25" x14ac:dyDescent="0.2">
      <c r="A118" s="268" t="s">
        <v>7</v>
      </c>
      <c r="B118" s="279">
        <v>2006</v>
      </c>
      <c r="C118" s="260" t="s">
        <v>464</v>
      </c>
      <c r="D118" s="259" t="s">
        <v>68</v>
      </c>
      <c r="E118" s="286">
        <v>1660250</v>
      </c>
      <c r="F118" s="260" t="s">
        <v>709</v>
      </c>
      <c r="G118" s="443">
        <v>250000</v>
      </c>
      <c r="H118" s="568"/>
      <c r="I118" s="442">
        <v>250000</v>
      </c>
      <c r="J118" s="287">
        <v>40365</v>
      </c>
    </row>
    <row r="119" spans="1:11" s="270" customFormat="1" ht="38.25" x14ac:dyDescent="0.2">
      <c r="A119" s="268" t="s">
        <v>7</v>
      </c>
      <c r="B119" s="279">
        <v>2006</v>
      </c>
      <c r="C119" s="260" t="s">
        <v>465</v>
      </c>
      <c r="D119" s="259" t="s">
        <v>69</v>
      </c>
      <c r="E119" s="286">
        <v>1027760</v>
      </c>
      <c r="F119" s="260" t="s">
        <v>710</v>
      </c>
      <c r="G119" s="443">
        <v>150000</v>
      </c>
      <c r="H119" s="568"/>
      <c r="I119" s="442">
        <v>150000</v>
      </c>
      <c r="J119" s="287">
        <v>39356</v>
      </c>
    </row>
    <row r="120" spans="1:11" s="270" customFormat="1" ht="76.5" x14ac:dyDescent="0.2">
      <c r="A120" s="268" t="s">
        <v>7</v>
      </c>
      <c r="B120" s="279">
        <v>2006</v>
      </c>
      <c r="C120" s="260" t="s">
        <v>466</v>
      </c>
      <c r="D120" s="259" t="s">
        <v>711</v>
      </c>
      <c r="E120" s="286">
        <v>437216</v>
      </c>
      <c r="F120" s="260" t="s">
        <v>8</v>
      </c>
      <c r="G120" s="443">
        <v>327912</v>
      </c>
      <c r="H120" s="568"/>
      <c r="I120" s="442">
        <v>327912</v>
      </c>
      <c r="J120" s="287">
        <v>39569</v>
      </c>
    </row>
    <row r="121" spans="1:11" s="270" customFormat="1" ht="38.25" x14ac:dyDescent="0.2">
      <c r="A121" s="268" t="s">
        <v>7</v>
      </c>
      <c r="B121" s="279">
        <v>2006</v>
      </c>
      <c r="C121" s="260" t="s">
        <v>467</v>
      </c>
      <c r="D121" s="259" t="s">
        <v>70</v>
      </c>
      <c r="E121" s="286">
        <v>1406960</v>
      </c>
      <c r="F121" s="260" t="s">
        <v>712</v>
      </c>
      <c r="G121" s="443">
        <v>346739</v>
      </c>
      <c r="H121" s="568"/>
      <c r="I121" s="442">
        <v>346739</v>
      </c>
      <c r="J121" s="287">
        <v>40350</v>
      </c>
    </row>
    <row r="122" spans="1:11" s="270" customFormat="1" ht="38.25" x14ac:dyDescent="0.2">
      <c r="A122" s="268" t="s">
        <v>7</v>
      </c>
      <c r="B122" s="279">
        <v>2006</v>
      </c>
      <c r="C122" s="260" t="s">
        <v>468</v>
      </c>
      <c r="D122" s="259" t="s">
        <v>69</v>
      </c>
      <c r="E122" s="286">
        <v>71167</v>
      </c>
      <c r="F122" s="260" t="s">
        <v>6</v>
      </c>
      <c r="G122" s="443">
        <v>50000</v>
      </c>
      <c r="H122" s="568"/>
      <c r="I122" s="442">
        <v>50000</v>
      </c>
      <c r="J122" s="287">
        <v>39577</v>
      </c>
    </row>
    <row r="123" spans="1:11" x14ac:dyDescent="0.2">
      <c r="A123" s="296"/>
      <c r="B123" s="296"/>
      <c r="C123" s="296"/>
      <c r="D123" s="297"/>
      <c r="E123" s="9">
        <f>SUM(E118:E122)</f>
        <v>4603353</v>
      </c>
      <c r="F123" s="296"/>
      <c r="G123" s="8">
        <f>SUM(G118:G121)</f>
        <v>1074651</v>
      </c>
      <c r="H123" s="7"/>
      <c r="I123" s="298"/>
      <c r="J123" s="12"/>
    </row>
    <row r="124" spans="1:11" x14ac:dyDescent="0.2">
      <c r="G124" s="6"/>
      <c r="H124" s="5"/>
      <c r="I124" s="4"/>
    </row>
    <row r="125" spans="1:11" x14ac:dyDescent="0.2">
      <c r="A125" s="617" t="s">
        <v>392</v>
      </c>
      <c r="B125" s="617"/>
      <c r="C125" s="617"/>
      <c r="D125" s="617"/>
      <c r="E125" s="617"/>
      <c r="F125" s="617"/>
      <c r="G125" s="617"/>
      <c r="H125" s="617"/>
      <c r="I125" s="617"/>
      <c r="J125" s="617"/>
    </row>
    <row r="126" spans="1:11" x14ac:dyDescent="0.2">
      <c r="A126" s="617"/>
      <c r="B126" s="617"/>
      <c r="C126" s="617"/>
      <c r="D126" s="617"/>
      <c r="E126" s="617"/>
      <c r="F126" s="617"/>
      <c r="G126" s="617"/>
      <c r="H126" s="617"/>
      <c r="I126" s="617"/>
      <c r="J126" s="617"/>
    </row>
    <row r="127" spans="1:11" x14ac:dyDescent="0.2">
      <c r="A127" s="487"/>
      <c r="B127" s="487"/>
      <c r="C127" s="487"/>
      <c r="D127" s="487"/>
      <c r="E127" s="487"/>
      <c r="F127" s="487"/>
      <c r="G127" s="487"/>
      <c r="I127" s="487"/>
      <c r="J127" s="487"/>
    </row>
    <row r="128" spans="1:11" x14ac:dyDescent="0.2">
      <c r="A128" s="618" t="s">
        <v>950</v>
      </c>
      <c r="B128" s="618"/>
      <c r="C128" s="618"/>
      <c r="D128" s="618"/>
      <c r="E128" s="618"/>
      <c r="F128" s="618"/>
      <c r="G128" s="618"/>
      <c r="H128" s="618"/>
      <c r="I128" s="618"/>
      <c r="J128" s="618"/>
    </row>
    <row r="129" spans="1:10" x14ac:dyDescent="0.2">
      <c r="A129" s="617" t="s">
        <v>951</v>
      </c>
      <c r="B129" s="617"/>
      <c r="C129" s="617"/>
      <c r="D129" s="617"/>
      <c r="E129" s="617"/>
      <c r="F129" s="617"/>
      <c r="G129" s="617"/>
      <c r="H129" s="617"/>
      <c r="I129" s="617"/>
      <c r="J129" s="617"/>
    </row>
    <row r="130" spans="1:10" x14ac:dyDescent="0.2">
      <c r="A130" s="617" t="s">
        <v>833</v>
      </c>
      <c r="B130" s="617"/>
      <c r="C130" s="617"/>
      <c r="D130" s="617"/>
      <c r="E130" s="617"/>
      <c r="F130" s="617"/>
      <c r="G130" s="617"/>
      <c r="H130" s="617"/>
      <c r="I130" s="617"/>
      <c r="J130" s="617"/>
    </row>
    <row r="131" spans="1:10" x14ac:dyDescent="0.2">
      <c r="A131" s="617" t="s">
        <v>834</v>
      </c>
      <c r="B131" s="617"/>
      <c r="C131" s="617"/>
      <c r="D131" s="617"/>
      <c r="E131" s="617"/>
      <c r="F131" s="617"/>
      <c r="G131" s="617"/>
      <c r="H131" s="617"/>
      <c r="I131" s="617"/>
      <c r="J131" s="617"/>
    </row>
    <row r="132" spans="1:10" x14ac:dyDescent="0.2">
      <c r="A132" s="199" t="s">
        <v>835</v>
      </c>
      <c r="B132" s="487"/>
      <c r="C132" s="487"/>
      <c r="D132" s="487"/>
      <c r="E132" s="487"/>
      <c r="F132" s="487"/>
      <c r="G132" s="487"/>
      <c r="I132" s="487"/>
      <c r="J132" s="487"/>
    </row>
    <row r="133" spans="1:10" x14ac:dyDescent="0.2">
      <c r="A133" s="199" t="s">
        <v>952</v>
      </c>
      <c r="B133" s="487"/>
      <c r="C133" s="487"/>
      <c r="D133" s="487"/>
      <c r="E133" s="487"/>
      <c r="F133" s="487"/>
      <c r="G133" s="487"/>
      <c r="I133" s="487"/>
      <c r="J133" s="487"/>
    </row>
    <row r="134" spans="1:10" x14ac:dyDescent="0.2">
      <c r="A134" s="199" t="s">
        <v>836</v>
      </c>
      <c r="B134" s="487"/>
      <c r="C134" s="487"/>
      <c r="D134" s="487"/>
      <c r="E134" s="487"/>
      <c r="F134" s="487"/>
      <c r="G134" s="487"/>
      <c r="I134" s="487"/>
      <c r="J134" s="487"/>
    </row>
    <row r="135" spans="1:10" s="579" customFormat="1" x14ac:dyDescent="0.2">
      <c r="A135" s="577" t="s">
        <v>953</v>
      </c>
      <c r="B135" s="578"/>
      <c r="C135" s="578"/>
      <c r="D135" s="578"/>
      <c r="E135" s="578"/>
      <c r="F135" s="578"/>
      <c r="G135" s="578"/>
      <c r="H135" s="578"/>
      <c r="I135" s="578"/>
      <c r="J135" s="578"/>
    </row>
    <row r="136" spans="1:10" s="579" customFormat="1" x14ac:dyDescent="0.2">
      <c r="A136" s="577" t="s">
        <v>954</v>
      </c>
      <c r="B136" s="578"/>
      <c r="C136" s="578"/>
      <c r="D136" s="578"/>
      <c r="E136" s="578"/>
      <c r="F136" s="578"/>
      <c r="G136" s="578"/>
      <c r="H136" s="578"/>
      <c r="I136" s="578"/>
      <c r="J136" s="578"/>
    </row>
    <row r="137" spans="1:10" x14ac:dyDescent="0.2">
      <c r="A137" s="487"/>
      <c r="B137" s="487"/>
      <c r="C137" s="487"/>
      <c r="D137" s="487"/>
      <c r="E137" s="487"/>
      <c r="F137" s="487"/>
      <c r="G137" s="487"/>
      <c r="I137" s="487"/>
      <c r="J137" s="487"/>
    </row>
    <row r="138" spans="1:10" x14ac:dyDescent="0.2">
      <c r="A138" s="618" t="s">
        <v>5</v>
      </c>
      <c r="B138" s="618"/>
      <c r="C138" s="618"/>
      <c r="D138" s="618"/>
      <c r="E138" s="618"/>
      <c r="F138" s="618"/>
      <c r="G138" s="618"/>
      <c r="H138" s="618"/>
      <c r="I138" s="618"/>
      <c r="J138" s="618"/>
    </row>
    <row r="139" spans="1:10" x14ac:dyDescent="0.2">
      <c r="A139" s="618" t="s">
        <v>4</v>
      </c>
      <c r="B139" s="618"/>
      <c r="C139" s="618"/>
      <c r="D139" s="618"/>
      <c r="E139" s="618"/>
      <c r="F139" s="618"/>
      <c r="G139" s="618"/>
      <c r="H139" s="618"/>
      <c r="I139" s="618"/>
      <c r="J139" s="618"/>
    </row>
    <row r="140" spans="1:10" x14ac:dyDescent="0.2">
      <c r="A140" s="618" t="s">
        <v>393</v>
      </c>
      <c r="B140" s="618"/>
      <c r="C140" s="618"/>
      <c r="D140" s="618"/>
      <c r="E140" s="618"/>
      <c r="F140" s="618"/>
      <c r="G140" s="618"/>
      <c r="H140" s="618"/>
      <c r="I140" s="618"/>
      <c r="J140" s="618"/>
    </row>
    <row r="141" spans="1:10" x14ac:dyDescent="0.2">
      <c r="A141" s="618" t="s">
        <v>3</v>
      </c>
      <c r="B141" s="618"/>
      <c r="C141" s="618"/>
      <c r="D141" s="618"/>
      <c r="E141" s="618"/>
      <c r="F141" s="618"/>
      <c r="G141" s="618"/>
      <c r="H141" s="618"/>
      <c r="I141" s="618"/>
      <c r="J141" s="618"/>
    </row>
    <row r="142" spans="1:10" x14ac:dyDescent="0.2">
      <c r="A142" s="617" t="s">
        <v>2</v>
      </c>
      <c r="B142" s="617"/>
      <c r="C142" s="617"/>
      <c r="D142" s="617"/>
      <c r="E142" s="617"/>
      <c r="F142" s="617"/>
      <c r="G142" s="617"/>
      <c r="H142" s="617"/>
      <c r="I142" s="617"/>
      <c r="J142" s="617"/>
    </row>
    <row r="143" spans="1:10" x14ac:dyDescent="0.2">
      <c r="A143" s="617" t="s">
        <v>394</v>
      </c>
      <c r="B143" s="617"/>
      <c r="C143" s="617"/>
    </row>
    <row r="144" spans="1:10" x14ac:dyDescent="0.2">
      <c r="A144" s="617" t="s">
        <v>71</v>
      </c>
      <c r="B144" s="617"/>
      <c r="C144" s="617"/>
      <c r="D144" s="617"/>
      <c r="E144" s="617"/>
      <c r="F144" s="617"/>
    </row>
    <row r="145" spans="1:10" x14ac:dyDescent="0.2">
      <c r="A145" s="617" t="s">
        <v>72</v>
      </c>
      <c r="B145" s="617"/>
      <c r="C145" s="617"/>
      <c r="D145" s="617"/>
      <c r="E145" s="617"/>
      <c r="F145" s="617"/>
      <c r="G145" s="617"/>
      <c r="H145" s="617"/>
      <c r="I145" s="617"/>
      <c r="J145" s="617"/>
    </row>
    <row r="146" spans="1:10" x14ac:dyDescent="0.2">
      <c r="A146" s="617" t="s">
        <v>395</v>
      </c>
      <c r="B146" s="617"/>
      <c r="C146" s="617"/>
      <c r="D146" s="617"/>
      <c r="E146" s="617"/>
      <c r="F146" s="617"/>
      <c r="G146" s="617"/>
      <c r="H146" s="617"/>
      <c r="I146" s="617"/>
      <c r="J146" s="617"/>
    </row>
    <row r="147" spans="1:10" x14ac:dyDescent="0.2">
      <c r="A147" s="617" t="s">
        <v>469</v>
      </c>
      <c r="B147" s="617"/>
      <c r="C147" s="617"/>
      <c r="D147" s="617"/>
      <c r="E147" s="617"/>
      <c r="F147" s="617"/>
      <c r="G147" s="617"/>
      <c r="H147" s="617"/>
      <c r="I147" s="617"/>
      <c r="J147" s="617"/>
    </row>
    <row r="148" spans="1:10" ht="12.75" customHeight="1" x14ac:dyDescent="0.2">
      <c r="A148" s="617" t="s">
        <v>522</v>
      </c>
      <c r="B148" s="617"/>
      <c r="C148" s="617"/>
      <c r="D148" s="617"/>
      <c r="E148" s="617"/>
      <c r="F148" s="617"/>
      <c r="G148" s="617"/>
      <c r="H148" s="617"/>
      <c r="I148" s="617"/>
      <c r="J148" s="617"/>
    </row>
    <row r="149" spans="1:10" x14ac:dyDescent="0.2">
      <c r="A149" s="617" t="s">
        <v>713</v>
      </c>
      <c r="B149" s="617"/>
      <c r="C149" s="617"/>
      <c r="D149" s="617"/>
      <c r="E149" s="617"/>
      <c r="F149" s="617"/>
      <c r="G149" s="617"/>
      <c r="H149" s="617"/>
      <c r="I149" s="617"/>
      <c r="J149" s="617"/>
    </row>
    <row r="150" spans="1:10" s="570" customFormat="1" x14ac:dyDescent="0.2">
      <c r="A150" s="616" t="s">
        <v>837</v>
      </c>
      <c r="B150" s="616"/>
      <c r="C150" s="616"/>
      <c r="D150" s="616"/>
      <c r="E150" s="616"/>
      <c r="F150" s="616"/>
      <c r="G150" s="616"/>
      <c r="H150" s="616"/>
      <c r="I150" s="616"/>
      <c r="J150" s="616"/>
    </row>
    <row r="151" spans="1:10" x14ac:dyDescent="0.2">
      <c r="A151" s="617" t="s">
        <v>955</v>
      </c>
      <c r="B151" s="617"/>
      <c r="C151" s="617"/>
      <c r="D151" s="617"/>
      <c r="E151" s="617"/>
      <c r="F151" s="617"/>
      <c r="G151" s="617"/>
      <c r="H151" s="617"/>
      <c r="I151" s="617"/>
      <c r="J151" s="617"/>
    </row>
  </sheetData>
  <mergeCells count="21">
    <mergeCell ref="A1:J1"/>
    <mergeCell ref="G2:H2"/>
    <mergeCell ref="A140:J140"/>
    <mergeCell ref="A141:J141"/>
    <mergeCell ref="A142:J142"/>
    <mergeCell ref="A138:J138"/>
    <mergeCell ref="A139:J139"/>
    <mergeCell ref="A125:J126"/>
    <mergeCell ref="A128:J128"/>
    <mergeCell ref="A129:J129"/>
    <mergeCell ref="A143:C143"/>
    <mergeCell ref="A144:F144"/>
    <mergeCell ref="A130:J130"/>
    <mergeCell ref="A131:J131"/>
    <mergeCell ref="A150:J150"/>
    <mergeCell ref="A151:J151"/>
    <mergeCell ref="A145:J145"/>
    <mergeCell ref="A146:J146"/>
    <mergeCell ref="A147:J147"/>
    <mergeCell ref="A148:J148"/>
    <mergeCell ref="A149:J149"/>
  </mergeCells>
  <printOptions horizontalCentered="1" verticalCentered="1"/>
  <pageMargins left="0.7" right="0.7" top="0.75" bottom="0.75" header="0.3" footer="0.3"/>
  <pageSetup paperSize="5" scale="70"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51"/>
  <sheetViews>
    <sheetView zoomScaleNormal="100" workbookViewId="0">
      <selection activeCell="B6" sqref="B6"/>
    </sheetView>
  </sheetViews>
  <sheetFormatPr defaultRowHeight="12.75" x14ac:dyDescent="0.2"/>
  <cols>
    <col min="1" max="1" width="44.28515625" customWidth="1"/>
    <col min="2" max="2" width="39.85546875" customWidth="1"/>
    <col min="3" max="3" width="15.7109375" customWidth="1"/>
    <col min="4" max="4" width="15.140625" bestFit="1" customWidth="1"/>
    <col min="5" max="5" width="17.28515625" customWidth="1"/>
    <col min="6" max="6" width="15.140625" bestFit="1" customWidth="1"/>
    <col min="7" max="7" width="16" customWidth="1"/>
    <col min="8" max="8" width="24.85546875" customWidth="1"/>
    <col min="9" max="9" width="26" customWidth="1"/>
    <col min="257" max="257" width="22" customWidth="1"/>
    <col min="258" max="258" width="17.140625" customWidth="1"/>
    <col min="259" max="259" width="15.7109375" customWidth="1"/>
    <col min="260" max="260" width="12.7109375" customWidth="1"/>
    <col min="261" max="261" width="17.28515625" customWidth="1"/>
    <col min="262" max="262" width="12.7109375" customWidth="1"/>
    <col min="263" max="263" width="16" customWidth="1"/>
    <col min="264" max="264" width="15.28515625" customWidth="1"/>
    <col min="265" max="265" width="13.140625" customWidth="1"/>
    <col min="513" max="513" width="22" customWidth="1"/>
    <col min="514" max="514" width="17.140625" customWidth="1"/>
    <col min="515" max="515" width="15.7109375" customWidth="1"/>
    <col min="516" max="516" width="12.7109375" customWidth="1"/>
    <col min="517" max="517" width="17.28515625" customWidth="1"/>
    <col min="518" max="518" width="12.7109375" customWidth="1"/>
    <col min="519" max="519" width="16" customWidth="1"/>
    <col min="520" max="520" width="15.28515625" customWidth="1"/>
    <col min="521" max="521" width="13.140625" customWidth="1"/>
    <col min="769" max="769" width="22" customWidth="1"/>
    <col min="770" max="770" width="17.140625" customWidth="1"/>
    <col min="771" max="771" width="15.7109375" customWidth="1"/>
    <col min="772" max="772" width="12.7109375" customWidth="1"/>
    <col min="773" max="773" width="17.28515625" customWidth="1"/>
    <col min="774" max="774" width="12.7109375" customWidth="1"/>
    <col min="775" max="775" width="16" customWidth="1"/>
    <col min="776" max="776" width="15.28515625" customWidth="1"/>
    <col min="777" max="777" width="13.140625" customWidth="1"/>
    <col min="1025" max="1025" width="22" customWidth="1"/>
    <col min="1026" max="1026" width="17.140625" customWidth="1"/>
    <col min="1027" max="1027" width="15.7109375" customWidth="1"/>
    <col min="1028" max="1028" width="12.7109375" customWidth="1"/>
    <col min="1029" max="1029" width="17.28515625" customWidth="1"/>
    <col min="1030" max="1030" width="12.7109375" customWidth="1"/>
    <col min="1031" max="1031" width="16" customWidth="1"/>
    <col min="1032" max="1032" width="15.28515625" customWidth="1"/>
    <col min="1033" max="1033" width="13.140625" customWidth="1"/>
    <col min="1281" max="1281" width="22" customWidth="1"/>
    <col min="1282" max="1282" width="17.140625" customWidth="1"/>
    <col min="1283" max="1283" width="15.7109375" customWidth="1"/>
    <col min="1284" max="1284" width="12.7109375" customWidth="1"/>
    <col min="1285" max="1285" width="17.28515625" customWidth="1"/>
    <col min="1286" max="1286" width="12.7109375" customWidth="1"/>
    <col min="1287" max="1287" width="16" customWidth="1"/>
    <col min="1288" max="1288" width="15.28515625" customWidth="1"/>
    <col min="1289" max="1289" width="13.140625" customWidth="1"/>
    <col min="1537" max="1537" width="22" customWidth="1"/>
    <col min="1538" max="1538" width="17.140625" customWidth="1"/>
    <col min="1539" max="1539" width="15.7109375" customWidth="1"/>
    <col min="1540" max="1540" width="12.7109375" customWidth="1"/>
    <col min="1541" max="1541" width="17.28515625" customWidth="1"/>
    <col min="1542" max="1542" width="12.7109375" customWidth="1"/>
    <col min="1543" max="1543" width="16" customWidth="1"/>
    <col min="1544" max="1544" width="15.28515625" customWidth="1"/>
    <col min="1545" max="1545" width="13.140625" customWidth="1"/>
    <col min="1793" max="1793" width="22" customWidth="1"/>
    <col min="1794" max="1794" width="17.140625" customWidth="1"/>
    <col min="1795" max="1795" width="15.7109375" customWidth="1"/>
    <col min="1796" max="1796" width="12.7109375" customWidth="1"/>
    <col min="1797" max="1797" width="17.28515625" customWidth="1"/>
    <col min="1798" max="1798" width="12.7109375" customWidth="1"/>
    <col min="1799" max="1799" width="16" customWidth="1"/>
    <col min="1800" max="1800" width="15.28515625" customWidth="1"/>
    <col min="1801" max="1801" width="13.140625" customWidth="1"/>
    <col min="2049" max="2049" width="22" customWidth="1"/>
    <col min="2050" max="2050" width="17.140625" customWidth="1"/>
    <col min="2051" max="2051" width="15.7109375" customWidth="1"/>
    <col min="2052" max="2052" width="12.7109375" customWidth="1"/>
    <col min="2053" max="2053" width="17.28515625" customWidth="1"/>
    <col min="2054" max="2054" width="12.7109375" customWidth="1"/>
    <col min="2055" max="2055" width="16" customWidth="1"/>
    <col min="2056" max="2056" width="15.28515625" customWidth="1"/>
    <col min="2057" max="2057" width="13.140625" customWidth="1"/>
    <col min="2305" max="2305" width="22" customWidth="1"/>
    <col min="2306" max="2306" width="17.140625" customWidth="1"/>
    <col min="2307" max="2307" width="15.7109375" customWidth="1"/>
    <col min="2308" max="2308" width="12.7109375" customWidth="1"/>
    <col min="2309" max="2309" width="17.28515625" customWidth="1"/>
    <col min="2310" max="2310" width="12.7109375" customWidth="1"/>
    <col min="2311" max="2311" width="16" customWidth="1"/>
    <col min="2312" max="2312" width="15.28515625" customWidth="1"/>
    <col min="2313" max="2313" width="13.140625" customWidth="1"/>
    <col min="2561" max="2561" width="22" customWidth="1"/>
    <col min="2562" max="2562" width="17.140625" customWidth="1"/>
    <col min="2563" max="2563" width="15.7109375" customWidth="1"/>
    <col min="2564" max="2564" width="12.7109375" customWidth="1"/>
    <col min="2565" max="2565" width="17.28515625" customWidth="1"/>
    <col min="2566" max="2566" width="12.7109375" customWidth="1"/>
    <col min="2567" max="2567" width="16" customWidth="1"/>
    <col min="2568" max="2568" width="15.28515625" customWidth="1"/>
    <col min="2569" max="2569" width="13.140625" customWidth="1"/>
    <col min="2817" max="2817" width="22" customWidth="1"/>
    <col min="2818" max="2818" width="17.140625" customWidth="1"/>
    <col min="2819" max="2819" width="15.7109375" customWidth="1"/>
    <col min="2820" max="2820" width="12.7109375" customWidth="1"/>
    <col min="2821" max="2821" width="17.28515625" customWidth="1"/>
    <col min="2822" max="2822" width="12.7109375" customWidth="1"/>
    <col min="2823" max="2823" width="16" customWidth="1"/>
    <col min="2824" max="2824" width="15.28515625" customWidth="1"/>
    <col min="2825" max="2825" width="13.140625" customWidth="1"/>
    <col min="3073" max="3073" width="22" customWidth="1"/>
    <col min="3074" max="3074" width="17.140625" customWidth="1"/>
    <col min="3075" max="3075" width="15.7109375" customWidth="1"/>
    <col min="3076" max="3076" width="12.7109375" customWidth="1"/>
    <col min="3077" max="3077" width="17.28515625" customWidth="1"/>
    <col min="3078" max="3078" width="12.7109375" customWidth="1"/>
    <col min="3079" max="3079" width="16" customWidth="1"/>
    <col min="3080" max="3080" width="15.28515625" customWidth="1"/>
    <col min="3081" max="3081" width="13.140625" customWidth="1"/>
    <col min="3329" max="3329" width="22" customWidth="1"/>
    <col min="3330" max="3330" width="17.140625" customWidth="1"/>
    <col min="3331" max="3331" width="15.7109375" customWidth="1"/>
    <col min="3332" max="3332" width="12.7109375" customWidth="1"/>
    <col min="3333" max="3333" width="17.28515625" customWidth="1"/>
    <col min="3334" max="3334" width="12.7109375" customWidth="1"/>
    <col min="3335" max="3335" width="16" customWidth="1"/>
    <col min="3336" max="3336" width="15.28515625" customWidth="1"/>
    <col min="3337" max="3337" width="13.140625" customWidth="1"/>
    <col min="3585" max="3585" width="22" customWidth="1"/>
    <col min="3586" max="3586" width="17.140625" customWidth="1"/>
    <col min="3587" max="3587" width="15.7109375" customWidth="1"/>
    <col min="3588" max="3588" width="12.7109375" customWidth="1"/>
    <col min="3589" max="3589" width="17.28515625" customWidth="1"/>
    <col min="3590" max="3590" width="12.7109375" customWidth="1"/>
    <col min="3591" max="3591" width="16" customWidth="1"/>
    <col min="3592" max="3592" width="15.28515625" customWidth="1"/>
    <col min="3593" max="3593" width="13.140625" customWidth="1"/>
    <col min="3841" max="3841" width="22" customWidth="1"/>
    <col min="3842" max="3842" width="17.140625" customWidth="1"/>
    <col min="3843" max="3843" width="15.7109375" customWidth="1"/>
    <col min="3844" max="3844" width="12.7109375" customWidth="1"/>
    <col min="3845" max="3845" width="17.28515625" customWidth="1"/>
    <col min="3846" max="3846" width="12.7109375" customWidth="1"/>
    <col min="3847" max="3847" width="16" customWidth="1"/>
    <col min="3848" max="3848" width="15.28515625" customWidth="1"/>
    <col min="3849" max="3849" width="13.140625" customWidth="1"/>
    <col min="4097" max="4097" width="22" customWidth="1"/>
    <col min="4098" max="4098" width="17.140625" customWidth="1"/>
    <col min="4099" max="4099" width="15.7109375" customWidth="1"/>
    <col min="4100" max="4100" width="12.7109375" customWidth="1"/>
    <col min="4101" max="4101" width="17.28515625" customWidth="1"/>
    <col min="4102" max="4102" width="12.7109375" customWidth="1"/>
    <col min="4103" max="4103" width="16" customWidth="1"/>
    <col min="4104" max="4104" width="15.28515625" customWidth="1"/>
    <col min="4105" max="4105" width="13.140625" customWidth="1"/>
    <col min="4353" max="4353" width="22" customWidth="1"/>
    <col min="4354" max="4354" width="17.140625" customWidth="1"/>
    <col min="4355" max="4355" width="15.7109375" customWidth="1"/>
    <col min="4356" max="4356" width="12.7109375" customWidth="1"/>
    <col min="4357" max="4357" width="17.28515625" customWidth="1"/>
    <col min="4358" max="4358" width="12.7109375" customWidth="1"/>
    <col min="4359" max="4359" width="16" customWidth="1"/>
    <col min="4360" max="4360" width="15.28515625" customWidth="1"/>
    <col min="4361" max="4361" width="13.140625" customWidth="1"/>
    <col min="4609" max="4609" width="22" customWidth="1"/>
    <col min="4610" max="4610" width="17.140625" customWidth="1"/>
    <col min="4611" max="4611" width="15.7109375" customWidth="1"/>
    <col min="4612" max="4612" width="12.7109375" customWidth="1"/>
    <col min="4613" max="4613" width="17.28515625" customWidth="1"/>
    <col min="4614" max="4614" width="12.7109375" customWidth="1"/>
    <col min="4615" max="4615" width="16" customWidth="1"/>
    <col min="4616" max="4616" width="15.28515625" customWidth="1"/>
    <col min="4617" max="4617" width="13.140625" customWidth="1"/>
    <col min="4865" max="4865" width="22" customWidth="1"/>
    <col min="4866" max="4866" width="17.140625" customWidth="1"/>
    <col min="4867" max="4867" width="15.7109375" customWidth="1"/>
    <col min="4868" max="4868" width="12.7109375" customWidth="1"/>
    <col min="4869" max="4869" width="17.28515625" customWidth="1"/>
    <col min="4870" max="4870" width="12.7109375" customWidth="1"/>
    <col min="4871" max="4871" width="16" customWidth="1"/>
    <col min="4872" max="4872" width="15.28515625" customWidth="1"/>
    <col min="4873" max="4873" width="13.140625" customWidth="1"/>
    <col min="5121" max="5121" width="22" customWidth="1"/>
    <col min="5122" max="5122" width="17.140625" customWidth="1"/>
    <col min="5123" max="5123" width="15.7109375" customWidth="1"/>
    <col min="5124" max="5124" width="12.7109375" customWidth="1"/>
    <col min="5125" max="5125" width="17.28515625" customWidth="1"/>
    <col min="5126" max="5126" width="12.7109375" customWidth="1"/>
    <col min="5127" max="5127" width="16" customWidth="1"/>
    <col min="5128" max="5128" width="15.28515625" customWidth="1"/>
    <col min="5129" max="5129" width="13.140625" customWidth="1"/>
    <col min="5377" max="5377" width="22" customWidth="1"/>
    <col min="5378" max="5378" width="17.140625" customWidth="1"/>
    <col min="5379" max="5379" width="15.7109375" customWidth="1"/>
    <col min="5380" max="5380" width="12.7109375" customWidth="1"/>
    <col min="5381" max="5381" width="17.28515625" customWidth="1"/>
    <col min="5382" max="5382" width="12.7109375" customWidth="1"/>
    <col min="5383" max="5383" width="16" customWidth="1"/>
    <col min="5384" max="5384" width="15.28515625" customWidth="1"/>
    <col min="5385" max="5385" width="13.140625" customWidth="1"/>
    <col min="5633" max="5633" width="22" customWidth="1"/>
    <col min="5634" max="5634" width="17.140625" customWidth="1"/>
    <col min="5635" max="5635" width="15.7109375" customWidth="1"/>
    <col min="5636" max="5636" width="12.7109375" customWidth="1"/>
    <col min="5637" max="5637" width="17.28515625" customWidth="1"/>
    <col min="5638" max="5638" width="12.7109375" customWidth="1"/>
    <col min="5639" max="5639" width="16" customWidth="1"/>
    <col min="5640" max="5640" width="15.28515625" customWidth="1"/>
    <col min="5641" max="5641" width="13.140625" customWidth="1"/>
    <col min="5889" max="5889" width="22" customWidth="1"/>
    <col min="5890" max="5890" width="17.140625" customWidth="1"/>
    <col min="5891" max="5891" width="15.7109375" customWidth="1"/>
    <col min="5892" max="5892" width="12.7109375" customWidth="1"/>
    <col min="5893" max="5893" width="17.28515625" customWidth="1"/>
    <col min="5894" max="5894" width="12.7109375" customWidth="1"/>
    <col min="5895" max="5895" width="16" customWidth="1"/>
    <col min="5896" max="5896" width="15.28515625" customWidth="1"/>
    <col min="5897" max="5897" width="13.140625" customWidth="1"/>
    <col min="6145" max="6145" width="22" customWidth="1"/>
    <col min="6146" max="6146" width="17.140625" customWidth="1"/>
    <col min="6147" max="6147" width="15.7109375" customWidth="1"/>
    <col min="6148" max="6148" width="12.7109375" customWidth="1"/>
    <col min="6149" max="6149" width="17.28515625" customWidth="1"/>
    <col min="6150" max="6150" width="12.7109375" customWidth="1"/>
    <col min="6151" max="6151" width="16" customWidth="1"/>
    <col min="6152" max="6152" width="15.28515625" customWidth="1"/>
    <col min="6153" max="6153" width="13.140625" customWidth="1"/>
    <col min="6401" max="6401" width="22" customWidth="1"/>
    <col min="6402" max="6402" width="17.140625" customWidth="1"/>
    <col min="6403" max="6403" width="15.7109375" customWidth="1"/>
    <col min="6404" max="6404" width="12.7109375" customWidth="1"/>
    <col min="6405" max="6405" width="17.28515625" customWidth="1"/>
    <col min="6406" max="6406" width="12.7109375" customWidth="1"/>
    <col min="6407" max="6407" width="16" customWidth="1"/>
    <col min="6408" max="6408" width="15.28515625" customWidth="1"/>
    <col min="6409" max="6409" width="13.140625" customWidth="1"/>
    <col min="6657" max="6657" width="22" customWidth="1"/>
    <col min="6658" max="6658" width="17.140625" customWidth="1"/>
    <col min="6659" max="6659" width="15.7109375" customWidth="1"/>
    <col min="6660" max="6660" width="12.7109375" customWidth="1"/>
    <col min="6661" max="6661" width="17.28515625" customWidth="1"/>
    <col min="6662" max="6662" width="12.7109375" customWidth="1"/>
    <col min="6663" max="6663" width="16" customWidth="1"/>
    <col min="6664" max="6664" width="15.28515625" customWidth="1"/>
    <col min="6665" max="6665" width="13.140625" customWidth="1"/>
    <col min="6913" max="6913" width="22" customWidth="1"/>
    <col min="6914" max="6914" width="17.140625" customWidth="1"/>
    <col min="6915" max="6915" width="15.7109375" customWidth="1"/>
    <col min="6916" max="6916" width="12.7109375" customWidth="1"/>
    <col min="6917" max="6917" width="17.28515625" customWidth="1"/>
    <col min="6918" max="6918" width="12.7109375" customWidth="1"/>
    <col min="6919" max="6919" width="16" customWidth="1"/>
    <col min="6920" max="6920" width="15.28515625" customWidth="1"/>
    <col min="6921" max="6921" width="13.140625" customWidth="1"/>
    <col min="7169" max="7169" width="22" customWidth="1"/>
    <col min="7170" max="7170" width="17.140625" customWidth="1"/>
    <col min="7171" max="7171" width="15.7109375" customWidth="1"/>
    <col min="7172" max="7172" width="12.7109375" customWidth="1"/>
    <col min="7173" max="7173" width="17.28515625" customWidth="1"/>
    <col min="7174" max="7174" width="12.7109375" customWidth="1"/>
    <col min="7175" max="7175" width="16" customWidth="1"/>
    <col min="7176" max="7176" width="15.28515625" customWidth="1"/>
    <col min="7177" max="7177" width="13.140625" customWidth="1"/>
    <col min="7425" max="7425" width="22" customWidth="1"/>
    <col min="7426" max="7426" width="17.140625" customWidth="1"/>
    <col min="7427" max="7427" width="15.7109375" customWidth="1"/>
    <col min="7428" max="7428" width="12.7109375" customWidth="1"/>
    <col min="7429" max="7429" width="17.28515625" customWidth="1"/>
    <col min="7430" max="7430" width="12.7109375" customWidth="1"/>
    <col min="7431" max="7431" width="16" customWidth="1"/>
    <col min="7432" max="7432" width="15.28515625" customWidth="1"/>
    <col min="7433" max="7433" width="13.140625" customWidth="1"/>
    <col min="7681" max="7681" width="22" customWidth="1"/>
    <col min="7682" max="7682" width="17.140625" customWidth="1"/>
    <col min="7683" max="7683" width="15.7109375" customWidth="1"/>
    <col min="7684" max="7684" width="12.7109375" customWidth="1"/>
    <col min="7685" max="7685" width="17.28515625" customWidth="1"/>
    <col min="7686" max="7686" width="12.7109375" customWidth="1"/>
    <col min="7687" max="7687" width="16" customWidth="1"/>
    <col min="7688" max="7688" width="15.28515625" customWidth="1"/>
    <col min="7689" max="7689" width="13.140625" customWidth="1"/>
    <col min="7937" max="7937" width="22" customWidth="1"/>
    <col min="7938" max="7938" width="17.140625" customWidth="1"/>
    <col min="7939" max="7939" width="15.7109375" customWidth="1"/>
    <col min="7940" max="7940" width="12.7109375" customWidth="1"/>
    <col min="7941" max="7941" width="17.28515625" customWidth="1"/>
    <col min="7942" max="7942" width="12.7109375" customWidth="1"/>
    <col min="7943" max="7943" width="16" customWidth="1"/>
    <col min="7944" max="7944" width="15.28515625" customWidth="1"/>
    <col min="7945" max="7945" width="13.140625" customWidth="1"/>
    <col min="8193" max="8193" width="22" customWidth="1"/>
    <col min="8194" max="8194" width="17.140625" customWidth="1"/>
    <col min="8195" max="8195" width="15.7109375" customWidth="1"/>
    <col min="8196" max="8196" width="12.7109375" customWidth="1"/>
    <col min="8197" max="8197" width="17.28515625" customWidth="1"/>
    <col min="8198" max="8198" width="12.7109375" customWidth="1"/>
    <col min="8199" max="8199" width="16" customWidth="1"/>
    <col min="8200" max="8200" width="15.28515625" customWidth="1"/>
    <col min="8201" max="8201" width="13.140625" customWidth="1"/>
    <col min="8449" max="8449" width="22" customWidth="1"/>
    <col min="8450" max="8450" width="17.140625" customWidth="1"/>
    <col min="8451" max="8451" width="15.7109375" customWidth="1"/>
    <col min="8452" max="8452" width="12.7109375" customWidth="1"/>
    <col min="8453" max="8453" width="17.28515625" customWidth="1"/>
    <col min="8454" max="8454" width="12.7109375" customWidth="1"/>
    <col min="8455" max="8455" width="16" customWidth="1"/>
    <col min="8456" max="8456" width="15.28515625" customWidth="1"/>
    <col min="8457" max="8457" width="13.140625" customWidth="1"/>
    <col min="8705" max="8705" width="22" customWidth="1"/>
    <col min="8706" max="8706" width="17.140625" customWidth="1"/>
    <col min="8707" max="8707" width="15.7109375" customWidth="1"/>
    <col min="8708" max="8708" width="12.7109375" customWidth="1"/>
    <col min="8709" max="8709" width="17.28515625" customWidth="1"/>
    <col min="8710" max="8710" width="12.7109375" customWidth="1"/>
    <col min="8711" max="8711" width="16" customWidth="1"/>
    <col min="8712" max="8712" width="15.28515625" customWidth="1"/>
    <col min="8713" max="8713" width="13.140625" customWidth="1"/>
    <col min="8961" max="8961" width="22" customWidth="1"/>
    <col min="8962" max="8962" width="17.140625" customWidth="1"/>
    <col min="8963" max="8963" width="15.7109375" customWidth="1"/>
    <col min="8964" max="8964" width="12.7109375" customWidth="1"/>
    <col min="8965" max="8965" width="17.28515625" customWidth="1"/>
    <col min="8966" max="8966" width="12.7109375" customWidth="1"/>
    <col min="8967" max="8967" width="16" customWidth="1"/>
    <col min="8968" max="8968" width="15.28515625" customWidth="1"/>
    <col min="8969" max="8969" width="13.140625" customWidth="1"/>
    <col min="9217" max="9217" width="22" customWidth="1"/>
    <col min="9218" max="9218" width="17.140625" customWidth="1"/>
    <col min="9219" max="9219" width="15.7109375" customWidth="1"/>
    <col min="9220" max="9220" width="12.7109375" customWidth="1"/>
    <col min="9221" max="9221" width="17.28515625" customWidth="1"/>
    <col min="9222" max="9222" width="12.7109375" customWidth="1"/>
    <col min="9223" max="9223" width="16" customWidth="1"/>
    <col min="9224" max="9224" width="15.28515625" customWidth="1"/>
    <col min="9225" max="9225" width="13.140625" customWidth="1"/>
    <col min="9473" max="9473" width="22" customWidth="1"/>
    <col min="9474" max="9474" width="17.140625" customWidth="1"/>
    <col min="9475" max="9475" width="15.7109375" customWidth="1"/>
    <col min="9476" max="9476" width="12.7109375" customWidth="1"/>
    <col min="9477" max="9477" width="17.28515625" customWidth="1"/>
    <col min="9478" max="9478" width="12.7109375" customWidth="1"/>
    <col min="9479" max="9479" width="16" customWidth="1"/>
    <col min="9480" max="9480" width="15.28515625" customWidth="1"/>
    <col min="9481" max="9481" width="13.140625" customWidth="1"/>
    <col min="9729" max="9729" width="22" customWidth="1"/>
    <col min="9730" max="9730" width="17.140625" customWidth="1"/>
    <col min="9731" max="9731" width="15.7109375" customWidth="1"/>
    <col min="9732" max="9732" width="12.7109375" customWidth="1"/>
    <col min="9733" max="9733" width="17.28515625" customWidth="1"/>
    <col min="9734" max="9734" width="12.7109375" customWidth="1"/>
    <col min="9735" max="9735" width="16" customWidth="1"/>
    <col min="9736" max="9736" width="15.28515625" customWidth="1"/>
    <col min="9737" max="9737" width="13.140625" customWidth="1"/>
    <col min="9985" max="9985" width="22" customWidth="1"/>
    <col min="9986" max="9986" width="17.140625" customWidth="1"/>
    <col min="9987" max="9987" width="15.7109375" customWidth="1"/>
    <col min="9988" max="9988" width="12.7109375" customWidth="1"/>
    <col min="9989" max="9989" width="17.28515625" customWidth="1"/>
    <col min="9990" max="9990" width="12.7109375" customWidth="1"/>
    <col min="9991" max="9991" width="16" customWidth="1"/>
    <col min="9992" max="9992" width="15.28515625" customWidth="1"/>
    <col min="9993" max="9993" width="13.140625" customWidth="1"/>
    <col min="10241" max="10241" width="22" customWidth="1"/>
    <col min="10242" max="10242" width="17.140625" customWidth="1"/>
    <col min="10243" max="10243" width="15.7109375" customWidth="1"/>
    <col min="10244" max="10244" width="12.7109375" customWidth="1"/>
    <col min="10245" max="10245" width="17.28515625" customWidth="1"/>
    <col min="10246" max="10246" width="12.7109375" customWidth="1"/>
    <col min="10247" max="10247" width="16" customWidth="1"/>
    <col min="10248" max="10248" width="15.28515625" customWidth="1"/>
    <col min="10249" max="10249" width="13.140625" customWidth="1"/>
    <col min="10497" max="10497" width="22" customWidth="1"/>
    <col min="10498" max="10498" width="17.140625" customWidth="1"/>
    <col min="10499" max="10499" width="15.7109375" customWidth="1"/>
    <col min="10500" max="10500" width="12.7109375" customWidth="1"/>
    <col min="10501" max="10501" width="17.28515625" customWidth="1"/>
    <col min="10502" max="10502" width="12.7109375" customWidth="1"/>
    <col min="10503" max="10503" width="16" customWidth="1"/>
    <col min="10504" max="10504" width="15.28515625" customWidth="1"/>
    <col min="10505" max="10505" width="13.140625" customWidth="1"/>
    <col min="10753" max="10753" width="22" customWidth="1"/>
    <col min="10754" max="10754" width="17.140625" customWidth="1"/>
    <col min="10755" max="10755" width="15.7109375" customWidth="1"/>
    <col min="10756" max="10756" width="12.7109375" customWidth="1"/>
    <col min="10757" max="10757" width="17.28515625" customWidth="1"/>
    <col min="10758" max="10758" width="12.7109375" customWidth="1"/>
    <col min="10759" max="10759" width="16" customWidth="1"/>
    <col min="10760" max="10760" width="15.28515625" customWidth="1"/>
    <col min="10761" max="10761" width="13.140625" customWidth="1"/>
    <col min="11009" max="11009" width="22" customWidth="1"/>
    <col min="11010" max="11010" width="17.140625" customWidth="1"/>
    <col min="11011" max="11011" width="15.7109375" customWidth="1"/>
    <col min="11012" max="11012" width="12.7109375" customWidth="1"/>
    <col min="11013" max="11013" width="17.28515625" customWidth="1"/>
    <col min="11014" max="11014" width="12.7109375" customWidth="1"/>
    <col min="11015" max="11015" width="16" customWidth="1"/>
    <col min="11016" max="11016" width="15.28515625" customWidth="1"/>
    <col min="11017" max="11017" width="13.140625" customWidth="1"/>
    <col min="11265" max="11265" width="22" customWidth="1"/>
    <col min="11266" max="11266" width="17.140625" customWidth="1"/>
    <col min="11267" max="11267" width="15.7109375" customWidth="1"/>
    <col min="11268" max="11268" width="12.7109375" customWidth="1"/>
    <col min="11269" max="11269" width="17.28515625" customWidth="1"/>
    <col min="11270" max="11270" width="12.7109375" customWidth="1"/>
    <col min="11271" max="11271" width="16" customWidth="1"/>
    <col min="11272" max="11272" width="15.28515625" customWidth="1"/>
    <col min="11273" max="11273" width="13.140625" customWidth="1"/>
    <col min="11521" max="11521" width="22" customWidth="1"/>
    <col min="11522" max="11522" width="17.140625" customWidth="1"/>
    <col min="11523" max="11523" width="15.7109375" customWidth="1"/>
    <col min="11524" max="11524" width="12.7109375" customWidth="1"/>
    <col min="11525" max="11525" width="17.28515625" customWidth="1"/>
    <col min="11526" max="11526" width="12.7109375" customWidth="1"/>
    <col min="11527" max="11527" width="16" customWidth="1"/>
    <col min="11528" max="11528" width="15.28515625" customWidth="1"/>
    <col min="11529" max="11529" width="13.140625" customWidth="1"/>
    <col min="11777" max="11777" width="22" customWidth="1"/>
    <col min="11778" max="11778" width="17.140625" customWidth="1"/>
    <col min="11779" max="11779" width="15.7109375" customWidth="1"/>
    <col min="11780" max="11780" width="12.7109375" customWidth="1"/>
    <col min="11781" max="11781" width="17.28515625" customWidth="1"/>
    <col min="11782" max="11782" width="12.7109375" customWidth="1"/>
    <col min="11783" max="11783" width="16" customWidth="1"/>
    <col min="11784" max="11784" width="15.28515625" customWidth="1"/>
    <col min="11785" max="11785" width="13.140625" customWidth="1"/>
    <col min="12033" max="12033" width="22" customWidth="1"/>
    <col min="12034" max="12034" width="17.140625" customWidth="1"/>
    <col min="12035" max="12035" width="15.7109375" customWidth="1"/>
    <col min="12036" max="12036" width="12.7109375" customWidth="1"/>
    <col min="12037" max="12037" width="17.28515625" customWidth="1"/>
    <col min="12038" max="12038" width="12.7109375" customWidth="1"/>
    <col min="12039" max="12039" width="16" customWidth="1"/>
    <col min="12040" max="12040" width="15.28515625" customWidth="1"/>
    <col min="12041" max="12041" width="13.140625" customWidth="1"/>
    <col min="12289" max="12289" width="22" customWidth="1"/>
    <col min="12290" max="12290" width="17.140625" customWidth="1"/>
    <col min="12291" max="12291" width="15.7109375" customWidth="1"/>
    <col min="12292" max="12292" width="12.7109375" customWidth="1"/>
    <col min="12293" max="12293" width="17.28515625" customWidth="1"/>
    <col min="12294" max="12294" width="12.7109375" customWidth="1"/>
    <col min="12295" max="12295" width="16" customWidth="1"/>
    <col min="12296" max="12296" width="15.28515625" customWidth="1"/>
    <col min="12297" max="12297" width="13.140625" customWidth="1"/>
    <col min="12545" max="12545" width="22" customWidth="1"/>
    <col min="12546" max="12546" width="17.140625" customWidth="1"/>
    <col min="12547" max="12547" width="15.7109375" customWidth="1"/>
    <col min="12548" max="12548" width="12.7109375" customWidth="1"/>
    <col min="12549" max="12549" width="17.28515625" customWidth="1"/>
    <col min="12550" max="12550" width="12.7109375" customWidth="1"/>
    <col min="12551" max="12551" width="16" customWidth="1"/>
    <col min="12552" max="12552" width="15.28515625" customWidth="1"/>
    <col min="12553" max="12553" width="13.140625" customWidth="1"/>
    <col min="12801" max="12801" width="22" customWidth="1"/>
    <col min="12802" max="12802" width="17.140625" customWidth="1"/>
    <col min="12803" max="12803" width="15.7109375" customWidth="1"/>
    <col min="12804" max="12804" width="12.7109375" customWidth="1"/>
    <col min="12805" max="12805" width="17.28515625" customWidth="1"/>
    <col min="12806" max="12806" width="12.7109375" customWidth="1"/>
    <col min="12807" max="12807" width="16" customWidth="1"/>
    <col min="12808" max="12808" width="15.28515625" customWidth="1"/>
    <col min="12809" max="12809" width="13.140625" customWidth="1"/>
    <col min="13057" max="13057" width="22" customWidth="1"/>
    <col min="13058" max="13058" width="17.140625" customWidth="1"/>
    <col min="13059" max="13059" width="15.7109375" customWidth="1"/>
    <col min="13060" max="13060" width="12.7109375" customWidth="1"/>
    <col min="13061" max="13061" width="17.28515625" customWidth="1"/>
    <col min="13062" max="13062" width="12.7109375" customWidth="1"/>
    <col min="13063" max="13063" width="16" customWidth="1"/>
    <col min="13064" max="13064" width="15.28515625" customWidth="1"/>
    <col min="13065" max="13065" width="13.140625" customWidth="1"/>
    <col min="13313" max="13313" width="22" customWidth="1"/>
    <col min="13314" max="13314" width="17.140625" customWidth="1"/>
    <col min="13315" max="13315" width="15.7109375" customWidth="1"/>
    <col min="13316" max="13316" width="12.7109375" customWidth="1"/>
    <col min="13317" max="13317" width="17.28515625" customWidth="1"/>
    <col min="13318" max="13318" width="12.7109375" customWidth="1"/>
    <col min="13319" max="13319" width="16" customWidth="1"/>
    <col min="13320" max="13320" width="15.28515625" customWidth="1"/>
    <col min="13321" max="13321" width="13.140625" customWidth="1"/>
    <col min="13569" max="13569" width="22" customWidth="1"/>
    <col min="13570" max="13570" width="17.140625" customWidth="1"/>
    <col min="13571" max="13571" width="15.7109375" customWidth="1"/>
    <col min="13572" max="13572" width="12.7109375" customWidth="1"/>
    <col min="13573" max="13573" width="17.28515625" customWidth="1"/>
    <col min="13574" max="13574" width="12.7109375" customWidth="1"/>
    <col min="13575" max="13575" width="16" customWidth="1"/>
    <col min="13576" max="13576" width="15.28515625" customWidth="1"/>
    <col min="13577" max="13577" width="13.140625" customWidth="1"/>
    <col min="13825" max="13825" width="22" customWidth="1"/>
    <col min="13826" max="13826" width="17.140625" customWidth="1"/>
    <col min="13827" max="13827" width="15.7109375" customWidth="1"/>
    <col min="13828" max="13828" width="12.7109375" customWidth="1"/>
    <col min="13829" max="13829" width="17.28515625" customWidth="1"/>
    <col min="13830" max="13830" width="12.7109375" customWidth="1"/>
    <col min="13831" max="13831" width="16" customWidth="1"/>
    <col min="13832" max="13832" width="15.28515625" customWidth="1"/>
    <col min="13833" max="13833" width="13.140625" customWidth="1"/>
    <col min="14081" max="14081" width="22" customWidth="1"/>
    <col min="14082" max="14082" width="17.140625" customWidth="1"/>
    <col min="14083" max="14083" width="15.7109375" customWidth="1"/>
    <col min="14084" max="14084" width="12.7109375" customWidth="1"/>
    <col min="14085" max="14085" width="17.28515625" customWidth="1"/>
    <col min="14086" max="14086" width="12.7109375" customWidth="1"/>
    <col min="14087" max="14087" width="16" customWidth="1"/>
    <col min="14088" max="14088" width="15.28515625" customWidth="1"/>
    <col min="14089" max="14089" width="13.140625" customWidth="1"/>
    <col min="14337" max="14337" width="22" customWidth="1"/>
    <col min="14338" max="14338" width="17.140625" customWidth="1"/>
    <col min="14339" max="14339" width="15.7109375" customWidth="1"/>
    <col min="14340" max="14340" width="12.7109375" customWidth="1"/>
    <col min="14341" max="14341" width="17.28515625" customWidth="1"/>
    <col min="14342" max="14342" width="12.7109375" customWidth="1"/>
    <col min="14343" max="14343" width="16" customWidth="1"/>
    <col min="14344" max="14344" width="15.28515625" customWidth="1"/>
    <col min="14345" max="14345" width="13.140625" customWidth="1"/>
    <col min="14593" max="14593" width="22" customWidth="1"/>
    <col min="14594" max="14594" width="17.140625" customWidth="1"/>
    <col min="14595" max="14595" width="15.7109375" customWidth="1"/>
    <col min="14596" max="14596" width="12.7109375" customWidth="1"/>
    <col min="14597" max="14597" width="17.28515625" customWidth="1"/>
    <col min="14598" max="14598" width="12.7109375" customWidth="1"/>
    <col min="14599" max="14599" width="16" customWidth="1"/>
    <col min="14600" max="14600" width="15.28515625" customWidth="1"/>
    <col min="14601" max="14601" width="13.140625" customWidth="1"/>
    <col min="14849" max="14849" width="22" customWidth="1"/>
    <col min="14850" max="14850" width="17.140625" customWidth="1"/>
    <col min="14851" max="14851" width="15.7109375" customWidth="1"/>
    <col min="14852" max="14852" width="12.7109375" customWidth="1"/>
    <col min="14853" max="14853" width="17.28515625" customWidth="1"/>
    <col min="14854" max="14854" width="12.7109375" customWidth="1"/>
    <col min="14855" max="14855" width="16" customWidth="1"/>
    <col min="14856" max="14856" width="15.28515625" customWidth="1"/>
    <col min="14857" max="14857" width="13.140625" customWidth="1"/>
    <col min="15105" max="15105" width="22" customWidth="1"/>
    <col min="15106" max="15106" width="17.140625" customWidth="1"/>
    <col min="15107" max="15107" width="15.7109375" customWidth="1"/>
    <col min="15108" max="15108" width="12.7109375" customWidth="1"/>
    <col min="15109" max="15109" width="17.28515625" customWidth="1"/>
    <col min="15110" max="15110" width="12.7109375" customWidth="1"/>
    <col min="15111" max="15111" width="16" customWidth="1"/>
    <col min="15112" max="15112" width="15.28515625" customWidth="1"/>
    <col min="15113" max="15113" width="13.140625" customWidth="1"/>
    <col min="15361" max="15361" width="22" customWidth="1"/>
    <col min="15362" max="15362" width="17.140625" customWidth="1"/>
    <col min="15363" max="15363" width="15.7109375" customWidth="1"/>
    <col min="15364" max="15364" width="12.7109375" customWidth="1"/>
    <col min="15365" max="15365" width="17.28515625" customWidth="1"/>
    <col min="15366" max="15366" width="12.7109375" customWidth="1"/>
    <col min="15367" max="15367" width="16" customWidth="1"/>
    <col min="15368" max="15368" width="15.28515625" customWidth="1"/>
    <col min="15369" max="15369" width="13.140625" customWidth="1"/>
    <col min="15617" max="15617" width="22" customWidth="1"/>
    <col min="15618" max="15618" width="17.140625" customWidth="1"/>
    <col min="15619" max="15619" width="15.7109375" customWidth="1"/>
    <col min="15620" max="15620" width="12.7109375" customWidth="1"/>
    <col min="15621" max="15621" width="17.28515625" customWidth="1"/>
    <col min="15622" max="15622" width="12.7109375" customWidth="1"/>
    <col min="15623" max="15623" width="16" customWidth="1"/>
    <col min="15624" max="15624" width="15.28515625" customWidth="1"/>
    <col min="15625" max="15625" width="13.140625" customWidth="1"/>
    <col min="15873" max="15873" width="22" customWidth="1"/>
    <col min="15874" max="15874" width="17.140625" customWidth="1"/>
    <col min="15875" max="15875" width="15.7109375" customWidth="1"/>
    <col min="15876" max="15876" width="12.7109375" customWidth="1"/>
    <col min="15877" max="15877" width="17.28515625" customWidth="1"/>
    <col min="15878" max="15878" width="12.7109375" customWidth="1"/>
    <col min="15879" max="15879" width="16" customWidth="1"/>
    <col min="15880" max="15880" width="15.28515625" customWidth="1"/>
    <col min="15881" max="15881" width="13.140625" customWidth="1"/>
    <col min="16129" max="16129" width="22" customWidth="1"/>
    <col min="16130" max="16130" width="17.140625" customWidth="1"/>
    <col min="16131" max="16131" width="15.7109375" customWidth="1"/>
    <col min="16132" max="16132" width="12.7109375" customWidth="1"/>
    <col min="16133" max="16133" width="17.28515625" customWidth="1"/>
    <col min="16134" max="16134" width="12.7109375" customWidth="1"/>
    <col min="16135" max="16135" width="16" customWidth="1"/>
    <col min="16136" max="16136" width="15.28515625" customWidth="1"/>
    <col min="16137" max="16137" width="13.140625" customWidth="1"/>
  </cols>
  <sheetData>
    <row r="1" spans="1:9" ht="15.75" x14ac:dyDescent="0.2">
      <c r="A1" s="624" t="s">
        <v>886</v>
      </c>
      <c r="B1" s="624"/>
      <c r="C1" s="624"/>
      <c r="D1" s="624"/>
      <c r="E1" s="624"/>
      <c r="F1" s="624"/>
      <c r="G1" s="624"/>
      <c r="H1" s="624"/>
      <c r="I1" s="624"/>
    </row>
    <row r="2" spans="1:9" ht="60" x14ac:dyDescent="0.2">
      <c r="A2" s="139" t="s">
        <v>222</v>
      </c>
      <c r="B2" s="139" t="s">
        <v>0</v>
      </c>
      <c r="C2" s="200" t="s">
        <v>715</v>
      </c>
      <c r="D2" s="48" t="s">
        <v>98</v>
      </c>
      <c r="E2" s="200" t="s">
        <v>99</v>
      </c>
      <c r="F2" s="48" t="s">
        <v>100</v>
      </c>
      <c r="G2" s="48" t="s">
        <v>101</v>
      </c>
      <c r="H2" s="49" t="s">
        <v>102</v>
      </c>
      <c r="I2" s="201" t="s">
        <v>103</v>
      </c>
    </row>
    <row r="3" spans="1:9" ht="63.75" customHeight="1" x14ac:dyDescent="0.2">
      <c r="A3" s="132" t="s">
        <v>887</v>
      </c>
      <c r="B3" s="13" t="s">
        <v>888</v>
      </c>
      <c r="C3" s="555">
        <v>638070</v>
      </c>
      <c r="D3" s="530">
        <v>510456</v>
      </c>
      <c r="E3" s="132" t="s">
        <v>401</v>
      </c>
      <c r="F3" s="556" t="s">
        <v>165</v>
      </c>
      <c r="G3" s="530">
        <v>510456</v>
      </c>
      <c r="H3" s="132" t="s">
        <v>889</v>
      </c>
      <c r="I3" s="532" t="s">
        <v>890</v>
      </c>
    </row>
    <row r="4" spans="1:9" ht="63.75" customHeight="1" x14ac:dyDescent="0.2">
      <c r="A4" s="132" t="s">
        <v>554</v>
      </c>
      <c r="B4" s="557" t="s">
        <v>891</v>
      </c>
      <c r="C4" s="555">
        <v>2456000</v>
      </c>
      <c r="D4" s="530">
        <v>1028000</v>
      </c>
      <c r="E4" s="132" t="s">
        <v>892</v>
      </c>
      <c r="F4" s="556" t="s">
        <v>165</v>
      </c>
      <c r="G4" s="530">
        <v>1028000</v>
      </c>
      <c r="H4" s="132" t="s">
        <v>889</v>
      </c>
      <c r="I4" s="532" t="s">
        <v>890</v>
      </c>
    </row>
    <row r="5" spans="1:9" ht="54" customHeight="1" x14ac:dyDescent="0.2">
      <c r="A5" s="132" t="s">
        <v>846</v>
      </c>
      <c r="B5" s="557" t="s">
        <v>893</v>
      </c>
      <c r="C5" s="555">
        <v>5868666.8799999999</v>
      </c>
      <c r="D5" s="530">
        <v>835732</v>
      </c>
      <c r="E5" s="132" t="s">
        <v>401</v>
      </c>
      <c r="F5" s="556" t="s">
        <v>165</v>
      </c>
      <c r="G5" s="530">
        <v>835732</v>
      </c>
      <c r="H5" s="558" t="s">
        <v>894</v>
      </c>
      <c r="I5" s="532" t="s">
        <v>890</v>
      </c>
    </row>
    <row r="6" spans="1:9" ht="51" x14ac:dyDescent="0.2">
      <c r="A6" s="132" t="s">
        <v>895</v>
      </c>
      <c r="B6" s="557" t="s">
        <v>896</v>
      </c>
      <c r="C6" s="555">
        <v>881000</v>
      </c>
      <c r="D6" s="530">
        <v>660750</v>
      </c>
      <c r="E6" s="132" t="s">
        <v>401</v>
      </c>
      <c r="F6" s="556" t="s">
        <v>165</v>
      </c>
      <c r="G6" s="530">
        <v>660750</v>
      </c>
      <c r="H6" s="132" t="s">
        <v>889</v>
      </c>
      <c r="I6" s="532" t="s">
        <v>890</v>
      </c>
    </row>
    <row r="7" spans="1:9" ht="39.75" customHeight="1" x14ac:dyDescent="0.2">
      <c r="A7" s="132" t="s">
        <v>897</v>
      </c>
      <c r="B7" s="557" t="s">
        <v>898</v>
      </c>
      <c r="C7" s="555">
        <v>189905.62</v>
      </c>
      <c r="D7" s="530">
        <v>151925</v>
      </c>
      <c r="E7" s="132" t="s">
        <v>401</v>
      </c>
      <c r="F7" s="556" t="s">
        <v>165</v>
      </c>
      <c r="G7" s="530">
        <v>151925</v>
      </c>
      <c r="H7" s="132" t="s">
        <v>889</v>
      </c>
      <c r="I7" s="532" t="s">
        <v>890</v>
      </c>
    </row>
    <row r="8" spans="1:9" x14ac:dyDescent="0.2">
      <c r="A8" s="533"/>
      <c r="B8" s="533"/>
      <c r="C8" s="559">
        <f>SUM(C3:C7)</f>
        <v>10033642.499999998</v>
      </c>
      <c r="D8" s="559">
        <f>SUM(D3:D7)</f>
        <v>3186863</v>
      </c>
      <c r="E8" s="533"/>
      <c r="F8" s="559">
        <f>SUM(F3:F7)</f>
        <v>0</v>
      </c>
      <c r="G8" s="559">
        <f>SUM(G3:G7)</f>
        <v>3186863</v>
      </c>
      <c r="H8" s="533"/>
      <c r="I8" s="533"/>
    </row>
    <row r="9" spans="1:9" s="408" customFormat="1" x14ac:dyDescent="0.2">
      <c r="A9" s="560"/>
      <c r="B9" s="560"/>
      <c r="C9" s="561"/>
      <c r="D9" s="561"/>
      <c r="E9" s="560"/>
      <c r="F9" s="561"/>
      <c r="G9" s="560"/>
      <c r="H9" s="560"/>
      <c r="I9" s="560"/>
    </row>
    <row r="10" spans="1:9" ht="15.75" x14ac:dyDescent="0.2">
      <c r="A10" s="624" t="s">
        <v>838</v>
      </c>
      <c r="B10" s="624"/>
      <c r="C10" s="624"/>
      <c r="D10" s="624"/>
      <c r="E10" s="624"/>
      <c r="F10" s="624"/>
      <c r="G10" s="624"/>
      <c r="H10" s="624"/>
      <c r="I10" s="624"/>
    </row>
    <row r="11" spans="1:9" ht="60" x14ac:dyDescent="0.2">
      <c r="A11" s="139" t="s">
        <v>222</v>
      </c>
      <c r="B11" s="139" t="s">
        <v>0</v>
      </c>
      <c r="C11" s="200" t="s">
        <v>715</v>
      </c>
      <c r="D11" s="48" t="s">
        <v>98</v>
      </c>
      <c r="E11" s="200" t="s">
        <v>99</v>
      </c>
      <c r="F11" s="48" t="s">
        <v>100</v>
      </c>
      <c r="G11" s="48" t="s">
        <v>101</v>
      </c>
      <c r="H11" s="49" t="s">
        <v>102</v>
      </c>
      <c r="I11" s="201" t="s">
        <v>103</v>
      </c>
    </row>
    <row r="12" spans="1:9" ht="42.75" customHeight="1" x14ac:dyDescent="0.2">
      <c r="A12" s="132" t="s">
        <v>173</v>
      </c>
      <c r="B12" s="13" t="s">
        <v>839</v>
      </c>
      <c r="C12" s="530">
        <v>5169660</v>
      </c>
      <c r="D12" s="530">
        <v>1008000</v>
      </c>
      <c r="E12" s="132" t="s">
        <v>401</v>
      </c>
      <c r="F12" s="562">
        <v>1008000</v>
      </c>
      <c r="G12" s="530">
        <v>0</v>
      </c>
      <c r="H12" s="132" t="s">
        <v>718</v>
      </c>
      <c r="I12" s="563" t="s">
        <v>899</v>
      </c>
    </row>
    <row r="13" spans="1:9" ht="89.25" x14ac:dyDescent="0.2">
      <c r="A13" s="132" t="s">
        <v>724</v>
      </c>
      <c r="B13" s="13" t="s">
        <v>842</v>
      </c>
      <c r="C13" s="530">
        <v>1384000</v>
      </c>
      <c r="D13" s="530">
        <v>655000</v>
      </c>
      <c r="E13" s="132" t="s">
        <v>401</v>
      </c>
      <c r="F13" s="531" t="s">
        <v>840</v>
      </c>
      <c r="G13" s="530">
        <v>655000</v>
      </c>
      <c r="H13" s="132" t="s">
        <v>718</v>
      </c>
      <c r="I13" s="532" t="s">
        <v>841</v>
      </c>
    </row>
    <row r="14" spans="1:9" ht="51" x14ac:dyDescent="0.2">
      <c r="A14" s="132" t="s">
        <v>843</v>
      </c>
      <c r="B14" s="13" t="s">
        <v>844</v>
      </c>
      <c r="C14" s="530">
        <v>5334455.18</v>
      </c>
      <c r="D14" s="530">
        <v>952482</v>
      </c>
      <c r="E14" s="132" t="s">
        <v>401</v>
      </c>
      <c r="F14" s="564">
        <v>467122.49</v>
      </c>
      <c r="G14" s="530">
        <f>D14-F14</f>
        <v>485359.51</v>
      </c>
      <c r="H14" s="132" t="s">
        <v>718</v>
      </c>
      <c r="I14" s="532" t="s">
        <v>841</v>
      </c>
    </row>
    <row r="15" spans="1:9" x14ac:dyDescent="0.2">
      <c r="A15" s="533"/>
      <c r="B15" s="533"/>
      <c r="C15" s="559">
        <f>SUM(C12:C14)</f>
        <v>11888115.18</v>
      </c>
      <c r="D15" s="559">
        <f>SUM(D12:D14)</f>
        <v>2615482</v>
      </c>
      <c r="E15" s="533"/>
      <c r="F15" s="559">
        <f>SUM(F12:F14)</f>
        <v>1475122.49</v>
      </c>
      <c r="G15" s="559">
        <f>SUM(G12:G14)</f>
        <v>1140359.51</v>
      </c>
      <c r="H15" s="533"/>
      <c r="I15" s="533"/>
    </row>
    <row r="16" spans="1:9" s="408" customFormat="1" x14ac:dyDescent="0.2">
      <c r="A16" s="560"/>
      <c r="B16" s="560"/>
      <c r="C16" s="561"/>
      <c r="D16" s="561"/>
      <c r="E16" s="560"/>
      <c r="F16" s="561"/>
      <c r="G16" s="560"/>
      <c r="H16" s="560"/>
      <c r="I16" s="560"/>
    </row>
    <row r="17" spans="1:12" ht="15.75" x14ac:dyDescent="0.2">
      <c r="A17" s="624" t="s">
        <v>714</v>
      </c>
      <c r="B17" s="624"/>
      <c r="C17" s="624"/>
      <c r="D17" s="624"/>
      <c r="E17" s="624"/>
      <c r="F17" s="624"/>
      <c r="G17" s="624"/>
      <c r="H17" s="624"/>
      <c r="I17" s="624"/>
    </row>
    <row r="18" spans="1:12" ht="60" x14ac:dyDescent="0.2">
      <c r="A18" s="139" t="s">
        <v>222</v>
      </c>
      <c r="B18" s="139" t="s">
        <v>0</v>
      </c>
      <c r="C18" s="200" t="s">
        <v>715</v>
      </c>
      <c r="D18" s="48" t="s">
        <v>98</v>
      </c>
      <c r="E18" s="200" t="s">
        <v>99</v>
      </c>
      <c r="F18" s="48" t="s">
        <v>100</v>
      </c>
      <c r="G18" s="48" t="s">
        <v>101</v>
      </c>
      <c r="H18" s="49" t="s">
        <v>102</v>
      </c>
      <c r="I18" s="201" t="s">
        <v>103</v>
      </c>
    </row>
    <row r="19" spans="1:12" ht="25.5" x14ac:dyDescent="0.2">
      <c r="A19" s="13" t="s">
        <v>716</v>
      </c>
      <c r="B19" s="13" t="s">
        <v>717</v>
      </c>
      <c r="C19" s="216">
        <v>10282248</v>
      </c>
      <c r="D19" s="216">
        <v>926000</v>
      </c>
      <c r="E19" s="204" t="s">
        <v>401</v>
      </c>
      <c r="F19" s="449">
        <v>0</v>
      </c>
      <c r="G19" s="216">
        <v>0</v>
      </c>
      <c r="H19" s="13" t="s">
        <v>594</v>
      </c>
      <c r="I19" s="219" t="s">
        <v>295</v>
      </c>
    </row>
    <row r="20" spans="1:12" ht="63.75" x14ac:dyDescent="0.2">
      <c r="A20" s="41" t="s">
        <v>719</v>
      </c>
      <c r="B20" s="24" t="s">
        <v>720</v>
      </c>
      <c r="C20" s="216">
        <v>3268280</v>
      </c>
      <c r="D20" s="216">
        <v>156000</v>
      </c>
      <c r="E20" s="204" t="s">
        <v>401</v>
      </c>
      <c r="F20" s="449">
        <v>0</v>
      </c>
      <c r="G20" s="216">
        <v>156000</v>
      </c>
      <c r="H20" s="13" t="s">
        <v>900</v>
      </c>
      <c r="I20" s="534" t="s">
        <v>901</v>
      </c>
    </row>
    <row r="21" spans="1:12" s="3" customFormat="1" ht="51" x14ac:dyDescent="0.2">
      <c r="A21" s="13" t="s">
        <v>846</v>
      </c>
      <c r="B21" s="13" t="s">
        <v>721</v>
      </c>
      <c r="C21" s="216">
        <v>5427934</v>
      </c>
      <c r="D21" s="216">
        <v>1100000</v>
      </c>
      <c r="E21" s="13" t="s">
        <v>401</v>
      </c>
      <c r="F21" s="449">
        <v>1100000</v>
      </c>
      <c r="G21" s="216">
        <v>0</v>
      </c>
      <c r="H21" s="13" t="s">
        <v>739</v>
      </c>
      <c r="I21" s="534" t="s">
        <v>902</v>
      </c>
    </row>
    <row r="22" spans="1:12" ht="38.25" x14ac:dyDescent="0.2">
      <c r="A22" s="13" t="s">
        <v>722</v>
      </c>
      <c r="B22" s="13" t="s">
        <v>723</v>
      </c>
      <c r="C22" s="216">
        <v>1100000</v>
      </c>
      <c r="D22" s="216">
        <v>24000</v>
      </c>
      <c r="E22" s="13" t="s">
        <v>401</v>
      </c>
      <c r="F22" s="449">
        <v>0</v>
      </c>
      <c r="G22" s="216">
        <v>24000</v>
      </c>
      <c r="H22" s="13" t="s">
        <v>718</v>
      </c>
      <c r="I22" s="534" t="s">
        <v>845</v>
      </c>
    </row>
    <row r="23" spans="1:12" ht="38.25" x14ac:dyDescent="0.2">
      <c r="A23" s="13" t="s">
        <v>724</v>
      </c>
      <c r="B23" s="13" t="s">
        <v>725</v>
      </c>
      <c r="C23" s="216">
        <v>951866</v>
      </c>
      <c r="D23" s="216">
        <v>696436</v>
      </c>
      <c r="E23" s="13" t="s">
        <v>401</v>
      </c>
      <c r="F23" s="449">
        <v>287574</v>
      </c>
      <c r="G23" s="216">
        <v>417862</v>
      </c>
      <c r="H23" s="13" t="s">
        <v>718</v>
      </c>
      <c r="I23" s="534" t="s">
        <v>845</v>
      </c>
    </row>
    <row r="24" spans="1:12" ht="51" x14ac:dyDescent="0.2">
      <c r="A24" s="13" t="s">
        <v>726</v>
      </c>
      <c r="B24" s="13" t="s">
        <v>727</v>
      </c>
      <c r="C24" s="216">
        <v>196171</v>
      </c>
      <c r="D24" s="216">
        <v>156936</v>
      </c>
      <c r="E24" s="13" t="s">
        <v>401</v>
      </c>
      <c r="F24" s="449">
        <v>0</v>
      </c>
      <c r="G24" s="216">
        <v>156936</v>
      </c>
      <c r="H24" s="13" t="s">
        <v>718</v>
      </c>
      <c r="I24" s="534" t="s">
        <v>845</v>
      </c>
    </row>
    <row r="25" spans="1:12" ht="38.25" x14ac:dyDescent="0.2">
      <c r="A25" s="13" t="s">
        <v>728</v>
      </c>
      <c r="B25" s="13" t="s">
        <v>729</v>
      </c>
      <c r="C25" s="216">
        <v>602312</v>
      </c>
      <c r="D25" s="216">
        <v>385000</v>
      </c>
      <c r="E25" s="13" t="s">
        <v>401</v>
      </c>
      <c r="F25" s="449">
        <v>321611.17</v>
      </c>
      <c r="G25" s="216">
        <v>0</v>
      </c>
      <c r="H25" s="13" t="s">
        <v>903</v>
      </c>
      <c r="I25" s="534" t="s">
        <v>904</v>
      </c>
    </row>
    <row r="26" spans="1:12" ht="38.25" x14ac:dyDescent="0.2">
      <c r="A26" s="13" t="s">
        <v>730</v>
      </c>
      <c r="B26" s="13" t="s">
        <v>731</v>
      </c>
      <c r="C26" s="216">
        <v>987551</v>
      </c>
      <c r="D26" s="216">
        <v>493775</v>
      </c>
      <c r="E26" s="13" t="s">
        <v>401</v>
      </c>
      <c r="F26" s="449">
        <v>493775</v>
      </c>
      <c r="G26" s="216">
        <v>0</v>
      </c>
      <c r="H26" s="13" t="s">
        <v>905</v>
      </c>
      <c r="I26" s="534" t="s">
        <v>899</v>
      </c>
    </row>
    <row r="27" spans="1:12" ht="38.25" x14ac:dyDescent="0.2">
      <c r="A27" s="13" t="s">
        <v>732</v>
      </c>
      <c r="B27" s="13" t="s">
        <v>733</v>
      </c>
      <c r="C27" s="216">
        <v>2500000</v>
      </c>
      <c r="D27" s="216">
        <v>500000</v>
      </c>
      <c r="E27" s="13" t="s">
        <v>401</v>
      </c>
      <c r="F27" s="449">
        <v>0</v>
      </c>
      <c r="G27" s="216">
        <v>500000</v>
      </c>
      <c r="H27" s="13" t="s">
        <v>847</v>
      </c>
      <c r="I27" s="534" t="s">
        <v>845</v>
      </c>
    </row>
    <row r="28" spans="1:12" ht="51" x14ac:dyDescent="0.2">
      <c r="A28" s="13" t="s">
        <v>734</v>
      </c>
      <c r="B28" s="13" t="s">
        <v>735</v>
      </c>
      <c r="C28" s="216">
        <v>250196</v>
      </c>
      <c r="D28" s="216">
        <v>200157</v>
      </c>
      <c r="E28" s="13" t="s">
        <v>401</v>
      </c>
      <c r="F28" s="449">
        <v>200157</v>
      </c>
      <c r="G28" s="216">
        <v>110040</v>
      </c>
      <c r="H28" s="13" t="s">
        <v>718</v>
      </c>
      <c r="I28" s="534" t="s">
        <v>845</v>
      </c>
    </row>
    <row r="29" spans="1:12" ht="38.25" x14ac:dyDescent="0.2">
      <c r="A29" s="13" t="s">
        <v>736</v>
      </c>
      <c r="B29" s="13" t="s">
        <v>737</v>
      </c>
      <c r="C29" s="216">
        <v>70400</v>
      </c>
      <c r="D29" s="216">
        <v>56320</v>
      </c>
      <c r="E29" s="13" t="s">
        <v>401</v>
      </c>
      <c r="F29" s="449">
        <v>56320</v>
      </c>
      <c r="G29" s="216">
        <v>0</v>
      </c>
      <c r="H29" s="13" t="s">
        <v>906</v>
      </c>
      <c r="I29" s="534" t="s">
        <v>848</v>
      </c>
    </row>
    <row r="30" spans="1:12" x14ac:dyDescent="0.2">
      <c r="A30" s="144"/>
      <c r="B30" s="144"/>
      <c r="C30" s="151">
        <f>SUM(C19:C29)</f>
        <v>25636958</v>
      </c>
      <c r="D30" s="151">
        <f>SUM(D19:D29)</f>
        <v>4694624</v>
      </c>
      <c r="E30" s="151"/>
      <c r="F30" s="151">
        <f>SUM(F19:F29)</f>
        <v>2459437.17</v>
      </c>
      <c r="G30" s="151">
        <f>SUM(G19:G29)</f>
        <v>1364838</v>
      </c>
      <c r="H30" s="145"/>
      <c r="I30" s="145"/>
    </row>
    <row r="32" spans="1:12" ht="15.75" x14ac:dyDescent="0.2">
      <c r="A32" s="624" t="s">
        <v>582</v>
      </c>
      <c r="B32" s="624"/>
      <c r="C32" s="624"/>
      <c r="D32" s="624"/>
      <c r="E32" s="624"/>
      <c r="F32" s="624"/>
      <c r="G32" s="624"/>
      <c r="H32" s="624"/>
      <c r="I32" s="624"/>
      <c r="J32" s="138"/>
      <c r="K32" s="138"/>
      <c r="L32" s="138"/>
    </row>
    <row r="33" spans="1:12" ht="45" x14ac:dyDescent="0.2">
      <c r="A33" s="139" t="s">
        <v>222</v>
      </c>
      <c r="B33" s="139" t="s">
        <v>0</v>
      </c>
      <c r="C33" s="200" t="s">
        <v>1</v>
      </c>
      <c r="D33" s="48" t="s">
        <v>98</v>
      </c>
      <c r="E33" s="200" t="s">
        <v>99</v>
      </c>
      <c r="F33" s="48" t="s">
        <v>100</v>
      </c>
      <c r="G33" s="48" t="s">
        <v>101</v>
      </c>
      <c r="H33" s="49" t="s">
        <v>102</v>
      </c>
      <c r="I33" s="201" t="s">
        <v>103</v>
      </c>
    </row>
    <row r="34" spans="1:12" ht="51" x14ac:dyDescent="0.2">
      <c r="A34" s="13" t="s">
        <v>583</v>
      </c>
      <c r="B34" s="13" t="s">
        <v>584</v>
      </c>
      <c r="C34" s="216">
        <v>450000</v>
      </c>
      <c r="D34" s="217">
        <v>165600</v>
      </c>
      <c r="E34" s="204" t="s">
        <v>401</v>
      </c>
      <c r="F34" s="218">
        <v>0</v>
      </c>
      <c r="G34" s="217">
        <v>0</v>
      </c>
      <c r="H34" s="13" t="s">
        <v>738</v>
      </c>
      <c r="I34" s="219" t="s">
        <v>295</v>
      </c>
    </row>
    <row r="35" spans="1:12" s="3" customFormat="1" ht="38.25" x14ac:dyDescent="0.2">
      <c r="A35" s="41" t="s">
        <v>585</v>
      </c>
      <c r="B35" s="24" t="s">
        <v>586</v>
      </c>
      <c r="C35" s="216">
        <v>419375</v>
      </c>
      <c r="D35" s="217">
        <v>200000</v>
      </c>
      <c r="E35" s="204" t="s">
        <v>401</v>
      </c>
      <c r="F35" s="218">
        <v>0</v>
      </c>
      <c r="G35" s="216">
        <v>0</v>
      </c>
      <c r="H35" s="13" t="s">
        <v>594</v>
      </c>
      <c r="I35" s="219" t="s">
        <v>295</v>
      </c>
    </row>
    <row r="36" spans="1:12" ht="89.25" x14ac:dyDescent="0.2">
      <c r="A36" s="13" t="s">
        <v>587</v>
      </c>
      <c r="B36" s="13" t="s">
        <v>588</v>
      </c>
      <c r="C36" s="216">
        <v>706050</v>
      </c>
      <c r="D36" s="217">
        <v>556050</v>
      </c>
      <c r="E36" s="13" t="s">
        <v>589</v>
      </c>
      <c r="F36" s="218">
        <v>556050</v>
      </c>
      <c r="G36" s="217">
        <v>0</v>
      </c>
      <c r="H36" s="13" t="s">
        <v>114</v>
      </c>
      <c r="I36" s="450" t="s">
        <v>849</v>
      </c>
    </row>
    <row r="37" spans="1:12" s="3" customFormat="1" ht="63.75" x14ac:dyDescent="0.2">
      <c r="A37" s="13" t="s">
        <v>590</v>
      </c>
      <c r="B37" s="13" t="s">
        <v>591</v>
      </c>
      <c r="C37" s="216">
        <v>119306</v>
      </c>
      <c r="D37" s="217">
        <v>95445</v>
      </c>
      <c r="E37" s="13" t="s">
        <v>401</v>
      </c>
      <c r="F37" s="218">
        <v>95445</v>
      </c>
      <c r="G37" s="216">
        <v>0</v>
      </c>
      <c r="H37" s="13" t="s">
        <v>485</v>
      </c>
      <c r="I37" s="534" t="s">
        <v>907</v>
      </c>
      <c r="J37" s="357"/>
    </row>
    <row r="38" spans="1:12" s="3" customFormat="1" ht="38.25" x14ac:dyDescent="0.2">
      <c r="A38" s="13" t="s">
        <v>592</v>
      </c>
      <c r="B38" s="13" t="s">
        <v>593</v>
      </c>
      <c r="C38" s="216">
        <v>350356</v>
      </c>
      <c r="D38" s="217">
        <v>280285</v>
      </c>
      <c r="E38" s="13" t="s">
        <v>401</v>
      </c>
      <c r="F38" s="218">
        <v>228800</v>
      </c>
      <c r="G38" s="216">
        <v>0</v>
      </c>
      <c r="H38" s="13" t="s">
        <v>908</v>
      </c>
      <c r="I38" s="534" t="s">
        <v>848</v>
      </c>
      <c r="J38" s="357"/>
    </row>
    <row r="39" spans="1:12" x14ac:dyDescent="0.2">
      <c r="A39" s="144"/>
      <c r="B39" s="144"/>
      <c r="C39" s="151">
        <f>SUM(C34:C38)</f>
        <v>2045087</v>
      </c>
      <c r="D39" s="151">
        <f>SUM(D34:D38)</f>
        <v>1297380</v>
      </c>
      <c r="E39" s="151"/>
      <c r="F39" s="151">
        <f>SUM(F34:F38)</f>
        <v>880295</v>
      </c>
      <c r="G39" s="151">
        <f>SUM(G34:G38)</f>
        <v>0</v>
      </c>
      <c r="H39" s="145"/>
      <c r="I39" s="145"/>
    </row>
    <row r="40" spans="1:12" s="3" customFormat="1" x14ac:dyDescent="0.2">
      <c r="A40" s="355"/>
      <c r="B40" s="355"/>
      <c r="C40" s="250"/>
      <c r="D40" s="250"/>
      <c r="E40" s="250"/>
      <c r="F40" s="250"/>
      <c r="G40" s="250"/>
      <c r="H40" s="356"/>
      <c r="I40" s="356"/>
    </row>
    <row r="41" spans="1:12" ht="15.75" x14ac:dyDescent="0.2">
      <c r="A41" s="624" t="s">
        <v>470</v>
      </c>
      <c r="B41" s="624"/>
      <c r="C41" s="624"/>
      <c r="D41" s="624"/>
      <c r="E41" s="624"/>
      <c r="F41" s="624"/>
      <c r="G41" s="624"/>
      <c r="H41" s="624"/>
      <c r="I41" s="624"/>
      <c r="J41" s="138"/>
      <c r="K41" s="138"/>
      <c r="L41" s="138"/>
    </row>
    <row r="42" spans="1:12" ht="45" x14ac:dyDescent="0.2">
      <c r="A42" s="139" t="s">
        <v>222</v>
      </c>
      <c r="B42" s="139" t="s">
        <v>0</v>
      </c>
      <c r="C42" s="200" t="s">
        <v>1</v>
      </c>
      <c r="D42" s="48" t="s">
        <v>98</v>
      </c>
      <c r="E42" s="200" t="s">
        <v>99</v>
      </c>
      <c r="F42" s="48" t="s">
        <v>100</v>
      </c>
      <c r="G42" s="48" t="s">
        <v>101</v>
      </c>
      <c r="H42" s="49" t="s">
        <v>102</v>
      </c>
      <c r="I42" s="201" t="s">
        <v>103</v>
      </c>
    </row>
    <row r="43" spans="1:12" s="3" customFormat="1" ht="38.25" x14ac:dyDescent="0.2">
      <c r="A43" s="13" t="s">
        <v>471</v>
      </c>
      <c r="B43" s="10" t="s">
        <v>472</v>
      </c>
      <c r="C43" s="216">
        <v>654315</v>
      </c>
      <c r="D43" s="217">
        <v>523452</v>
      </c>
      <c r="E43" s="202" t="s">
        <v>473</v>
      </c>
      <c r="F43" s="217">
        <v>523452</v>
      </c>
      <c r="G43" s="217">
        <v>0</v>
      </c>
      <c r="H43" s="13" t="s">
        <v>243</v>
      </c>
      <c r="I43" s="219">
        <v>43174</v>
      </c>
    </row>
    <row r="44" spans="1:12" ht="25.5" x14ac:dyDescent="0.2">
      <c r="A44" s="41" t="s">
        <v>474</v>
      </c>
      <c r="B44" s="24" t="s">
        <v>475</v>
      </c>
      <c r="C44" s="216">
        <v>9614000</v>
      </c>
      <c r="D44" s="217">
        <v>500000</v>
      </c>
      <c r="E44" s="204" t="s">
        <v>401</v>
      </c>
      <c r="F44" s="218">
        <v>0</v>
      </c>
      <c r="G44" s="216">
        <v>0</v>
      </c>
      <c r="H44" s="13" t="s">
        <v>594</v>
      </c>
      <c r="I44" s="219" t="s">
        <v>295</v>
      </c>
    </row>
    <row r="45" spans="1:12" s="3" customFormat="1" ht="38.25" x14ac:dyDescent="0.2">
      <c r="A45" s="13" t="s">
        <v>476</v>
      </c>
      <c r="B45" s="13" t="s">
        <v>477</v>
      </c>
      <c r="C45" s="216">
        <v>10000000</v>
      </c>
      <c r="D45" s="217">
        <v>1700000</v>
      </c>
      <c r="E45" s="13" t="s">
        <v>401</v>
      </c>
      <c r="F45" s="218">
        <v>0</v>
      </c>
      <c r="G45" s="217">
        <v>1700000</v>
      </c>
      <c r="H45" s="13" t="s">
        <v>850</v>
      </c>
      <c r="I45" s="534" t="s">
        <v>851</v>
      </c>
    </row>
    <row r="46" spans="1:12" s="3" customFormat="1" ht="25.5" x14ac:dyDescent="0.2">
      <c r="A46" s="13" t="s">
        <v>478</v>
      </c>
      <c r="B46" s="13" t="s">
        <v>479</v>
      </c>
      <c r="C46" s="216">
        <v>2100000</v>
      </c>
      <c r="D46" s="217">
        <v>1600000</v>
      </c>
      <c r="E46" s="10" t="s">
        <v>473</v>
      </c>
      <c r="F46" s="218">
        <v>0</v>
      </c>
      <c r="G46" s="216">
        <v>1600000</v>
      </c>
      <c r="H46" s="13" t="s">
        <v>909</v>
      </c>
      <c r="I46" s="219" t="s">
        <v>295</v>
      </c>
      <c r="J46" s="357"/>
    </row>
    <row r="47" spans="1:12" s="3" customFormat="1" ht="25.5" x14ac:dyDescent="0.2">
      <c r="A47" s="13" t="s">
        <v>480</v>
      </c>
      <c r="B47" s="13" t="s">
        <v>481</v>
      </c>
      <c r="C47" s="216">
        <v>286000</v>
      </c>
      <c r="D47" s="217">
        <v>228800</v>
      </c>
      <c r="E47" s="10" t="s">
        <v>473</v>
      </c>
      <c r="F47" s="218">
        <v>228800</v>
      </c>
      <c r="G47" s="216">
        <v>0</v>
      </c>
      <c r="H47" s="13" t="s">
        <v>739</v>
      </c>
      <c r="I47" s="219" t="s">
        <v>899</v>
      </c>
      <c r="J47" s="357"/>
    </row>
    <row r="48" spans="1:12" s="357" customFormat="1" ht="38.25" x14ac:dyDescent="0.2">
      <c r="A48" s="13" t="s">
        <v>482</v>
      </c>
      <c r="B48" s="13" t="s">
        <v>483</v>
      </c>
      <c r="C48" s="216">
        <v>130000</v>
      </c>
      <c r="D48" s="216">
        <v>100000</v>
      </c>
      <c r="E48" s="13" t="s">
        <v>484</v>
      </c>
      <c r="F48" s="449">
        <v>95796.41</v>
      </c>
      <c r="G48" s="216">
        <v>0</v>
      </c>
      <c r="H48" s="13" t="s">
        <v>852</v>
      </c>
      <c r="I48" s="219">
        <v>42467</v>
      </c>
    </row>
    <row r="49" spans="1:12" x14ac:dyDescent="0.2">
      <c r="A49" s="144"/>
      <c r="B49" s="144"/>
      <c r="C49" s="151">
        <f>SUM(C43:C48)</f>
        <v>22784315</v>
      </c>
      <c r="D49" s="151">
        <f>SUM(D43:D48)</f>
        <v>4652252</v>
      </c>
      <c r="E49" s="151"/>
      <c r="F49" s="151">
        <f>SUM(F43:F48)</f>
        <v>848048.41</v>
      </c>
      <c r="G49" s="151">
        <f>SUM(G43:G48)</f>
        <v>3300000</v>
      </c>
      <c r="H49" s="145"/>
      <c r="I49" s="145"/>
    </row>
    <row r="50" spans="1:12" ht="15.75" x14ac:dyDescent="0.2">
      <c r="A50" s="628" t="s">
        <v>396</v>
      </c>
      <c r="B50" s="628"/>
      <c r="C50" s="628"/>
      <c r="D50" s="628"/>
      <c r="E50" s="628"/>
      <c r="F50" s="628"/>
      <c r="G50" s="628"/>
      <c r="H50" s="628"/>
      <c r="I50" s="628"/>
      <c r="J50" s="138"/>
      <c r="K50" s="138"/>
      <c r="L50" s="138"/>
    </row>
    <row r="51" spans="1:12" ht="45" x14ac:dyDescent="0.2">
      <c r="A51" s="139" t="s">
        <v>222</v>
      </c>
      <c r="B51" s="139" t="s">
        <v>0</v>
      </c>
      <c r="C51" s="200" t="s">
        <v>1</v>
      </c>
      <c r="D51" s="48" t="s">
        <v>98</v>
      </c>
      <c r="E51" s="200" t="s">
        <v>99</v>
      </c>
      <c r="F51" s="48" t="s">
        <v>100</v>
      </c>
      <c r="G51" s="48" t="s">
        <v>101</v>
      </c>
      <c r="H51" s="49" t="s">
        <v>102</v>
      </c>
      <c r="I51" s="201" t="s">
        <v>103</v>
      </c>
    </row>
    <row r="52" spans="1:12" ht="25.5" x14ac:dyDescent="0.2">
      <c r="A52" s="11" t="s">
        <v>397</v>
      </c>
      <c r="B52" s="2" t="s">
        <v>398</v>
      </c>
      <c r="C52" s="216">
        <v>150000000</v>
      </c>
      <c r="D52" s="146">
        <v>324000</v>
      </c>
      <c r="E52" s="202" t="s">
        <v>227</v>
      </c>
      <c r="F52" s="133">
        <v>324000</v>
      </c>
      <c r="G52" s="140">
        <v>0</v>
      </c>
      <c r="H52" s="11" t="s">
        <v>114</v>
      </c>
      <c r="I52" s="203">
        <v>42109</v>
      </c>
    </row>
    <row r="53" spans="1:12" ht="25.5" x14ac:dyDescent="0.2">
      <c r="A53" s="197" t="s">
        <v>399</v>
      </c>
      <c r="B53" s="24" t="s">
        <v>400</v>
      </c>
      <c r="C53" s="216">
        <v>14832000</v>
      </c>
      <c r="D53" s="146">
        <v>419000</v>
      </c>
      <c r="E53" s="204" t="s">
        <v>401</v>
      </c>
      <c r="F53" s="133">
        <v>419000</v>
      </c>
      <c r="G53" s="141">
        <v>0</v>
      </c>
      <c r="H53" s="11" t="s">
        <v>114</v>
      </c>
      <c r="I53" s="203">
        <v>41801</v>
      </c>
    </row>
    <row r="54" spans="1:12" s="137" customFormat="1" ht="25.5" x14ac:dyDescent="0.2">
      <c r="A54" s="11" t="s">
        <v>402</v>
      </c>
      <c r="B54" s="11" t="s">
        <v>403</v>
      </c>
      <c r="C54" s="216">
        <v>30000000</v>
      </c>
      <c r="D54" s="150">
        <v>108000</v>
      </c>
      <c r="E54" s="13" t="s">
        <v>401</v>
      </c>
      <c r="F54" s="153">
        <v>0</v>
      </c>
      <c r="G54" s="141">
        <v>0</v>
      </c>
      <c r="H54" s="11" t="s">
        <v>740</v>
      </c>
      <c r="I54" s="219" t="s">
        <v>295</v>
      </c>
    </row>
    <row r="55" spans="1:12" x14ac:dyDescent="0.2">
      <c r="A55" s="11" t="s">
        <v>404</v>
      </c>
      <c r="B55" s="11" t="s">
        <v>405</v>
      </c>
      <c r="C55" s="216">
        <v>24000000</v>
      </c>
      <c r="D55" s="146">
        <v>1450000</v>
      </c>
      <c r="E55" s="10" t="s">
        <v>401</v>
      </c>
      <c r="F55" s="133">
        <v>1450000</v>
      </c>
      <c r="G55" s="141">
        <v>0</v>
      </c>
      <c r="H55" s="11" t="s">
        <v>114</v>
      </c>
      <c r="I55" s="205">
        <v>42325</v>
      </c>
      <c r="J55" s="137"/>
    </row>
    <row r="56" spans="1:12" x14ac:dyDescent="0.2">
      <c r="A56" s="11" t="s">
        <v>406</v>
      </c>
      <c r="B56" s="11" t="s">
        <v>407</v>
      </c>
      <c r="C56" s="216">
        <v>2840000</v>
      </c>
      <c r="D56" s="146">
        <v>725000</v>
      </c>
      <c r="E56" s="10" t="s">
        <v>401</v>
      </c>
      <c r="F56" s="133">
        <v>725000</v>
      </c>
      <c r="G56" s="141">
        <v>0</v>
      </c>
      <c r="H56" s="11" t="s">
        <v>114</v>
      </c>
      <c r="I56" s="205">
        <v>42143</v>
      </c>
      <c r="J56" s="137"/>
    </row>
    <row r="57" spans="1:12" ht="25.5" x14ac:dyDescent="0.2">
      <c r="A57" s="11" t="s">
        <v>408</v>
      </c>
      <c r="B57" s="11" t="s">
        <v>233</v>
      </c>
      <c r="C57" s="216">
        <v>118000</v>
      </c>
      <c r="D57" s="146">
        <v>94400</v>
      </c>
      <c r="E57" s="10" t="s">
        <v>223</v>
      </c>
      <c r="F57" s="133">
        <v>92568</v>
      </c>
      <c r="G57" s="141">
        <v>0</v>
      </c>
      <c r="H57" s="11" t="s">
        <v>741</v>
      </c>
      <c r="I57" s="205">
        <v>42370</v>
      </c>
    </row>
    <row r="58" spans="1:12" x14ac:dyDescent="0.2">
      <c r="A58" s="144"/>
      <c r="B58" s="144"/>
      <c r="C58" s="151">
        <f>SUM(C52:C57)</f>
        <v>221790000</v>
      </c>
      <c r="D58" s="151">
        <f>SUM(D52:D57)</f>
        <v>3120400</v>
      </c>
      <c r="E58" s="151"/>
      <c r="F58" s="151">
        <f>SUM(F52:F57)</f>
        <v>3010568</v>
      </c>
      <c r="G58" s="151">
        <f>SUM(G52:G57)</f>
        <v>0</v>
      </c>
      <c r="H58" s="145"/>
      <c r="I58" s="145"/>
    </row>
    <row r="60" spans="1:12" s="138" customFormat="1" ht="15.75" x14ac:dyDescent="0.2">
      <c r="A60" s="624" t="s">
        <v>224</v>
      </c>
      <c r="B60" s="624"/>
      <c r="C60" s="624"/>
      <c r="D60" s="624"/>
      <c r="E60" s="624"/>
      <c r="F60" s="624"/>
      <c r="G60" s="624"/>
      <c r="H60" s="624"/>
      <c r="I60" s="624"/>
    </row>
    <row r="61" spans="1:12" ht="45" x14ac:dyDescent="0.2">
      <c r="A61" s="139" t="s">
        <v>222</v>
      </c>
      <c r="B61" s="139" t="s">
        <v>0</v>
      </c>
      <c r="C61" s="48" t="s">
        <v>1</v>
      </c>
      <c r="D61" s="48" t="s">
        <v>98</v>
      </c>
      <c r="E61" s="48" t="s">
        <v>99</v>
      </c>
      <c r="F61" s="48" t="s">
        <v>100</v>
      </c>
      <c r="G61" s="48" t="s">
        <v>101</v>
      </c>
      <c r="H61" s="49" t="s">
        <v>102</v>
      </c>
      <c r="I61" s="49" t="s">
        <v>103</v>
      </c>
    </row>
    <row r="62" spans="1:12" x14ac:dyDescent="0.2">
      <c r="A62" s="11" t="s">
        <v>225</v>
      </c>
      <c r="B62" s="2" t="s">
        <v>226</v>
      </c>
      <c r="C62" s="146">
        <v>2840400</v>
      </c>
      <c r="D62" s="146">
        <v>1500000</v>
      </c>
      <c r="E62" s="132" t="s">
        <v>227</v>
      </c>
      <c r="F62" s="133">
        <v>1500000</v>
      </c>
      <c r="G62" s="150">
        <v>0</v>
      </c>
      <c r="H62" s="11" t="s">
        <v>114</v>
      </c>
      <c r="I62" s="134">
        <v>41744</v>
      </c>
    </row>
    <row r="63" spans="1:12" s="3" customFormat="1" ht="25.5" x14ac:dyDescent="0.2">
      <c r="A63" s="13" t="s">
        <v>228</v>
      </c>
      <c r="B63" s="24" t="s">
        <v>229</v>
      </c>
      <c r="C63" s="217">
        <v>5711369</v>
      </c>
      <c r="D63" s="217">
        <v>900000</v>
      </c>
      <c r="E63" s="204" t="s">
        <v>223</v>
      </c>
      <c r="F63" s="218">
        <v>0</v>
      </c>
      <c r="G63" s="216">
        <v>900000</v>
      </c>
      <c r="H63" s="13" t="s">
        <v>910</v>
      </c>
      <c r="I63" s="219" t="s">
        <v>911</v>
      </c>
    </row>
    <row r="64" spans="1:12" x14ac:dyDescent="0.2">
      <c r="A64" s="11" t="s">
        <v>230</v>
      </c>
      <c r="B64" s="11" t="s">
        <v>231</v>
      </c>
      <c r="C64" s="150">
        <v>4397880</v>
      </c>
      <c r="D64" s="146">
        <v>1116000</v>
      </c>
      <c r="E64" s="11" t="s">
        <v>227</v>
      </c>
      <c r="F64" s="133">
        <v>1116000</v>
      </c>
      <c r="G64" s="140">
        <v>0</v>
      </c>
      <c r="H64" s="11" t="s">
        <v>114</v>
      </c>
      <c r="I64" s="134">
        <v>42399</v>
      </c>
    </row>
    <row r="65" spans="1:9" s="357" customFormat="1" ht="25.5" x14ac:dyDescent="0.2">
      <c r="A65" s="13" t="s">
        <v>232</v>
      </c>
      <c r="B65" s="13" t="s">
        <v>233</v>
      </c>
      <c r="C65" s="216">
        <v>50000</v>
      </c>
      <c r="D65" s="216">
        <v>40000</v>
      </c>
      <c r="E65" s="13" t="s">
        <v>223</v>
      </c>
      <c r="F65" s="449">
        <v>17542.78</v>
      </c>
      <c r="G65" s="216">
        <v>22457.22</v>
      </c>
      <c r="H65" s="13" t="s">
        <v>912</v>
      </c>
      <c r="I65" s="219">
        <v>43196</v>
      </c>
    </row>
    <row r="66" spans="1:9" ht="25.5" x14ac:dyDescent="0.2">
      <c r="A66" s="13" t="s">
        <v>234</v>
      </c>
      <c r="B66" s="13" t="s">
        <v>233</v>
      </c>
      <c r="C66" s="217">
        <v>125000</v>
      </c>
      <c r="D66" s="217">
        <v>100000</v>
      </c>
      <c r="E66" s="10" t="s">
        <v>223</v>
      </c>
      <c r="F66" s="218">
        <v>98824.2</v>
      </c>
      <c r="G66" s="216">
        <v>0</v>
      </c>
      <c r="H66" s="13" t="s">
        <v>742</v>
      </c>
      <c r="I66" s="205">
        <v>41914</v>
      </c>
    </row>
    <row r="67" spans="1:9" x14ac:dyDescent="0.2">
      <c r="A67" s="11" t="s">
        <v>235</v>
      </c>
      <c r="B67" s="11" t="s">
        <v>233</v>
      </c>
      <c r="C67" s="146">
        <v>125000</v>
      </c>
      <c r="D67" s="146">
        <v>100000</v>
      </c>
      <c r="E67" s="2" t="s">
        <v>223</v>
      </c>
      <c r="F67" s="133">
        <v>100000</v>
      </c>
      <c r="G67" s="150">
        <v>0</v>
      </c>
      <c r="H67" s="11" t="s">
        <v>743</v>
      </c>
      <c r="I67" s="206">
        <v>41913</v>
      </c>
    </row>
    <row r="68" spans="1:9" x14ac:dyDescent="0.2">
      <c r="A68" s="11" t="s">
        <v>236</v>
      </c>
      <c r="B68" s="11" t="s">
        <v>233</v>
      </c>
      <c r="C68" s="146">
        <v>98000</v>
      </c>
      <c r="D68" s="146">
        <v>78400</v>
      </c>
      <c r="E68" s="2" t="s">
        <v>223</v>
      </c>
      <c r="F68" s="133">
        <v>78400</v>
      </c>
      <c r="G68" s="150">
        <v>0</v>
      </c>
      <c r="H68" s="11" t="s">
        <v>743</v>
      </c>
      <c r="I68" s="206">
        <v>41919</v>
      </c>
    </row>
    <row r="69" spans="1:9" ht="25.5" x14ac:dyDescent="0.2">
      <c r="A69" s="11" t="s">
        <v>237</v>
      </c>
      <c r="B69" s="11" t="s">
        <v>233</v>
      </c>
      <c r="C69" s="146">
        <v>100000</v>
      </c>
      <c r="D69" s="146">
        <v>80000</v>
      </c>
      <c r="E69" s="11" t="s">
        <v>223</v>
      </c>
      <c r="F69" s="133">
        <v>0</v>
      </c>
      <c r="G69" s="150">
        <v>0</v>
      </c>
      <c r="H69" s="11" t="s">
        <v>594</v>
      </c>
      <c r="I69" s="220" t="s">
        <v>295</v>
      </c>
    </row>
    <row r="70" spans="1:9" s="3" customFormat="1" x14ac:dyDescent="0.2">
      <c r="A70" s="13" t="s">
        <v>238</v>
      </c>
      <c r="B70" s="13" t="s">
        <v>233</v>
      </c>
      <c r="C70" s="217">
        <v>350000</v>
      </c>
      <c r="D70" s="217">
        <v>100000</v>
      </c>
      <c r="E70" s="10" t="s">
        <v>223</v>
      </c>
      <c r="F70" s="218">
        <v>0</v>
      </c>
      <c r="G70" s="216">
        <v>100000</v>
      </c>
      <c r="H70" s="13" t="s">
        <v>913</v>
      </c>
      <c r="I70" s="205" t="s">
        <v>899</v>
      </c>
    </row>
    <row r="71" spans="1:9" x14ac:dyDescent="0.2">
      <c r="A71" s="144"/>
      <c r="B71" s="144"/>
      <c r="C71" s="151">
        <f>SUM(C62:C70)</f>
        <v>13797649</v>
      </c>
      <c r="D71" s="151">
        <f>SUM(D62:D70)</f>
        <v>4014400</v>
      </c>
      <c r="E71" s="151"/>
      <c r="F71" s="151">
        <f>SUM(F62:F70)</f>
        <v>2910766.98</v>
      </c>
      <c r="G71" s="151">
        <f>SUM(G62:G70)</f>
        <v>1022457.22</v>
      </c>
      <c r="H71" s="144"/>
      <c r="I71" s="135"/>
    </row>
    <row r="73" spans="1:9" ht="15.75" x14ac:dyDescent="0.2">
      <c r="A73" s="624" t="s">
        <v>239</v>
      </c>
      <c r="B73" s="624"/>
      <c r="C73" s="624"/>
      <c r="D73" s="624"/>
      <c r="E73" s="624"/>
      <c r="F73" s="624"/>
      <c r="G73" s="624"/>
      <c r="H73" s="624"/>
      <c r="I73" s="624"/>
    </row>
    <row r="74" spans="1:9" ht="45" x14ac:dyDescent="0.2">
      <c r="A74" s="139" t="s">
        <v>222</v>
      </c>
      <c r="B74" s="139" t="s">
        <v>0</v>
      </c>
      <c r="C74" s="48" t="s">
        <v>1</v>
      </c>
      <c r="D74" s="48" t="s">
        <v>98</v>
      </c>
      <c r="E74" s="48" t="s">
        <v>99</v>
      </c>
      <c r="F74" s="48" t="s">
        <v>100</v>
      </c>
      <c r="G74" s="48" t="s">
        <v>101</v>
      </c>
      <c r="H74" s="49" t="s">
        <v>102</v>
      </c>
      <c r="I74" s="49" t="s">
        <v>103</v>
      </c>
    </row>
    <row r="75" spans="1:9" s="357" customFormat="1" ht="25.5" x14ac:dyDescent="0.2">
      <c r="A75" s="13" t="s">
        <v>240</v>
      </c>
      <c r="B75" s="13" t="s">
        <v>231</v>
      </c>
      <c r="C75" s="216">
        <v>197435</v>
      </c>
      <c r="D75" s="451">
        <v>157948</v>
      </c>
      <c r="E75" s="204" t="s">
        <v>227</v>
      </c>
      <c r="F75" s="449">
        <v>87025.34</v>
      </c>
      <c r="G75" s="216">
        <v>0</v>
      </c>
      <c r="H75" s="13" t="s">
        <v>853</v>
      </c>
      <c r="I75" s="452">
        <v>42452</v>
      </c>
    </row>
    <row r="76" spans="1:9" s="357" customFormat="1" ht="25.5" x14ac:dyDescent="0.2">
      <c r="A76" s="13" t="s">
        <v>241</v>
      </c>
      <c r="B76" s="13" t="s">
        <v>231</v>
      </c>
      <c r="C76" s="216">
        <v>1758922</v>
      </c>
      <c r="D76" s="224">
        <v>705621</v>
      </c>
      <c r="E76" s="204" t="s">
        <v>223</v>
      </c>
      <c r="F76" s="449">
        <v>477295</v>
      </c>
      <c r="G76" s="216">
        <v>0</v>
      </c>
      <c r="H76" s="13" t="s">
        <v>744</v>
      </c>
      <c r="I76" s="452">
        <v>42809</v>
      </c>
    </row>
    <row r="77" spans="1:9" x14ac:dyDescent="0.2">
      <c r="A77" s="2" t="s">
        <v>242</v>
      </c>
      <c r="B77" s="2" t="s">
        <v>231</v>
      </c>
      <c r="C77" s="146">
        <v>771818</v>
      </c>
      <c r="D77" s="148">
        <v>617454</v>
      </c>
      <c r="E77" s="2" t="s">
        <v>223</v>
      </c>
      <c r="F77" s="530">
        <v>617454</v>
      </c>
      <c r="G77" s="149">
        <v>0</v>
      </c>
      <c r="H77" s="11" t="s">
        <v>114</v>
      </c>
      <c r="I77" s="142">
        <v>41016</v>
      </c>
    </row>
    <row r="78" spans="1:9" x14ac:dyDescent="0.2">
      <c r="A78" s="10" t="s">
        <v>244</v>
      </c>
      <c r="B78" s="10" t="s">
        <v>226</v>
      </c>
      <c r="C78" s="217">
        <v>3200000</v>
      </c>
      <c r="D78" s="223">
        <v>1613596</v>
      </c>
      <c r="E78" s="10" t="s">
        <v>227</v>
      </c>
      <c r="F78" s="218">
        <v>0</v>
      </c>
      <c r="G78" s="217">
        <v>0</v>
      </c>
      <c r="H78" s="13" t="s">
        <v>114</v>
      </c>
      <c r="I78" s="222">
        <v>41744</v>
      </c>
    </row>
    <row r="79" spans="1:9" ht="25.5" x14ac:dyDescent="0.2">
      <c r="A79" s="2" t="s">
        <v>245</v>
      </c>
      <c r="B79" s="2" t="s">
        <v>246</v>
      </c>
      <c r="C79" s="146">
        <v>358525</v>
      </c>
      <c r="D79" s="148">
        <v>72000</v>
      </c>
      <c r="E79" s="2" t="s">
        <v>223</v>
      </c>
      <c r="F79" s="133">
        <v>0</v>
      </c>
      <c r="G79" s="146">
        <v>0</v>
      </c>
      <c r="H79" s="11" t="s">
        <v>249</v>
      </c>
      <c r="I79" s="142" t="s">
        <v>250</v>
      </c>
    </row>
    <row r="80" spans="1:9" ht="25.5" x14ac:dyDescent="0.2">
      <c r="A80" s="2" t="s">
        <v>247</v>
      </c>
      <c r="B80" s="2" t="s">
        <v>248</v>
      </c>
      <c r="C80" s="146">
        <v>2500000</v>
      </c>
      <c r="D80" s="148">
        <v>1000000</v>
      </c>
      <c r="E80" s="2" t="s">
        <v>227</v>
      </c>
      <c r="F80" s="133">
        <v>0</v>
      </c>
      <c r="G80" s="150">
        <v>0</v>
      </c>
      <c r="H80" s="11" t="s">
        <v>249</v>
      </c>
      <c r="I80" s="143" t="s">
        <v>250</v>
      </c>
    </row>
    <row r="81" spans="1:9" x14ac:dyDescent="0.2">
      <c r="A81" s="11" t="s">
        <v>251</v>
      </c>
      <c r="B81" s="11" t="s">
        <v>248</v>
      </c>
      <c r="C81" s="146">
        <v>1900000</v>
      </c>
      <c r="D81" s="148">
        <v>400000</v>
      </c>
      <c r="E81" s="11" t="s">
        <v>223</v>
      </c>
      <c r="F81" s="133">
        <v>400000</v>
      </c>
      <c r="G81" s="146">
        <v>0</v>
      </c>
      <c r="H81" s="11" t="s">
        <v>114</v>
      </c>
      <c r="I81" s="143">
        <v>41025</v>
      </c>
    </row>
    <row r="82" spans="1:9" x14ac:dyDescent="0.2">
      <c r="A82" s="11" t="s">
        <v>252</v>
      </c>
      <c r="B82" s="11" t="s">
        <v>231</v>
      </c>
      <c r="C82" s="150" t="s">
        <v>253</v>
      </c>
      <c r="D82" s="148">
        <v>218652</v>
      </c>
      <c r="E82" s="11" t="s">
        <v>227</v>
      </c>
      <c r="F82" s="133">
        <v>218652</v>
      </c>
      <c r="G82" s="146">
        <v>0</v>
      </c>
      <c r="H82" s="11" t="s">
        <v>114</v>
      </c>
      <c r="I82" s="142">
        <v>41017</v>
      </c>
    </row>
    <row r="83" spans="1:9" s="3" customFormat="1" x14ac:dyDescent="0.2">
      <c r="A83" s="13" t="s">
        <v>254</v>
      </c>
      <c r="B83" s="13" t="s">
        <v>231</v>
      </c>
      <c r="C83" s="217">
        <v>538100</v>
      </c>
      <c r="D83" s="224">
        <v>204000</v>
      </c>
      <c r="E83" s="13" t="s">
        <v>227</v>
      </c>
      <c r="F83" s="218">
        <v>204000</v>
      </c>
      <c r="G83" s="216">
        <v>0</v>
      </c>
      <c r="H83" s="13" t="s">
        <v>114</v>
      </c>
      <c r="I83" s="222">
        <v>41953</v>
      </c>
    </row>
    <row r="84" spans="1:9" x14ac:dyDescent="0.2">
      <c r="A84" s="144"/>
      <c r="B84" s="144"/>
      <c r="C84" s="151">
        <f>SUM(C75:C83)</f>
        <v>11224800</v>
      </c>
      <c r="D84" s="136">
        <f>SUM(D75:D83)</f>
        <v>4989271</v>
      </c>
      <c r="E84" s="135"/>
      <c r="F84" s="151">
        <f>SUM(F75:F83)</f>
        <v>2004426.3399999999</v>
      </c>
      <c r="G84" s="151">
        <f>SUM(G75:G83)</f>
        <v>0</v>
      </c>
      <c r="H84" s="144"/>
      <c r="I84" s="135"/>
    </row>
    <row r="85" spans="1:9" x14ac:dyDescent="0.2">
      <c r="B85" s="137" t="s">
        <v>425</v>
      </c>
      <c r="H85" s="1"/>
    </row>
    <row r="86" spans="1:9" x14ac:dyDescent="0.2">
      <c r="B86" s="137"/>
      <c r="H86" s="1"/>
    </row>
    <row r="87" spans="1:9" ht="18" x14ac:dyDescent="0.25">
      <c r="A87" s="625" t="s">
        <v>255</v>
      </c>
      <c r="B87" s="625"/>
      <c r="C87" s="625"/>
      <c r="D87" s="625"/>
      <c r="E87" s="625"/>
      <c r="F87" s="625"/>
      <c r="G87" s="625"/>
      <c r="H87" s="625"/>
      <c r="I87" s="625"/>
    </row>
    <row r="88" spans="1:9" ht="45" x14ac:dyDescent="0.2">
      <c r="A88" s="128" t="s">
        <v>222</v>
      </c>
      <c r="B88" s="129" t="s">
        <v>0</v>
      </c>
      <c r="C88" s="130" t="s">
        <v>1</v>
      </c>
      <c r="D88" s="130" t="s">
        <v>98</v>
      </c>
      <c r="E88" s="130" t="s">
        <v>99</v>
      </c>
      <c r="F88" s="130" t="s">
        <v>100</v>
      </c>
      <c r="G88" s="130" t="s">
        <v>101</v>
      </c>
      <c r="H88" s="131" t="s">
        <v>102</v>
      </c>
      <c r="I88" s="131" t="s">
        <v>103</v>
      </c>
    </row>
    <row r="89" spans="1:9" x14ac:dyDescent="0.2">
      <c r="A89" s="2" t="s">
        <v>256</v>
      </c>
      <c r="B89" s="2" t="s">
        <v>257</v>
      </c>
      <c r="C89" s="225">
        <v>1758922</v>
      </c>
      <c r="D89" s="148">
        <v>879461</v>
      </c>
      <c r="E89" s="132" t="s">
        <v>223</v>
      </c>
      <c r="F89" s="133">
        <v>0</v>
      </c>
      <c r="G89" s="152">
        <v>0</v>
      </c>
      <c r="H89" s="132" t="s">
        <v>258</v>
      </c>
      <c r="I89" s="22" t="s">
        <v>250</v>
      </c>
    </row>
    <row r="90" spans="1:9" ht="25.5" x14ac:dyDescent="0.2">
      <c r="A90" s="10" t="s">
        <v>259</v>
      </c>
      <c r="B90" s="13" t="s">
        <v>260</v>
      </c>
      <c r="C90" s="221">
        <v>8474244</v>
      </c>
      <c r="D90" s="223">
        <v>2000000</v>
      </c>
      <c r="E90" s="10" t="s">
        <v>261</v>
      </c>
      <c r="F90" s="218">
        <v>2000000</v>
      </c>
      <c r="G90" s="221">
        <v>0</v>
      </c>
      <c r="H90" s="13" t="s">
        <v>114</v>
      </c>
      <c r="I90" s="226">
        <v>42486</v>
      </c>
    </row>
    <row r="91" spans="1:9" x14ac:dyDescent="0.2">
      <c r="A91" s="2" t="s">
        <v>262</v>
      </c>
      <c r="B91" s="2" t="s">
        <v>246</v>
      </c>
      <c r="C91" s="147">
        <v>138560</v>
      </c>
      <c r="D91" s="148">
        <v>110848</v>
      </c>
      <c r="E91" s="2" t="s">
        <v>227</v>
      </c>
      <c r="F91" s="133">
        <v>0</v>
      </c>
      <c r="G91" s="152">
        <v>0</v>
      </c>
      <c r="H91" s="132" t="s">
        <v>258</v>
      </c>
      <c r="I91" s="22" t="s">
        <v>250</v>
      </c>
    </row>
    <row r="92" spans="1:9" x14ac:dyDescent="0.2">
      <c r="A92" s="2" t="s">
        <v>263</v>
      </c>
      <c r="B92" s="2" t="s">
        <v>246</v>
      </c>
      <c r="C92" s="147">
        <v>255951</v>
      </c>
      <c r="D92" s="148">
        <v>174022</v>
      </c>
      <c r="E92" s="2" t="s">
        <v>227</v>
      </c>
      <c r="F92" s="153">
        <v>174022</v>
      </c>
      <c r="G92" s="152">
        <v>0</v>
      </c>
      <c r="H92" s="11" t="s">
        <v>114</v>
      </c>
      <c r="I92" s="34">
        <v>41227</v>
      </c>
    </row>
    <row r="93" spans="1:9" x14ac:dyDescent="0.2">
      <c r="A93" s="135"/>
      <c r="B93" s="135"/>
      <c r="C93" s="136">
        <f>SUM(C89:C92)</f>
        <v>10627677</v>
      </c>
      <c r="D93" s="154">
        <f>SUM(D89:D92)</f>
        <v>3164331</v>
      </c>
      <c r="E93" s="135"/>
      <c r="F93" s="154">
        <f>SUM(F89:F92)</f>
        <v>2174022</v>
      </c>
      <c r="G93" s="154">
        <f>SUM(G89:G92)</f>
        <v>0</v>
      </c>
      <c r="H93" s="135"/>
      <c r="I93" s="135"/>
    </row>
    <row r="95" spans="1:9" ht="20.25" customHeight="1" x14ac:dyDescent="0.2">
      <c r="A95" s="626" t="s">
        <v>264</v>
      </c>
      <c r="B95" s="627"/>
      <c r="C95" s="627"/>
      <c r="D95" s="627"/>
      <c r="E95" s="627"/>
      <c r="F95" s="627"/>
      <c r="G95" s="627"/>
      <c r="H95" s="627"/>
      <c r="I95" s="627"/>
    </row>
    <row r="96" spans="1:9" ht="45" x14ac:dyDescent="0.2">
      <c r="A96" s="155" t="s">
        <v>222</v>
      </c>
      <c r="B96" s="139" t="s">
        <v>0</v>
      </c>
      <c r="C96" s="48" t="s">
        <v>1</v>
      </c>
      <c r="D96" s="48" t="s">
        <v>98</v>
      </c>
      <c r="E96" s="48" t="s">
        <v>99</v>
      </c>
      <c r="F96" s="48" t="s">
        <v>100</v>
      </c>
      <c r="G96" s="48" t="s">
        <v>101</v>
      </c>
      <c r="H96" s="49" t="s">
        <v>102</v>
      </c>
      <c r="I96" s="49" t="s">
        <v>103</v>
      </c>
    </row>
    <row r="97" spans="1:9" s="137" customFormat="1" x14ac:dyDescent="0.2">
      <c r="A97" s="453" t="s">
        <v>265</v>
      </c>
      <c r="B97" s="24" t="s">
        <v>266</v>
      </c>
      <c r="C97" s="454">
        <v>88000</v>
      </c>
      <c r="D97" s="169">
        <v>55400</v>
      </c>
      <c r="E97" s="44" t="s">
        <v>267</v>
      </c>
      <c r="F97" s="455">
        <v>55400</v>
      </c>
      <c r="G97" s="456">
        <v>0</v>
      </c>
      <c r="H97" s="42" t="s">
        <v>114</v>
      </c>
      <c r="I97" s="34">
        <v>40553</v>
      </c>
    </row>
    <row r="98" spans="1:9" s="137" customFormat="1" x14ac:dyDescent="0.2">
      <c r="A98" s="453" t="s">
        <v>268</v>
      </c>
      <c r="B98" s="24" t="s">
        <v>269</v>
      </c>
      <c r="C98" s="454">
        <v>886500</v>
      </c>
      <c r="D98" s="169">
        <v>700000</v>
      </c>
      <c r="E98" s="38" t="s">
        <v>267</v>
      </c>
      <c r="F98" s="455">
        <v>700000</v>
      </c>
      <c r="G98" s="456">
        <v>0</v>
      </c>
      <c r="H98" s="453" t="s">
        <v>114</v>
      </c>
      <c r="I98" s="34">
        <v>40647</v>
      </c>
    </row>
    <row r="99" spans="1:9" s="137" customFormat="1" x14ac:dyDescent="0.2">
      <c r="A99" s="453" t="s">
        <v>270</v>
      </c>
      <c r="B99" s="24" t="s">
        <v>271</v>
      </c>
      <c r="C99" s="454">
        <v>450000</v>
      </c>
      <c r="D99" s="169">
        <v>225000</v>
      </c>
      <c r="E99" s="457" t="s">
        <v>227</v>
      </c>
      <c r="F99" s="456">
        <v>145187</v>
      </c>
      <c r="G99" s="458">
        <v>0</v>
      </c>
      <c r="H99" s="459" t="s">
        <v>114</v>
      </c>
      <c r="I99" s="34">
        <v>41333</v>
      </c>
    </row>
    <row r="100" spans="1:9" s="137" customFormat="1" x14ac:dyDescent="0.2">
      <c r="A100" s="453" t="s">
        <v>272</v>
      </c>
      <c r="B100" s="24" t="s">
        <v>229</v>
      </c>
      <c r="C100" s="454">
        <v>467589</v>
      </c>
      <c r="D100" s="169">
        <v>311071</v>
      </c>
      <c r="E100" s="44" t="s">
        <v>227</v>
      </c>
      <c r="F100" s="455">
        <v>311071</v>
      </c>
      <c r="G100" s="458">
        <v>0</v>
      </c>
      <c r="H100" s="42" t="s">
        <v>114</v>
      </c>
      <c r="I100" s="34">
        <v>40831</v>
      </c>
    </row>
    <row r="101" spans="1:9" s="137" customFormat="1" x14ac:dyDescent="0.2">
      <c r="A101" s="453" t="s">
        <v>273</v>
      </c>
      <c r="B101" s="24" t="s">
        <v>271</v>
      </c>
      <c r="C101" s="454">
        <v>252005</v>
      </c>
      <c r="D101" s="169">
        <v>126000</v>
      </c>
      <c r="E101" s="44" t="s">
        <v>274</v>
      </c>
      <c r="F101" s="456">
        <v>118691</v>
      </c>
      <c r="G101" s="458">
        <v>0</v>
      </c>
      <c r="H101" s="42" t="s">
        <v>114</v>
      </c>
      <c r="I101" s="34">
        <v>41639</v>
      </c>
    </row>
    <row r="102" spans="1:9" s="137" customFormat="1" ht="38.25" x14ac:dyDescent="0.2">
      <c r="A102" s="453" t="s">
        <v>275</v>
      </c>
      <c r="B102" s="24" t="s">
        <v>276</v>
      </c>
      <c r="C102" s="454">
        <v>10900000</v>
      </c>
      <c r="D102" s="169">
        <v>900000</v>
      </c>
      <c r="E102" s="44" t="s">
        <v>277</v>
      </c>
      <c r="F102" s="456">
        <v>0</v>
      </c>
      <c r="G102" s="458" t="s">
        <v>486</v>
      </c>
      <c r="H102" s="42" t="s">
        <v>278</v>
      </c>
      <c r="I102" s="34" t="s">
        <v>250</v>
      </c>
    </row>
    <row r="103" spans="1:9" s="137" customFormat="1" ht="25.5" x14ac:dyDescent="0.2">
      <c r="A103" s="453" t="s">
        <v>279</v>
      </c>
      <c r="B103" s="24" t="s">
        <v>280</v>
      </c>
      <c r="C103" s="454">
        <v>5437200</v>
      </c>
      <c r="D103" s="169">
        <v>1000000</v>
      </c>
      <c r="E103" s="44" t="s">
        <v>281</v>
      </c>
      <c r="F103" s="456">
        <v>1000000</v>
      </c>
      <c r="G103" s="458">
        <f>D103-F103</f>
        <v>0</v>
      </c>
      <c r="H103" s="42" t="s">
        <v>114</v>
      </c>
      <c r="I103" s="34">
        <v>40178</v>
      </c>
    </row>
    <row r="104" spans="1:9" s="137" customFormat="1" x14ac:dyDescent="0.2">
      <c r="A104" s="460"/>
      <c r="B104" s="43" t="s">
        <v>138</v>
      </c>
      <c r="C104" s="173">
        <f>SUM(C97:C103)</f>
        <v>18481294</v>
      </c>
      <c r="D104" s="173">
        <f>SUM(D97:D103)</f>
        <v>3317471</v>
      </c>
      <c r="E104" s="18"/>
      <c r="F104" s="46">
        <f>SUM(F97:F103)</f>
        <v>2330349</v>
      </c>
      <c r="G104" s="46">
        <f>SUM(G97:G103)</f>
        <v>0</v>
      </c>
      <c r="H104" s="47"/>
      <c r="I104" s="19"/>
    </row>
    <row r="106" spans="1:9" x14ac:dyDescent="0.2">
      <c r="A106" s="626" t="s">
        <v>282</v>
      </c>
      <c r="B106" s="627"/>
      <c r="C106" s="627"/>
      <c r="D106" s="627"/>
      <c r="E106" s="627"/>
      <c r="F106" s="627"/>
      <c r="G106" s="627"/>
      <c r="H106" s="627"/>
      <c r="I106" s="627"/>
    </row>
    <row r="107" spans="1:9" ht="45" x14ac:dyDescent="0.2">
      <c r="A107" s="155" t="s">
        <v>222</v>
      </c>
      <c r="B107" s="139" t="s">
        <v>0</v>
      </c>
      <c r="C107" s="160" t="s">
        <v>1</v>
      </c>
      <c r="D107" s="160" t="s">
        <v>98</v>
      </c>
      <c r="E107" s="48" t="s">
        <v>99</v>
      </c>
      <c r="F107" s="48" t="s">
        <v>100</v>
      </c>
      <c r="G107" s="48" t="s">
        <v>101</v>
      </c>
      <c r="H107" s="49" t="s">
        <v>102</v>
      </c>
      <c r="I107" s="49" t="s">
        <v>103</v>
      </c>
    </row>
    <row r="108" spans="1:9" s="137" customFormat="1" x14ac:dyDescent="0.2">
      <c r="A108" s="453" t="s">
        <v>265</v>
      </c>
      <c r="B108" s="24" t="s">
        <v>283</v>
      </c>
      <c r="C108" s="454">
        <v>89333</v>
      </c>
      <c r="D108" s="169">
        <v>71000</v>
      </c>
      <c r="E108" s="44" t="s">
        <v>267</v>
      </c>
      <c r="F108" s="455">
        <v>61164</v>
      </c>
      <c r="G108" s="456">
        <v>0</v>
      </c>
      <c r="H108" s="42" t="s">
        <v>114</v>
      </c>
      <c r="I108" s="34">
        <v>39814</v>
      </c>
    </row>
    <row r="109" spans="1:9" s="137" customFormat="1" x14ac:dyDescent="0.2">
      <c r="A109" s="453" t="s">
        <v>268</v>
      </c>
      <c r="B109" s="24" t="s">
        <v>283</v>
      </c>
      <c r="C109" s="454">
        <v>400000</v>
      </c>
      <c r="D109" s="169">
        <v>320000</v>
      </c>
      <c r="E109" s="38" t="s">
        <v>267</v>
      </c>
      <c r="F109" s="455">
        <v>320000</v>
      </c>
      <c r="G109" s="456">
        <v>0</v>
      </c>
      <c r="H109" s="453" t="s">
        <v>114</v>
      </c>
      <c r="I109" s="34">
        <v>39753</v>
      </c>
    </row>
    <row r="110" spans="1:9" s="137" customFormat="1" x14ac:dyDescent="0.2">
      <c r="A110" s="453" t="s">
        <v>284</v>
      </c>
      <c r="B110" s="24" t="s">
        <v>283</v>
      </c>
      <c r="C110" s="454">
        <v>693120</v>
      </c>
      <c r="D110" s="169">
        <v>554000</v>
      </c>
      <c r="E110" s="457" t="s">
        <v>267</v>
      </c>
      <c r="F110" s="456">
        <v>405346</v>
      </c>
      <c r="G110" s="458">
        <v>0</v>
      </c>
      <c r="H110" s="459" t="s">
        <v>114</v>
      </c>
      <c r="I110" s="34">
        <v>39873</v>
      </c>
    </row>
    <row r="111" spans="1:9" s="137" customFormat="1" x14ac:dyDescent="0.2">
      <c r="A111" s="453" t="s">
        <v>285</v>
      </c>
      <c r="B111" s="24" t="s">
        <v>283</v>
      </c>
      <c r="C111" s="454">
        <v>1771463</v>
      </c>
      <c r="D111" s="169">
        <v>1417000</v>
      </c>
      <c r="E111" s="44" t="s">
        <v>267</v>
      </c>
      <c r="F111" s="455">
        <v>1406627</v>
      </c>
      <c r="G111" s="458">
        <v>0</v>
      </c>
      <c r="H111" s="42" t="s">
        <v>114</v>
      </c>
      <c r="I111" s="34">
        <v>40087</v>
      </c>
    </row>
    <row r="112" spans="1:9" s="137" customFormat="1" x14ac:dyDescent="0.2">
      <c r="A112" s="453" t="s">
        <v>286</v>
      </c>
      <c r="B112" s="24" t="s">
        <v>283</v>
      </c>
      <c r="C112" s="454">
        <v>964707</v>
      </c>
      <c r="D112" s="169">
        <v>772000</v>
      </c>
      <c r="E112" s="44" t="s">
        <v>267</v>
      </c>
      <c r="F112" s="456">
        <v>650000</v>
      </c>
      <c r="G112" s="458">
        <v>0</v>
      </c>
      <c r="H112" s="42" t="s">
        <v>114</v>
      </c>
      <c r="I112" s="34">
        <v>39873</v>
      </c>
    </row>
    <row r="113" spans="1:9" s="137" customFormat="1" x14ac:dyDescent="0.2">
      <c r="A113" s="453" t="s">
        <v>287</v>
      </c>
      <c r="B113" s="24" t="s">
        <v>283</v>
      </c>
      <c r="C113" s="454">
        <v>851704</v>
      </c>
      <c r="D113" s="169">
        <v>681000</v>
      </c>
      <c r="E113" s="44" t="s">
        <v>267</v>
      </c>
      <c r="F113" s="456">
        <v>616420</v>
      </c>
      <c r="G113" s="458">
        <v>0</v>
      </c>
      <c r="H113" s="42" t="s">
        <v>114</v>
      </c>
      <c r="I113" s="34">
        <v>39753</v>
      </c>
    </row>
    <row r="114" spans="1:9" s="137" customFormat="1" x14ac:dyDescent="0.2">
      <c r="A114" s="453" t="s">
        <v>247</v>
      </c>
      <c r="B114" s="24" t="s">
        <v>283</v>
      </c>
      <c r="C114" s="454">
        <v>230000</v>
      </c>
      <c r="D114" s="169">
        <v>184000</v>
      </c>
      <c r="E114" s="44" t="s">
        <v>267</v>
      </c>
      <c r="F114" s="456">
        <v>184000</v>
      </c>
      <c r="G114" s="458">
        <f>D114-F114</f>
        <v>0</v>
      </c>
      <c r="H114" s="42" t="s">
        <v>114</v>
      </c>
      <c r="I114" s="34">
        <v>40178</v>
      </c>
    </row>
    <row r="115" spans="1:9" ht="15" x14ac:dyDescent="0.2">
      <c r="A115" s="156"/>
      <c r="B115" s="155" t="s">
        <v>138</v>
      </c>
      <c r="C115" s="157">
        <f>SUM(C108:C114)</f>
        <v>5000327</v>
      </c>
      <c r="D115" s="157">
        <f>SUM(D108:D114)</f>
        <v>3999000</v>
      </c>
      <c r="E115" s="48"/>
      <c r="F115" s="158">
        <f>SUM(F108:F114)</f>
        <v>3643557</v>
      </c>
      <c r="G115" s="158">
        <f>SUM(G108:G114)</f>
        <v>0</v>
      </c>
      <c r="H115" s="159"/>
      <c r="I115" s="49"/>
    </row>
    <row r="116" spans="1:9" x14ac:dyDescent="0.2">
      <c r="A116" s="40"/>
      <c r="B116" s="40"/>
      <c r="C116" s="161"/>
      <c r="D116" s="161"/>
      <c r="E116" s="38"/>
      <c r="F116" s="162"/>
      <c r="G116" s="162"/>
      <c r="H116" s="163"/>
      <c r="I116" s="39"/>
    </row>
    <row r="117" spans="1:9" ht="20.25" x14ac:dyDescent="0.3">
      <c r="A117" s="622" t="s">
        <v>288</v>
      </c>
      <c r="B117" s="623"/>
      <c r="C117" s="623"/>
      <c r="D117" s="623"/>
      <c r="E117" s="623"/>
      <c r="F117" s="623"/>
      <c r="G117" s="623"/>
      <c r="H117" s="623"/>
    </row>
    <row r="118" spans="1:9" ht="38.25" x14ac:dyDescent="0.2">
      <c r="A118" s="40"/>
      <c r="B118" s="164" t="s">
        <v>0</v>
      </c>
      <c r="C118" s="18" t="s">
        <v>1</v>
      </c>
      <c r="D118" s="18" t="s">
        <v>98</v>
      </c>
      <c r="E118" s="165" t="s">
        <v>289</v>
      </c>
      <c r="F118" s="165" t="s">
        <v>290</v>
      </c>
      <c r="G118" s="165" t="s">
        <v>291</v>
      </c>
      <c r="H118" s="165" t="s">
        <v>292</v>
      </c>
      <c r="I118" s="164" t="s">
        <v>103</v>
      </c>
    </row>
    <row r="119" spans="1:9" ht="51" x14ac:dyDescent="0.2">
      <c r="A119" s="40"/>
      <c r="B119" s="166" t="s">
        <v>293</v>
      </c>
      <c r="C119" s="167">
        <v>884000</v>
      </c>
      <c r="D119" s="167">
        <v>242000</v>
      </c>
      <c r="E119" s="168" t="s">
        <v>294</v>
      </c>
      <c r="F119" s="167">
        <v>0</v>
      </c>
      <c r="G119" s="169">
        <v>0</v>
      </c>
      <c r="H119" s="42" t="s">
        <v>278</v>
      </c>
      <c r="I119" s="22" t="s">
        <v>295</v>
      </c>
    </row>
    <row r="120" spans="1:9" ht="25.5" x14ac:dyDescent="0.2">
      <c r="A120" s="40"/>
      <c r="B120" s="166" t="s">
        <v>296</v>
      </c>
      <c r="C120" s="167">
        <v>8500000</v>
      </c>
      <c r="D120" s="167">
        <v>75000</v>
      </c>
      <c r="E120" s="168" t="s">
        <v>297</v>
      </c>
      <c r="F120" s="167">
        <v>0</v>
      </c>
      <c r="G120" s="169">
        <v>0</v>
      </c>
      <c r="H120" s="42" t="s">
        <v>278</v>
      </c>
      <c r="I120" s="22" t="s">
        <v>295</v>
      </c>
    </row>
    <row r="121" spans="1:9" ht="51" x14ac:dyDescent="0.2">
      <c r="A121" s="40"/>
      <c r="B121" s="166" t="s">
        <v>298</v>
      </c>
      <c r="C121" s="167">
        <v>1072933</v>
      </c>
      <c r="D121" s="167">
        <v>840000</v>
      </c>
      <c r="E121" s="168" t="s">
        <v>294</v>
      </c>
      <c r="F121" s="167">
        <v>0</v>
      </c>
      <c r="G121" s="167">
        <v>0</v>
      </c>
      <c r="H121" s="168" t="s">
        <v>299</v>
      </c>
      <c r="I121" s="26" t="s">
        <v>295</v>
      </c>
    </row>
    <row r="122" spans="1:9" ht="25.5" x14ac:dyDescent="0.2">
      <c r="A122" s="40"/>
      <c r="B122" s="166" t="s">
        <v>300</v>
      </c>
      <c r="C122" s="167">
        <v>1398000</v>
      </c>
      <c r="D122" s="167">
        <v>810000</v>
      </c>
      <c r="E122" s="168" t="s">
        <v>297</v>
      </c>
      <c r="F122" s="167">
        <v>810000</v>
      </c>
      <c r="G122" s="167">
        <v>0</v>
      </c>
      <c r="H122" s="168" t="s">
        <v>114</v>
      </c>
      <c r="I122" s="26">
        <v>40086</v>
      </c>
    </row>
    <row r="123" spans="1:9" ht="38.25" x14ac:dyDescent="0.2">
      <c r="A123" s="40"/>
      <c r="B123" s="170" t="s">
        <v>301</v>
      </c>
      <c r="C123" s="171">
        <v>7146000</v>
      </c>
      <c r="D123" s="171">
        <v>75000</v>
      </c>
      <c r="E123" s="168" t="s">
        <v>297</v>
      </c>
      <c r="F123" s="172">
        <v>0</v>
      </c>
      <c r="G123" s="167">
        <v>0</v>
      </c>
      <c r="H123" s="168" t="s">
        <v>302</v>
      </c>
      <c r="I123" s="26" t="s">
        <v>250</v>
      </c>
    </row>
    <row r="124" spans="1:9" ht="51" x14ac:dyDescent="0.2">
      <c r="A124" s="40"/>
      <c r="B124" s="170" t="s">
        <v>303</v>
      </c>
      <c r="C124" s="171">
        <v>6055075</v>
      </c>
      <c r="D124" s="171">
        <v>75000</v>
      </c>
      <c r="E124" s="168" t="s">
        <v>304</v>
      </c>
      <c r="F124" s="172">
        <v>0</v>
      </c>
      <c r="G124" s="167">
        <v>0</v>
      </c>
      <c r="H124" s="168" t="s">
        <v>305</v>
      </c>
      <c r="I124" s="22" t="s">
        <v>295</v>
      </c>
    </row>
    <row r="125" spans="1:9" ht="25.5" x14ac:dyDescent="0.2">
      <c r="A125" s="40"/>
      <c r="B125" s="170" t="s">
        <v>306</v>
      </c>
      <c r="C125" s="171">
        <v>2250000</v>
      </c>
      <c r="D125" s="171">
        <v>50000</v>
      </c>
      <c r="E125" s="168" t="s">
        <v>297</v>
      </c>
      <c r="F125" s="172">
        <v>0</v>
      </c>
      <c r="G125" s="169">
        <v>0</v>
      </c>
      <c r="H125" s="44" t="s">
        <v>278</v>
      </c>
      <c r="I125" s="22" t="s">
        <v>295</v>
      </c>
    </row>
    <row r="126" spans="1:9" ht="25.5" x14ac:dyDescent="0.2">
      <c r="A126" s="40"/>
      <c r="B126" s="170" t="s">
        <v>307</v>
      </c>
      <c r="C126" s="171">
        <v>414489</v>
      </c>
      <c r="D126" s="171">
        <v>165795</v>
      </c>
      <c r="E126" s="168" t="s">
        <v>297</v>
      </c>
      <c r="F126" s="172">
        <v>0</v>
      </c>
      <c r="G126" s="169">
        <v>0</v>
      </c>
      <c r="H126" s="44" t="s">
        <v>278</v>
      </c>
      <c r="I126" s="22" t="s">
        <v>295</v>
      </c>
    </row>
    <row r="127" spans="1:9" ht="38.25" x14ac:dyDescent="0.2">
      <c r="A127" s="40"/>
      <c r="B127" s="170" t="s">
        <v>308</v>
      </c>
      <c r="C127" s="171">
        <v>9500000</v>
      </c>
      <c r="D127" s="171">
        <v>270000</v>
      </c>
      <c r="E127" s="168" t="s">
        <v>309</v>
      </c>
      <c r="F127" s="172">
        <v>0</v>
      </c>
      <c r="G127" s="167">
        <v>0</v>
      </c>
      <c r="H127" s="168" t="s">
        <v>310</v>
      </c>
      <c r="I127" s="26" t="s">
        <v>295</v>
      </c>
    </row>
    <row r="128" spans="1:9" ht="38.25" x14ac:dyDescent="0.2">
      <c r="A128" s="40"/>
      <c r="B128" s="170" t="s">
        <v>311</v>
      </c>
      <c r="C128" s="171">
        <v>9500000</v>
      </c>
      <c r="D128" s="171">
        <v>270000</v>
      </c>
      <c r="E128" s="168" t="s">
        <v>312</v>
      </c>
      <c r="F128" s="172">
        <v>0</v>
      </c>
      <c r="G128" s="167">
        <v>0</v>
      </c>
      <c r="H128" s="168" t="s">
        <v>310</v>
      </c>
      <c r="I128" s="26" t="s">
        <v>295</v>
      </c>
    </row>
    <row r="129" spans="1:9" x14ac:dyDescent="0.2">
      <c r="A129" s="40"/>
      <c r="B129" s="43"/>
      <c r="C129" s="45">
        <f>SUM(C119:C128)</f>
        <v>46720497</v>
      </c>
      <c r="D129" s="173">
        <f>SUM(D119:D128)</f>
        <v>2872795</v>
      </c>
      <c r="E129" s="173"/>
      <c r="F129" s="18">
        <f>SUM(F119:F128)</f>
        <v>810000</v>
      </c>
      <c r="G129" s="46">
        <f>SUM(G119:G128)</f>
        <v>0</v>
      </c>
      <c r="H129" s="46"/>
      <c r="I129" s="47"/>
    </row>
    <row r="130" spans="1:9" x14ac:dyDescent="0.2">
      <c r="A130" s="1"/>
      <c r="B130" s="149"/>
      <c r="C130" s="149"/>
      <c r="D130" s="174"/>
      <c r="E130" s="149"/>
      <c r="F130" s="149"/>
      <c r="G130" s="174"/>
      <c r="H130" s="175"/>
    </row>
    <row r="131" spans="1:9" ht="20.25" x14ac:dyDescent="0.3">
      <c r="A131" s="622" t="s">
        <v>313</v>
      </c>
      <c r="B131" s="623"/>
      <c r="C131" s="623"/>
      <c r="D131" s="623"/>
      <c r="E131" s="623"/>
      <c r="F131" s="623"/>
      <c r="G131" s="623"/>
      <c r="H131" s="623"/>
    </row>
    <row r="132" spans="1:9" ht="38.25" x14ac:dyDescent="0.2">
      <c r="A132" s="40"/>
      <c r="B132" s="164" t="s">
        <v>0</v>
      </c>
      <c r="C132" s="18" t="s">
        <v>1</v>
      </c>
      <c r="D132" s="18" t="s">
        <v>98</v>
      </c>
      <c r="E132" s="165" t="s">
        <v>289</v>
      </c>
      <c r="F132" s="165" t="s">
        <v>314</v>
      </c>
      <c r="G132" s="165" t="s">
        <v>315</v>
      </c>
      <c r="H132" s="165" t="s">
        <v>292</v>
      </c>
      <c r="I132" s="164" t="s">
        <v>103</v>
      </c>
    </row>
    <row r="133" spans="1:9" ht="51" x14ac:dyDescent="0.2">
      <c r="A133" s="40"/>
      <c r="B133" s="166" t="s">
        <v>316</v>
      </c>
      <c r="C133" s="167">
        <v>24240300</v>
      </c>
      <c r="D133" s="167">
        <v>239000</v>
      </c>
      <c r="E133" s="168" t="s">
        <v>294</v>
      </c>
      <c r="F133" s="167">
        <v>0</v>
      </c>
      <c r="G133" s="167">
        <v>0</v>
      </c>
      <c r="H133" s="44" t="s">
        <v>278</v>
      </c>
      <c r="I133" s="22" t="s">
        <v>295</v>
      </c>
    </row>
    <row r="134" spans="1:9" ht="51" x14ac:dyDescent="0.2">
      <c r="A134" s="40"/>
      <c r="B134" s="166" t="s">
        <v>298</v>
      </c>
      <c r="C134" s="167">
        <v>11852896</v>
      </c>
      <c r="D134" s="167">
        <v>489000</v>
      </c>
      <c r="E134" s="168" t="s">
        <v>294</v>
      </c>
      <c r="F134" s="167">
        <v>0</v>
      </c>
      <c r="G134" s="167">
        <v>0</v>
      </c>
      <c r="H134" s="44" t="s">
        <v>278</v>
      </c>
      <c r="I134" s="26" t="s">
        <v>295</v>
      </c>
    </row>
    <row r="135" spans="1:9" ht="25.5" x14ac:dyDescent="0.2">
      <c r="A135" s="40"/>
      <c r="B135" s="166" t="s">
        <v>317</v>
      </c>
      <c r="C135" s="167">
        <v>457513</v>
      </c>
      <c r="D135" s="167">
        <v>326000</v>
      </c>
      <c r="E135" s="168" t="s">
        <v>297</v>
      </c>
      <c r="F135" s="167">
        <v>326000</v>
      </c>
      <c r="G135" s="167">
        <f>D135-F135</f>
        <v>0</v>
      </c>
      <c r="H135" s="44" t="s">
        <v>243</v>
      </c>
      <c r="I135" s="26">
        <v>40324</v>
      </c>
    </row>
    <row r="136" spans="1:9" ht="51" x14ac:dyDescent="0.2">
      <c r="A136" s="40"/>
      <c r="B136" s="166" t="s">
        <v>318</v>
      </c>
      <c r="C136" s="167">
        <v>1300000</v>
      </c>
      <c r="D136" s="167">
        <v>250000</v>
      </c>
      <c r="E136" s="168" t="s">
        <v>294</v>
      </c>
      <c r="F136" s="167">
        <v>0</v>
      </c>
      <c r="G136" s="167">
        <v>0</v>
      </c>
      <c r="H136" s="44" t="s">
        <v>278</v>
      </c>
      <c r="I136" s="176" t="s">
        <v>295</v>
      </c>
    </row>
    <row r="137" spans="1:9" x14ac:dyDescent="0.2">
      <c r="A137" s="40"/>
      <c r="B137" s="177"/>
      <c r="C137" s="178">
        <f>SUM(C133:C136)</f>
        <v>37850709</v>
      </c>
      <c r="D137" s="178">
        <f>SUM(D133:D136)</f>
        <v>1304000</v>
      </c>
      <c r="E137" s="179"/>
      <c r="F137" s="178">
        <f>SUM(F133:F136)</f>
        <v>326000</v>
      </c>
      <c r="G137" s="178">
        <f>SUM(G133:G136)</f>
        <v>0</v>
      </c>
      <c r="H137" s="179"/>
      <c r="I137" s="180"/>
    </row>
    <row r="138" spans="1:9" ht="20.25" x14ac:dyDescent="0.3">
      <c r="A138" s="461"/>
      <c r="B138" s="462"/>
      <c r="C138" s="462"/>
      <c r="D138" s="462"/>
      <c r="E138" s="462"/>
      <c r="F138" s="462"/>
      <c r="G138" s="462"/>
      <c r="H138" s="462"/>
    </row>
    <row r="139" spans="1:9" ht="20.25" x14ac:dyDescent="0.3">
      <c r="A139" s="622" t="s">
        <v>319</v>
      </c>
      <c r="B139" s="622"/>
      <c r="C139" s="622"/>
      <c r="D139" s="622"/>
      <c r="E139" s="622"/>
      <c r="F139" s="622"/>
      <c r="G139" s="622"/>
      <c r="H139" s="622"/>
    </row>
    <row r="141" spans="1:9" ht="38.25" x14ac:dyDescent="0.2">
      <c r="A141" s="40"/>
      <c r="B141" s="164" t="s">
        <v>0</v>
      </c>
      <c r="C141" s="18" t="s">
        <v>1</v>
      </c>
      <c r="D141" s="18" t="s">
        <v>98</v>
      </c>
      <c r="E141" s="165" t="s">
        <v>289</v>
      </c>
      <c r="F141" s="165" t="s">
        <v>320</v>
      </c>
      <c r="G141" s="165" t="s">
        <v>321</v>
      </c>
      <c r="H141" s="165" t="s">
        <v>292</v>
      </c>
      <c r="I141" s="164" t="s">
        <v>103</v>
      </c>
    </row>
    <row r="142" spans="1:9" ht="51" x14ac:dyDescent="0.2">
      <c r="A142" s="40"/>
      <c r="B142" s="166" t="s">
        <v>322</v>
      </c>
      <c r="C142" s="167">
        <v>3712220</v>
      </c>
      <c r="D142" s="167">
        <v>500000</v>
      </c>
      <c r="E142" s="168" t="s">
        <v>294</v>
      </c>
      <c r="F142" s="167">
        <v>500000</v>
      </c>
      <c r="G142" s="167">
        <f t="shared" ref="G142:G147" si="0">D142-F142</f>
        <v>0</v>
      </c>
      <c r="H142" s="44" t="s">
        <v>243</v>
      </c>
      <c r="I142" s="22">
        <v>39483</v>
      </c>
    </row>
    <row r="143" spans="1:9" ht="51" x14ac:dyDescent="0.2">
      <c r="A143" s="40"/>
      <c r="B143" s="166" t="s">
        <v>323</v>
      </c>
      <c r="C143" s="167">
        <v>694000</v>
      </c>
      <c r="D143" s="167">
        <v>534000</v>
      </c>
      <c r="E143" s="168" t="s">
        <v>294</v>
      </c>
      <c r="F143" s="167">
        <v>534000</v>
      </c>
      <c r="G143" s="167">
        <f t="shared" si="0"/>
        <v>0</v>
      </c>
      <c r="H143" s="44" t="s">
        <v>243</v>
      </c>
      <c r="I143" s="22">
        <v>39344</v>
      </c>
    </row>
    <row r="144" spans="1:9" ht="38.25" x14ac:dyDescent="0.2">
      <c r="A144" s="40"/>
      <c r="B144" s="166" t="s">
        <v>324</v>
      </c>
      <c r="C144" s="167">
        <v>4660791</v>
      </c>
      <c r="D144" s="167">
        <v>760791</v>
      </c>
      <c r="E144" s="168" t="s">
        <v>325</v>
      </c>
      <c r="F144" s="169">
        <v>729711</v>
      </c>
      <c r="G144" s="169">
        <v>31079</v>
      </c>
      <c r="H144" s="168" t="s">
        <v>243</v>
      </c>
      <c r="I144" s="22">
        <v>42185</v>
      </c>
    </row>
    <row r="145" spans="1:9" ht="51" x14ac:dyDescent="0.2">
      <c r="A145" s="40"/>
      <c r="B145" s="166" t="s">
        <v>326</v>
      </c>
      <c r="C145" s="167">
        <v>5700000</v>
      </c>
      <c r="D145" s="167">
        <v>280000</v>
      </c>
      <c r="E145" s="168" t="s">
        <v>294</v>
      </c>
      <c r="F145" s="167">
        <v>126000</v>
      </c>
      <c r="G145" s="167">
        <v>0</v>
      </c>
      <c r="H145" s="168" t="s">
        <v>409</v>
      </c>
      <c r="I145" s="26">
        <v>41333</v>
      </c>
    </row>
    <row r="146" spans="1:9" ht="51" x14ac:dyDescent="0.2">
      <c r="A146" s="40"/>
      <c r="B146" s="166" t="s">
        <v>327</v>
      </c>
      <c r="C146" s="167">
        <v>2800000</v>
      </c>
      <c r="D146" s="167">
        <v>280000</v>
      </c>
      <c r="E146" s="168" t="s">
        <v>294</v>
      </c>
      <c r="F146" s="167">
        <v>280000</v>
      </c>
      <c r="G146" s="167">
        <f t="shared" si="0"/>
        <v>0</v>
      </c>
      <c r="H146" s="44" t="s">
        <v>243</v>
      </c>
      <c r="I146" s="26">
        <v>39721</v>
      </c>
    </row>
    <row r="147" spans="1:9" ht="51" x14ac:dyDescent="0.2">
      <c r="A147" s="40"/>
      <c r="B147" s="166" t="s">
        <v>328</v>
      </c>
      <c r="C147" s="167">
        <v>1258532</v>
      </c>
      <c r="D147" s="167">
        <v>300000</v>
      </c>
      <c r="E147" s="168" t="s">
        <v>294</v>
      </c>
      <c r="F147" s="167">
        <v>300000</v>
      </c>
      <c r="G147" s="167">
        <f t="shared" si="0"/>
        <v>0</v>
      </c>
      <c r="H147" s="44" t="s">
        <v>243</v>
      </c>
      <c r="I147" s="26">
        <v>39387</v>
      </c>
    </row>
    <row r="148" spans="1:9" ht="51" x14ac:dyDescent="0.2">
      <c r="A148" s="40"/>
      <c r="B148" s="166" t="s">
        <v>329</v>
      </c>
      <c r="C148" s="167">
        <v>2154086</v>
      </c>
      <c r="D148" s="167">
        <v>319209</v>
      </c>
      <c r="E148" s="168" t="s">
        <v>294</v>
      </c>
      <c r="F148" s="167">
        <v>0</v>
      </c>
      <c r="G148" s="167">
        <v>0</v>
      </c>
      <c r="H148" s="168" t="s">
        <v>330</v>
      </c>
      <c r="I148" s="26" t="s">
        <v>250</v>
      </c>
    </row>
    <row r="149" spans="1:9" ht="25.5" x14ac:dyDescent="0.2">
      <c r="A149" s="40"/>
      <c r="B149" s="166" t="s">
        <v>331</v>
      </c>
      <c r="C149" s="167">
        <v>30000</v>
      </c>
      <c r="D149" s="167">
        <v>22500</v>
      </c>
      <c r="E149" s="168" t="s">
        <v>297</v>
      </c>
      <c r="F149" s="167">
        <v>0</v>
      </c>
      <c r="G149" s="167">
        <v>0</v>
      </c>
      <c r="H149" s="44" t="s">
        <v>278</v>
      </c>
      <c r="I149" s="22" t="s">
        <v>250</v>
      </c>
    </row>
    <row r="150" spans="1:9" x14ac:dyDescent="0.2">
      <c r="A150" s="40"/>
      <c r="B150" s="166" t="s">
        <v>332</v>
      </c>
      <c r="C150" s="167">
        <v>406711</v>
      </c>
      <c r="D150" s="167">
        <v>60000</v>
      </c>
      <c r="E150" s="168" t="s">
        <v>333</v>
      </c>
      <c r="F150" s="167">
        <v>42691</v>
      </c>
      <c r="G150" s="167">
        <v>0</v>
      </c>
      <c r="H150" s="44" t="s">
        <v>243</v>
      </c>
      <c r="I150" s="26">
        <v>39387</v>
      </c>
    </row>
    <row r="151" spans="1:9" x14ac:dyDescent="0.2">
      <c r="A151" s="40"/>
      <c r="B151" s="177"/>
      <c r="C151" s="178">
        <f>SUM(C142:C150)</f>
        <v>21416340</v>
      </c>
      <c r="D151" s="178">
        <f>SUM(D142:D150)</f>
        <v>3056500</v>
      </c>
      <c r="E151" s="179"/>
      <c r="F151" s="178">
        <f>SUM(F142:F150)</f>
        <v>2512402</v>
      </c>
      <c r="G151" s="178">
        <f>SUM(G142:G150)</f>
        <v>31079</v>
      </c>
      <c r="H151" s="179"/>
      <c r="I151" s="180"/>
    </row>
  </sheetData>
  <mergeCells count="14">
    <mergeCell ref="A131:H131"/>
    <mergeCell ref="A139:H139"/>
    <mergeCell ref="A1:I1"/>
    <mergeCell ref="A10:I10"/>
    <mergeCell ref="A17:I17"/>
    <mergeCell ref="A32:I32"/>
    <mergeCell ref="A41:I41"/>
    <mergeCell ref="A60:I60"/>
    <mergeCell ref="A73:I73"/>
    <mergeCell ref="A87:I87"/>
    <mergeCell ref="A95:I95"/>
    <mergeCell ref="A106:I106"/>
    <mergeCell ref="A117:H117"/>
    <mergeCell ref="A50:I5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5"/>
  <sheetViews>
    <sheetView zoomScaleNormal="100" workbookViewId="0">
      <selection sqref="A1:H1"/>
    </sheetView>
  </sheetViews>
  <sheetFormatPr defaultRowHeight="12.75" x14ac:dyDescent="0.2"/>
  <cols>
    <col min="1" max="1" width="58.85546875" customWidth="1"/>
    <col min="2" max="2" width="16.85546875" customWidth="1"/>
    <col min="3" max="3" width="16.42578125" customWidth="1"/>
    <col min="4" max="4" width="23.42578125" customWidth="1"/>
    <col min="5" max="5" width="17.5703125" customWidth="1"/>
    <col min="6" max="6" width="16.28515625" customWidth="1"/>
    <col min="7" max="7" width="32.42578125" customWidth="1"/>
    <col min="8" max="8" width="17.42578125" customWidth="1"/>
    <col min="9" max="9" width="14" customWidth="1"/>
  </cols>
  <sheetData>
    <row r="1" spans="1:9" ht="18" x14ac:dyDescent="0.2">
      <c r="A1" s="629" t="s">
        <v>334</v>
      </c>
      <c r="B1" s="629"/>
      <c r="C1" s="629"/>
      <c r="D1" s="629"/>
      <c r="E1" s="629"/>
      <c r="F1" s="629"/>
      <c r="G1" s="629"/>
      <c r="H1" s="629"/>
    </row>
    <row r="2" spans="1:9" ht="75" x14ac:dyDescent="0.2">
      <c r="A2" s="181" t="s">
        <v>0</v>
      </c>
      <c r="B2" s="182" t="s">
        <v>1</v>
      </c>
      <c r="C2" s="182" t="s">
        <v>98</v>
      </c>
      <c r="D2" s="182" t="s">
        <v>99</v>
      </c>
      <c r="E2" s="182" t="s">
        <v>100</v>
      </c>
      <c r="F2" s="182" t="s">
        <v>335</v>
      </c>
      <c r="G2" s="183" t="s">
        <v>102</v>
      </c>
      <c r="H2" s="183" t="s">
        <v>103</v>
      </c>
    </row>
    <row r="3" spans="1:9" ht="30" x14ac:dyDescent="0.2">
      <c r="A3" s="227" t="s">
        <v>336</v>
      </c>
      <c r="B3" s="463">
        <v>500000</v>
      </c>
      <c r="C3" s="228">
        <v>499935</v>
      </c>
      <c r="D3" s="229" t="s">
        <v>218</v>
      </c>
      <c r="E3" s="464">
        <v>499935</v>
      </c>
      <c r="F3" s="230">
        <f t="shared" ref="F3:F9" si="0">C3-E3</f>
        <v>0</v>
      </c>
      <c r="G3" s="231" t="s">
        <v>114</v>
      </c>
      <c r="H3" s="232">
        <v>40644</v>
      </c>
    </row>
    <row r="4" spans="1:9" ht="45" x14ac:dyDescent="0.2">
      <c r="A4" s="227" t="s">
        <v>337</v>
      </c>
      <c r="B4" s="463">
        <v>2000000</v>
      </c>
      <c r="C4" s="228">
        <v>1016039.5</v>
      </c>
      <c r="D4" s="229" t="s">
        <v>338</v>
      </c>
      <c r="E4" s="464">
        <v>1016039.5</v>
      </c>
      <c r="F4" s="230">
        <f t="shared" si="0"/>
        <v>0</v>
      </c>
      <c r="G4" s="231" t="s">
        <v>114</v>
      </c>
      <c r="H4" s="232">
        <v>41648</v>
      </c>
    </row>
    <row r="5" spans="1:9" ht="75" x14ac:dyDescent="0.2">
      <c r="A5" s="227" t="s">
        <v>595</v>
      </c>
      <c r="B5" s="463">
        <v>6213000</v>
      </c>
      <c r="C5" s="228">
        <v>1242600</v>
      </c>
      <c r="D5" s="229" t="s">
        <v>340</v>
      </c>
      <c r="E5" s="464">
        <v>620156.96</v>
      </c>
      <c r="F5" s="358">
        <f t="shared" si="0"/>
        <v>622443.04</v>
      </c>
      <c r="G5" s="231" t="s">
        <v>339</v>
      </c>
      <c r="H5" s="232">
        <v>43830</v>
      </c>
      <c r="I5" s="359"/>
    </row>
    <row r="6" spans="1:9" ht="45" x14ac:dyDescent="0.2">
      <c r="A6" s="227" t="s">
        <v>745</v>
      </c>
      <c r="B6" s="463">
        <v>40000</v>
      </c>
      <c r="C6" s="228">
        <v>14233.1</v>
      </c>
      <c r="D6" s="229" t="s">
        <v>596</v>
      </c>
      <c r="E6" s="464">
        <v>14233.1</v>
      </c>
      <c r="F6" s="230">
        <f t="shared" si="0"/>
        <v>0</v>
      </c>
      <c r="G6" s="231" t="s">
        <v>114</v>
      </c>
      <c r="H6" s="232">
        <v>42309</v>
      </c>
    </row>
    <row r="7" spans="1:9" ht="45" x14ac:dyDescent="0.2">
      <c r="A7" s="227" t="s">
        <v>746</v>
      </c>
      <c r="B7" s="465">
        <v>49999</v>
      </c>
      <c r="C7" s="466">
        <v>15918.75</v>
      </c>
      <c r="D7" s="229" t="s">
        <v>596</v>
      </c>
      <c r="E7" s="464">
        <v>15918.75</v>
      </c>
      <c r="F7" s="230">
        <f t="shared" si="0"/>
        <v>0</v>
      </c>
      <c r="G7" s="231" t="s">
        <v>114</v>
      </c>
      <c r="H7" s="467">
        <v>42672</v>
      </c>
    </row>
    <row r="8" spans="1:9" ht="45" x14ac:dyDescent="0.2">
      <c r="A8" s="227" t="s">
        <v>885</v>
      </c>
      <c r="B8" s="465">
        <v>101399</v>
      </c>
      <c r="C8" s="466">
        <v>33799</v>
      </c>
      <c r="D8" s="229" t="s">
        <v>596</v>
      </c>
      <c r="E8" s="464">
        <v>13180.29</v>
      </c>
      <c r="F8" s="230">
        <f t="shared" si="0"/>
        <v>20618.71</v>
      </c>
      <c r="G8" s="231" t="s">
        <v>339</v>
      </c>
      <c r="H8" s="467">
        <v>43555</v>
      </c>
    </row>
    <row r="9" spans="1:9" ht="75" x14ac:dyDescent="0.2">
      <c r="A9" s="227" t="s">
        <v>597</v>
      </c>
      <c r="B9" s="463">
        <v>125000000</v>
      </c>
      <c r="C9" s="228">
        <f>3000000-SUM(C3:C8)</f>
        <v>177474.64999999991</v>
      </c>
      <c r="D9" s="229" t="s">
        <v>340</v>
      </c>
      <c r="E9" s="464">
        <v>0</v>
      </c>
      <c r="F9" s="358">
        <f t="shared" si="0"/>
        <v>177474.64999999991</v>
      </c>
      <c r="G9" s="231" t="s">
        <v>496</v>
      </c>
      <c r="H9" s="232" t="s">
        <v>598</v>
      </c>
    </row>
    <row r="10" spans="1:9" ht="15" x14ac:dyDescent="0.2">
      <c r="A10" s="184" t="s">
        <v>138</v>
      </c>
      <c r="B10" s="185">
        <f>SUM(B3:B9)</f>
        <v>133904398</v>
      </c>
      <c r="C10" s="360">
        <f>SUM(C3:C9)</f>
        <v>3000000</v>
      </c>
      <c r="D10" s="182"/>
      <c r="E10" s="233">
        <f>SUM(E3:E9)</f>
        <v>2179463.6</v>
      </c>
      <c r="F10" s="233">
        <f>SUM(F3:F9)</f>
        <v>820536.39999999991</v>
      </c>
      <c r="G10" s="187"/>
      <c r="H10" s="183"/>
      <c r="I10" s="359"/>
    </row>
    <row r="11" spans="1:9" ht="15" x14ac:dyDescent="0.2">
      <c r="A11" s="188"/>
      <c r="B11" s="189"/>
      <c r="C11" s="189"/>
      <c r="D11" s="190"/>
      <c r="E11" s="191"/>
      <c r="F11" s="191"/>
      <c r="G11" s="192"/>
      <c r="H11" s="193"/>
    </row>
    <row r="12" spans="1:9" ht="18" x14ac:dyDescent="0.2">
      <c r="A12" s="629" t="s">
        <v>341</v>
      </c>
      <c r="B12" s="629"/>
      <c r="C12" s="629"/>
      <c r="D12" s="629"/>
      <c r="E12" s="629"/>
      <c r="F12" s="629"/>
      <c r="G12" s="629"/>
      <c r="H12" s="629"/>
    </row>
    <row r="13" spans="1:9" ht="75" x14ac:dyDescent="0.2">
      <c r="A13" s="181" t="s">
        <v>0</v>
      </c>
      <c r="B13" s="182" t="s">
        <v>1</v>
      </c>
      <c r="C13" s="182" t="s">
        <v>98</v>
      </c>
      <c r="D13" s="182" t="s">
        <v>99</v>
      </c>
      <c r="E13" s="182" t="s">
        <v>100</v>
      </c>
      <c r="F13" s="182" t="s">
        <v>335</v>
      </c>
      <c r="G13" s="183" t="s">
        <v>102</v>
      </c>
      <c r="H13" s="183" t="s">
        <v>103</v>
      </c>
    </row>
    <row r="14" spans="1:9" ht="75" x14ac:dyDescent="0.2">
      <c r="A14" s="234" t="s">
        <v>597</v>
      </c>
      <c r="B14" s="465">
        <v>125000000</v>
      </c>
      <c r="C14" s="235">
        <v>2000000</v>
      </c>
      <c r="D14" s="236" t="s">
        <v>340</v>
      </c>
      <c r="E14" s="468">
        <v>0</v>
      </c>
      <c r="F14" s="237">
        <v>2000000</v>
      </c>
      <c r="G14" s="238" t="s">
        <v>496</v>
      </c>
      <c r="H14" s="239" t="s">
        <v>598</v>
      </c>
    </row>
    <row r="15" spans="1:9" ht="15" x14ac:dyDescent="0.2">
      <c r="A15" s="184" t="s">
        <v>138</v>
      </c>
      <c r="B15" s="185">
        <f>B14</f>
        <v>125000000</v>
      </c>
      <c r="C15" s="185">
        <v>2000000</v>
      </c>
      <c r="D15" s="182"/>
      <c r="E15" s="186">
        <v>0</v>
      </c>
      <c r="F15" s="186">
        <v>2000000</v>
      </c>
      <c r="G15" s="187"/>
      <c r="H15" s="183"/>
    </row>
  </sheetData>
  <mergeCells count="2">
    <mergeCell ref="A1:H1"/>
    <mergeCell ref="A12:H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181"/>
  <sheetViews>
    <sheetView zoomScaleNormal="100" workbookViewId="0">
      <selection sqref="A1:E1"/>
    </sheetView>
  </sheetViews>
  <sheetFormatPr defaultColWidth="9.140625" defaultRowHeight="15" x14ac:dyDescent="0.2"/>
  <cols>
    <col min="1" max="1" width="20.7109375" style="300" customWidth="1"/>
    <col min="2" max="2" width="30.85546875" style="301" customWidth="1"/>
    <col min="3" max="3" width="77.85546875" style="302" customWidth="1"/>
    <col min="4" max="4" width="18.28515625" style="303" customWidth="1"/>
    <col min="5" max="5" width="19.7109375" style="303" customWidth="1"/>
    <col min="6" max="6" width="24.5703125" style="304" customWidth="1"/>
    <col min="7" max="7" width="16.42578125" style="303" bestFit="1" customWidth="1"/>
    <col min="8" max="8" width="16.7109375" style="303" customWidth="1"/>
    <col min="9" max="9" width="21.5703125" style="305" bestFit="1" customWidth="1"/>
    <col min="10" max="10" width="17" style="306" customWidth="1"/>
    <col min="11" max="11" width="13" style="305" customWidth="1"/>
    <col min="12" max="12" width="9.5703125" style="302" bestFit="1" customWidth="1"/>
    <col min="13" max="13" width="13" style="302" bestFit="1" customWidth="1"/>
    <col min="14" max="15" width="9.140625" style="302"/>
    <col min="16" max="16" width="16.7109375" style="302" customWidth="1"/>
    <col min="17" max="17" width="32.42578125" style="302" customWidth="1"/>
    <col min="18" max="16384" width="9.140625" style="302"/>
  </cols>
  <sheetData>
    <row r="1" spans="1:13" ht="15.75" customHeight="1" x14ac:dyDescent="0.2">
      <c r="A1" s="635" t="s">
        <v>956</v>
      </c>
      <c r="B1" s="635"/>
      <c r="C1" s="635"/>
      <c r="D1" s="635"/>
      <c r="E1" s="635"/>
      <c r="F1" s="635"/>
      <c r="G1" s="635"/>
      <c r="H1" s="635"/>
      <c r="I1" s="635"/>
      <c r="J1" s="635"/>
      <c r="K1" s="635"/>
    </row>
    <row r="2" spans="1:13" ht="78" customHeight="1" x14ac:dyDescent="0.25">
      <c r="A2" s="75" t="s">
        <v>153</v>
      </c>
      <c r="B2" s="535" t="s">
        <v>152</v>
      </c>
      <c r="C2" s="73" t="s">
        <v>0</v>
      </c>
      <c r="D2" s="74" t="s">
        <v>1</v>
      </c>
      <c r="E2" s="74" t="s">
        <v>98</v>
      </c>
      <c r="F2" s="122" t="s">
        <v>99</v>
      </c>
      <c r="G2" s="74" t="s">
        <v>151</v>
      </c>
      <c r="H2" s="74" t="s">
        <v>150</v>
      </c>
      <c r="I2" s="73" t="s">
        <v>102</v>
      </c>
      <c r="J2" s="73" t="s">
        <v>103</v>
      </c>
      <c r="K2" s="73" t="s">
        <v>149</v>
      </c>
    </row>
    <row r="3" spans="1:13" ht="15.6" customHeight="1" x14ac:dyDescent="0.2">
      <c r="A3" s="50">
        <v>20412</v>
      </c>
      <c r="B3" s="67" t="s">
        <v>210</v>
      </c>
      <c r="C3" s="69" t="s">
        <v>957</v>
      </c>
      <c r="D3" s="536">
        <v>743284</v>
      </c>
      <c r="E3" s="66">
        <v>517042</v>
      </c>
      <c r="F3" s="198" t="s">
        <v>221</v>
      </c>
      <c r="G3" s="242">
        <v>0</v>
      </c>
      <c r="H3" s="207">
        <f>E3-G3</f>
        <v>517042</v>
      </c>
      <c r="I3" s="65" t="s">
        <v>958</v>
      </c>
      <c r="J3" s="580" t="s">
        <v>959</v>
      </c>
      <c r="K3" s="208"/>
    </row>
    <row r="4" spans="1:13" s="327" customFormat="1" ht="32.25" customHeight="1" x14ac:dyDescent="0.25">
      <c r="A4" s="50">
        <v>20413</v>
      </c>
      <c r="B4" s="67" t="s">
        <v>123</v>
      </c>
      <c r="C4" s="69" t="s">
        <v>960</v>
      </c>
      <c r="D4" s="581">
        <v>1108500</v>
      </c>
      <c r="E4" s="66">
        <v>92500</v>
      </c>
      <c r="F4" s="198" t="s">
        <v>526</v>
      </c>
      <c r="G4" s="242">
        <v>0</v>
      </c>
      <c r="H4" s="207">
        <f t="shared" ref="H4:H7" si="0">E4-G4</f>
        <v>92500</v>
      </c>
      <c r="I4" s="65" t="s">
        <v>958</v>
      </c>
      <c r="J4" s="580" t="s">
        <v>961</v>
      </c>
      <c r="K4" s="208"/>
    </row>
    <row r="5" spans="1:13" s="327" customFormat="1" ht="15.6" customHeight="1" x14ac:dyDescent="0.25">
      <c r="A5" s="50">
        <v>20414</v>
      </c>
      <c r="B5" s="67" t="s">
        <v>530</v>
      </c>
      <c r="C5" s="69" t="s">
        <v>962</v>
      </c>
      <c r="D5" s="581">
        <v>414000</v>
      </c>
      <c r="E5" s="66">
        <v>329000</v>
      </c>
      <c r="F5" s="198" t="s">
        <v>221</v>
      </c>
      <c r="G5" s="242">
        <v>0</v>
      </c>
      <c r="H5" s="207">
        <f t="shared" si="0"/>
        <v>329000</v>
      </c>
      <c r="I5" s="65" t="s">
        <v>958</v>
      </c>
      <c r="J5" s="580" t="s">
        <v>959</v>
      </c>
      <c r="K5" s="208"/>
    </row>
    <row r="6" spans="1:13" s="327" customFormat="1" ht="15.6" customHeight="1" x14ac:dyDescent="0.25">
      <c r="A6" s="50">
        <v>20415</v>
      </c>
      <c r="B6" s="67" t="s">
        <v>130</v>
      </c>
      <c r="C6" s="69" t="s">
        <v>963</v>
      </c>
      <c r="D6" s="581">
        <v>243830</v>
      </c>
      <c r="E6" s="66">
        <v>195064</v>
      </c>
      <c r="F6" s="198" t="s">
        <v>221</v>
      </c>
      <c r="G6" s="242">
        <v>0</v>
      </c>
      <c r="H6" s="207">
        <f t="shared" si="0"/>
        <v>195064</v>
      </c>
      <c r="I6" s="65" t="s">
        <v>958</v>
      </c>
      <c r="J6" s="580" t="s">
        <v>959</v>
      </c>
      <c r="K6" s="208"/>
    </row>
    <row r="7" spans="1:13" ht="26.45" customHeight="1" x14ac:dyDescent="0.25">
      <c r="A7" s="50">
        <v>20416</v>
      </c>
      <c r="B7" s="67" t="s">
        <v>754</v>
      </c>
      <c r="C7" s="69" t="s">
        <v>964</v>
      </c>
      <c r="D7" s="582">
        <v>700000</v>
      </c>
      <c r="E7" s="66">
        <f>525000-158606</f>
        <v>366394</v>
      </c>
      <c r="F7" s="198" t="s">
        <v>221</v>
      </c>
      <c r="G7" s="537">
        <v>328095</v>
      </c>
      <c r="H7" s="207">
        <f t="shared" si="0"/>
        <v>38299</v>
      </c>
      <c r="I7" s="65" t="s">
        <v>958</v>
      </c>
      <c r="J7" s="580" t="s">
        <v>959</v>
      </c>
      <c r="K7" s="208"/>
    </row>
    <row r="8" spans="1:13" ht="15.6" customHeight="1" x14ac:dyDescent="0.25">
      <c r="A8" s="119"/>
      <c r="B8" s="538"/>
      <c r="C8" s="57" t="s">
        <v>140</v>
      </c>
      <c r="D8" s="108"/>
      <c r="E8" s="55">
        <f>SUM(E3:E7)</f>
        <v>1500000</v>
      </c>
      <c r="F8" s="210"/>
      <c r="G8" s="119"/>
      <c r="H8" s="211">
        <f>SUM(H3:H7)</f>
        <v>1171905</v>
      </c>
      <c r="I8" s="118"/>
      <c r="J8" s="117"/>
      <c r="K8" s="116"/>
      <c r="M8" s="303"/>
    </row>
    <row r="9" spans="1:13" ht="15.6" customHeight="1" x14ac:dyDescent="0.25">
      <c r="A9" s="583"/>
      <c r="B9" s="584"/>
      <c r="C9" s="585"/>
      <c r="D9" s="586"/>
      <c r="E9" s="587"/>
      <c r="F9" s="588"/>
      <c r="G9" s="583"/>
      <c r="H9" s="589"/>
      <c r="I9" s="590"/>
      <c r="J9" s="591"/>
      <c r="K9" s="592"/>
    </row>
    <row r="10" spans="1:13" ht="15.75" customHeight="1" x14ac:dyDescent="0.2">
      <c r="A10" s="635" t="s">
        <v>854</v>
      </c>
      <c r="B10" s="635"/>
      <c r="C10" s="635"/>
      <c r="D10" s="635"/>
      <c r="E10" s="635"/>
      <c r="F10" s="635"/>
      <c r="G10" s="635"/>
      <c r="H10" s="635"/>
      <c r="I10" s="635"/>
      <c r="J10" s="635"/>
      <c r="K10" s="635"/>
    </row>
    <row r="11" spans="1:13" ht="78" customHeight="1" x14ac:dyDescent="0.25">
      <c r="A11" s="75" t="s">
        <v>153</v>
      </c>
      <c r="B11" s="535" t="s">
        <v>152</v>
      </c>
      <c r="C11" s="73" t="s">
        <v>0</v>
      </c>
      <c r="D11" s="74" t="s">
        <v>1</v>
      </c>
      <c r="E11" s="74" t="s">
        <v>98</v>
      </c>
      <c r="F11" s="122" t="s">
        <v>99</v>
      </c>
      <c r="G11" s="74" t="s">
        <v>151</v>
      </c>
      <c r="H11" s="74" t="s">
        <v>150</v>
      </c>
      <c r="I11" s="73" t="s">
        <v>102</v>
      </c>
      <c r="J11" s="73" t="s">
        <v>103</v>
      </c>
      <c r="K11" s="73" t="s">
        <v>149</v>
      </c>
    </row>
    <row r="12" spans="1:13" ht="15.6" customHeight="1" x14ac:dyDescent="0.25">
      <c r="A12" s="50">
        <v>20271</v>
      </c>
      <c r="B12" s="343" t="s">
        <v>210</v>
      </c>
      <c r="C12" s="69" t="s">
        <v>855</v>
      </c>
      <c r="D12" s="593">
        <f>E12/0.8</f>
        <v>408750</v>
      </c>
      <c r="E12" s="66">
        <f>405009-44904-33105</f>
        <v>327000</v>
      </c>
      <c r="F12" s="198" t="s">
        <v>221</v>
      </c>
      <c r="G12" s="242">
        <v>281347</v>
      </c>
      <c r="H12" s="207">
        <f>E12-G12</f>
        <v>45653</v>
      </c>
      <c r="I12" s="65" t="s">
        <v>856</v>
      </c>
      <c r="J12" s="96" t="s">
        <v>857</v>
      </c>
      <c r="K12" s="208"/>
    </row>
    <row r="13" spans="1:13" ht="26.45" customHeight="1" x14ac:dyDescent="0.25">
      <c r="A13" s="50">
        <v>19449</v>
      </c>
      <c r="B13" s="343" t="s">
        <v>858</v>
      </c>
      <c r="C13" s="69" t="s">
        <v>859</v>
      </c>
      <c r="D13" s="593">
        <v>1289000</v>
      </c>
      <c r="E13" s="66">
        <v>600000</v>
      </c>
      <c r="F13" s="198" t="s">
        <v>221</v>
      </c>
      <c r="G13" s="537">
        <v>0</v>
      </c>
      <c r="H13" s="207">
        <f t="shared" ref="H13:H15" si="1">E13-G13</f>
        <v>600000</v>
      </c>
      <c r="I13" s="65" t="s">
        <v>856</v>
      </c>
      <c r="J13" s="96" t="s">
        <v>857</v>
      </c>
      <c r="K13" s="208"/>
    </row>
    <row r="14" spans="1:13" ht="15.75" x14ac:dyDescent="0.25">
      <c r="A14" s="50">
        <v>19450</v>
      </c>
      <c r="B14" s="343" t="s">
        <v>411</v>
      </c>
      <c r="C14" s="69" t="s">
        <v>860</v>
      </c>
      <c r="D14" s="593">
        <v>806400</v>
      </c>
      <c r="E14" s="66">
        <v>539895</v>
      </c>
      <c r="F14" s="198" t="s">
        <v>221</v>
      </c>
      <c r="G14" s="537">
        <v>539895</v>
      </c>
      <c r="H14" s="207">
        <f t="shared" si="1"/>
        <v>0</v>
      </c>
      <c r="I14" s="65" t="s">
        <v>485</v>
      </c>
      <c r="J14" s="96">
        <v>43453</v>
      </c>
      <c r="K14" s="68">
        <v>43453</v>
      </c>
    </row>
    <row r="15" spans="1:13" ht="30" x14ac:dyDescent="0.25">
      <c r="A15" s="50">
        <v>20416</v>
      </c>
      <c r="B15" s="594" t="s">
        <v>754</v>
      </c>
      <c r="C15" s="69" t="s">
        <v>965</v>
      </c>
      <c r="D15" s="582">
        <v>700000</v>
      </c>
      <c r="E15" s="66">
        <f>E16-SUM(E12:E14)</f>
        <v>33105</v>
      </c>
      <c r="F15" s="198" t="s">
        <v>221</v>
      </c>
      <c r="G15" s="537">
        <v>33105</v>
      </c>
      <c r="H15" s="207">
        <f t="shared" si="1"/>
        <v>0</v>
      </c>
      <c r="I15" s="65" t="s">
        <v>958</v>
      </c>
      <c r="J15" s="96" t="s">
        <v>959</v>
      </c>
      <c r="K15" s="208"/>
    </row>
    <row r="16" spans="1:13" ht="15.6" customHeight="1" x14ac:dyDescent="0.25">
      <c r="A16" s="119"/>
      <c r="B16" s="538"/>
      <c r="C16" s="57" t="s">
        <v>140</v>
      </c>
      <c r="D16" s="108"/>
      <c r="E16" s="55">
        <f>1500000</f>
        <v>1500000</v>
      </c>
      <c r="F16" s="210"/>
      <c r="G16" s="470"/>
      <c r="H16" s="211">
        <f>SUM(H12:H14)</f>
        <v>645653</v>
      </c>
      <c r="I16" s="118"/>
      <c r="J16" s="117"/>
      <c r="K16" s="116"/>
      <c r="M16" s="303"/>
    </row>
    <row r="17" spans="1:13" x14ac:dyDescent="0.2">
      <c r="M17" s="303"/>
    </row>
    <row r="18" spans="1:13" ht="15.75" customHeight="1" x14ac:dyDescent="0.2">
      <c r="A18" s="635" t="s">
        <v>747</v>
      </c>
      <c r="B18" s="635"/>
      <c r="C18" s="635"/>
      <c r="D18" s="635"/>
      <c r="E18" s="635"/>
      <c r="F18" s="635"/>
      <c r="G18" s="635"/>
      <c r="H18" s="635"/>
      <c r="I18" s="635"/>
      <c r="J18" s="635"/>
      <c r="K18" s="635"/>
    </row>
    <row r="19" spans="1:13" ht="78" customHeight="1" x14ac:dyDescent="0.25">
      <c r="A19" s="75" t="s">
        <v>153</v>
      </c>
      <c r="B19" s="73" t="s">
        <v>152</v>
      </c>
      <c r="C19" s="73" t="s">
        <v>0</v>
      </c>
      <c r="D19" s="74" t="s">
        <v>1</v>
      </c>
      <c r="E19" s="74" t="s">
        <v>98</v>
      </c>
      <c r="F19" s="122" t="s">
        <v>99</v>
      </c>
      <c r="G19" s="74" t="s">
        <v>151</v>
      </c>
      <c r="H19" s="74" t="s">
        <v>150</v>
      </c>
      <c r="I19" s="73" t="s">
        <v>102</v>
      </c>
      <c r="J19" s="73" t="s">
        <v>103</v>
      </c>
      <c r="K19" s="73" t="s">
        <v>149</v>
      </c>
    </row>
    <row r="20" spans="1:13" ht="15.6" customHeight="1" x14ac:dyDescent="0.2">
      <c r="A20" s="50">
        <v>18417</v>
      </c>
      <c r="B20" s="67" t="s">
        <v>210</v>
      </c>
      <c r="C20" s="69" t="s">
        <v>748</v>
      </c>
      <c r="D20" s="207">
        <v>400000</v>
      </c>
      <c r="E20" s="66">
        <f>320000-67514</f>
        <v>252486</v>
      </c>
      <c r="F20" s="198" t="s">
        <v>221</v>
      </c>
      <c r="G20" s="242">
        <v>252486</v>
      </c>
      <c r="H20" s="207">
        <f>E20-G20</f>
        <v>0</v>
      </c>
      <c r="I20" s="65" t="s">
        <v>485</v>
      </c>
      <c r="J20" s="96">
        <v>43238</v>
      </c>
      <c r="K20" s="580">
        <v>43238</v>
      </c>
    </row>
    <row r="21" spans="1:13" ht="26.45" customHeight="1" x14ac:dyDescent="0.2">
      <c r="A21" s="50">
        <v>18418</v>
      </c>
      <c r="B21" s="67" t="s">
        <v>749</v>
      </c>
      <c r="C21" s="69" t="s">
        <v>490</v>
      </c>
      <c r="D21" s="207">
        <v>6340247</v>
      </c>
      <c r="E21" s="66">
        <v>569823</v>
      </c>
      <c r="F21" s="198" t="s">
        <v>526</v>
      </c>
      <c r="G21" s="537">
        <v>569823</v>
      </c>
      <c r="H21" s="207">
        <f t="shared" ref="H21:H26" si="2">E21-G21</f>
        <v>0</v>
      </c>
      <c r="I21" s="65" t="s">
        <v>485</v>
      </c>
      <c r="J21" s="96">
        <v>43052</v>
      </c>
      <c r="K21" s="580">
        <v>43052</v>
      </c>
    </row>
    <row r="22" spans="1:13" x14ac:dyDescent="0.2">
      <c r="A22" s="50">
        <v>18419</v>
      </c>
      <c r="B22" s="67" t="s">
        <v>750</v>
      </c>
      <c r="C22" s="69" t="s">
        <v>751</v>
      </c>
      <c r="D22" s="207">
        <v>281887</v>
      </c>
      <c r="E22" s="66">
        <v>225509</v>
      </c>
      <c r="F22" s="198" t="s">
        <v>221</v>
      </c>
      <c r="G22" s="537">
        <v>225509</v>
      </c>
      <c r="H22" s="207">
        <f t="shared" si="2"/>
        <v>0</v>
      </c>
      <c r="I22" s="65" t="s">
        <v>485</v>
      </c>
      <c r="J22" s="96">
        <v>43258</v>
      </c>
      <c r="K22" s="580">
        <v>43258</v>
      </c>
    </row>
    <row r="23" spans="1:13" ht="15.6" customHeight="1" x14ac:dyDescent="0.2">
      <c r="A23" s="50">
        <v>18420</v>
      </c>
      <c r="B23" s="67" t="s">
        <v>752</v>
      </c>
      <c r="C23" s="69" t="s">
        <v>753</v>
      </c>
      <c r="D23" s="207">
        <v>20000</v>
      </c>
      <c r="E23" s="66">
        <f>16000-2768</f>
        <v>13232</v>
      </c>
      <c r="F23" s="198" t="s">
        <v>221</v>
      </c>
      <c r="G23" s="537">
        <v>13232</v>
      </c>
      <c r="H23" s="207">
        <f t="shared" si="2"/>
        <v>0</v>
      </c>
      <c r="I23" s="65" t="s">
        <v>485</v>
      </c>
      <c r="J23" s="96">
        <v>43237</v>
      </c>
      <c r="K23" s="580">
        <v>43237</v>
      </c>
    </row>
    <row r="24" spans="1:13" ht="27" customHeight="1" x14ac:dyDescent="0.2">
      <c r="A24" s="50">
        <v>18421</v>
      </c>
      <c r="B24" s="67" t="s">
        <v>754</v>
      </c>
      <c r="C24" s="69" t="s">
        <v>755</v>
      </c>
      <c r="D24" s="207">
        <v>600000</v>
      </c>
      <c r="E24" s="66">
        <f>400000-76236</f>
        <v>323764</v>
      </c>
      <c r="F24" s="198" t="s">
        <v>756</v>
      </c>
      <c r="G24" s="537">
        <v>323764</v>
      </c>
      <c r="H24" s="207">
        <f t="shared" si="2"/>
        <v>0</v>
      </c>
      <c r="I24" s="65" t="s">
        <v>485</v>
      </c>
      <c r="J24" s="96">
        <v>42639</v>
      </c>
      <c r="K24" s="580">
        <v>42639</v>
      </c>
    </row>
    <row r="25" spans="1:13" ht="15.75" x14ac:dyDescent="0.25">
      <c r="A25" s="341">
        <v>20271</v>
      </c>
      <c r="B25" s="343" t="s">
        <v>210</v>
      </c>
      <c r="C25" s="331" t="s">
        <v>861</v>
      </c>
      <c r="D25" s="539">
        <f>E25/0.8</f>
        <v>56130</v>
      </c>
      <c r="E25" s="123">
        <v>44904</v>
      </c>
      <c r="F25" s="198" t="s">
        <v>221</v>
      </c>
      <c r="G25" s="537">
        <v>44904</v>
      </c>
      <c r="H25" s="207">
        <f t="shared" si="2"/>
        <v>0</v>
      </c>
      <c r="I25" s="65" t="s">
        <v>856</v>
      </c>
      <c r="J25" s="96" t="s">
        <v>857</v>
      </c>
      <c r="K25" s="67"/>
    </row>
    <row r="26" spans="1:13" ht="30" x14ac:dyDescent="0.25">
      <c r="A26" s="50">
        <v>20416</v>
      </c>
      <c r="B26" s="67" t="s">
        <v>754</v>
      </c>
      <c r="C26" s="69" t="s">
        <v>966</v>
      </c>
      <c r="D26" s="582">
        <v>700000</v>
      </c>
      <c r="E26" s="123">
        <f>2768+67514</f>
        <v>70282</v>
      </c>
      <c r="F26" s="198" t="s">
        <v>221</v>
      </c>
      <c r="G26" s="537">
        <v>70282</v>
      </c>
      <c r="H26" s="207">
        <f t="shared" si="2"/>
        <v>0</v>
      </c>
      <c r="I26" s="65" t="s">
        <v>958</v>
      </c>
      <c r="J26" s="96" t="s">
        <v>959</v>
      </c>
      <c r="K26" s="67"/>
    </row>
    <row r="27" spans="1:13" ht="15.6" customHeight="1" x14ac:dyDescent="0.25">
      <c r="A27" s="119"/>
      <c r="B27" s="89"/>
      <c r="C27" s="57" t="s">
        <v>140</v>
      </c>
      <c r="D27" s="108"/>
      <c r="E27" s="55">
        <f>1500000</f>
        <v>1500000</v>
      </c>
      <c r="F27" s="210"/>
      <c r="G27" s="470"/>
      <c r="H27" s="211">
        <f>SUM(H20:H25)</f>
        <v>0</v>
      </c>
      <c r="I27" s="118"/>
      <c r="J27" s="117"/>
      <c r="K27" s="116"/>
    </row>
    <row r="28" spans="1:13" ht="15.6" customHeight="1" x14ac:dyDescent="0.25">
      <c r="A28" s="119"/>
      <c r="B28" s="89"/>
      <c r="C28" s="57"/>
      <c r="D28" s="108"/>
      <c r="E28" s="55"/>
      <c r="F28" s="210"/>
      <c r="G28" s="119"/>
      <c r="H28" s="211"/>
      <c r="I28" s="118"/>
      <c r="J28" s="117"/>
      <c r="K28" s="116"/>
    </row>
    <row r="29" spans="1:13" ht="15.75" customHeight="1" x14ac:dyDescent="0.2">
      <c r="A29" s="635" t="s">
        <v>523</v>
      </c>
      <c r="B29" s="635"/>
      <c r="C29" s="635"/>
      <c r="D29" s="635"/>
      <c r="E29" s="635"/>
      <c r="F29" s="635"/>
      <c r="G29" s="635"/>
      <c r="H29" s="635"/>
      <c r="I29" s="635"/>
      <c r="J29" s="635"/>
      <c r="K29" s="635"/>
    </row>
    <row r="30" spans="1:13" ht="78" customHeight="1" x14ac:dyDescent="0.25">
      <c r="A30" s="75" t="s">
        <v>153</v>
      </c>
      <c r="B30" s="73" t="s">
        <v>152</v>
      </c>
      <c r="C30" s="73" t="s">
        <v>0</v>
      </c>
      <c r="D30" s="74" t="s">
        <v>1</v>
      </c>
      <c r="E30" s="74" t="s">
        <v>98</v>
      </c>
      <c r="F30" s="122" t="s">
        <v>99</v>
      </c>
      <c r="G30" s="74" t="s">
        <v>151</v>
      </c>
      <c r="H30" s="74" t="s">
        <v>150</v>
      </c>
      <c r="I30" s="73" t="s">
        <v>102</v>
      </c>
      <c r="J30" s="73" t="s">
        <v>103</v>
      </c>
      <c r="K30" s="73" t="s">
        <v>149</v>
      </c>
    </row>
    <row r="31" spans="1:13" ht="15.6" customHeight="1" x14ac:dyDescent="0.2">
      <c r="A31" s="472">
        <v>17521</v>
      </c>
      <c r="B31" s="52" t="s">
        <v>219</v>
      </c>
      <c r="C31" s="240" t="s">
        <v>524</v>
      </c>
      <c r="D31" s="207">
        <v>645846</v>
      </c>
      <c r="E31" s="241">
        <v>480000</v>
      </c>
      <c r="F31" s="198" t="s">
        <v>221</v>
      </c>
      <c r="G31" s="242">
        <v>480000</v>
      </c>
      <c r="H31" s="207">
        <f>E31-G31</f>
        <v>0</v>
      </c>
      <c r="I31" s="61" t="s">
        <v>144</v>
      </c>
      <c r="J31" s="96">
        <v>42717</v>
      </c>
      <c r="K31" s="580">
        <v>42717</v>
      </c>
    </row>
    <row r="32" spans="1:13" ht="26.45" customHeight="1" x14ac:dyDescent="0.2">
      <c r="A32" s="472">
        <v>17522</v>
      </c>
      <c r="B32" s="52" t="s">
        <v>123</v>
      </c>
      <c r="C32" s="240" t="s">
        <v>525</v>
      </c>
      <c r="D32" s="207">
        <v>1050000</v>
      </c>
      <c r="E32" s="241">
        <v>369007</v>
      </c>
      <c r="F32" s="198" t="s">
        <v>526</v>
      </c>
      <c r="G32" s="242">
        <v>369007</v>
      </c>
      <c r="H32" s="207">
        <f t="shared" ref="H32:H36" si="3">E32-G32</f>
        <v>0</v>
      </c>
      <c r="I32" s="65" t="s">
        <v>485</v>
      </c>
      <c r="J32" s="96">
        <v>42744</v>
      </c>
      <c r="K32" s="580">
        <v>42744</v>
      </c>
    </row>
    <row r="33" spans="1:11" ht="30" x14ac:dyDescent="0.2">
      <c r="A33" s="472">
        <v>17523</v>
      </c>
      <c r="B33" s="52" t="s">
        <v>130</v>
      </c>
      <c r="C33" s="240" t="s">
        <v>527</v>
      </c>
      <c r="D33" s="207">
        <v>17741</v>
      </c>
      <c r="E33" s="241">
        <f>110800-20143-69658-6794-12</f>
        <v>14193</v>
      </c>
      <c r="F33" s="198" t="s">
        <v>221</v>
      </c>
      <c r="G33" s="242">
        <v>14193</v>
      </c>
      <c r="H33" s="207">
        <f t="shared" si="3"/>
        <v>0</v>
      </c>
      <c r="I33" s="61" t="s">
        <v>144</v>
      </c>
      <c r="J33" s="96">
        <v>43159</v>
      </c>
      <c r="K33" s="580">
        <v>43159</v>
      </c>
    </row>
    <row r="34" spans="1:11" ht="15.6" customHeight="1" x14ac:dyDescent="0.2">
      <c r="A34" s="472">
        <v>17519</v>
      </c>
      <c r="B34" s="52" t="s">
        <v>528</v>
      </c>
      <c r="C34" s="240" t="s">
        <v>529</v>
      </c>
      <c r="D34" s="207">
        <v>763390</v>
      </c>
      <c r="E34" s="241">
        <v>600000</v>
      </c>
      <c r="F34" s="198" t="s">
        <v>221</v>
      </c>
      <c r="G34" s="242">
        <v>600000</v>
      </c>
      <c r="H34" s="207">
        <f t="shared" si="3"/>
        <v>0</v>
      </c>
      <c r="I34" s="65" t="s">
        <v>485</v>
      </c>
      <c r="J34" s="96">
        <v>42928</v>
      </c>
      <c r="K34" s="580">
        <v>42928</v>
      </c>
    </row>
    <row r="35" spans="1:11" s="327" customFormat="1" ht="15.6" customHeight="1" x14ac:dyDescent="0.2">
      <c r="A35" s="472">
        <v>17520</v>
      </c>
      <c r="B35" s="52" t="s">
        <v>530</v>
      </c>
      <c r="C35" s="240" t="s">
        <v>531</v>
      </c>
      <c r="D35" s="207">
        <v>46000</v>
      </c>
      <c r="E35" s="241">
        <v>3695</v>
      </c>
      <c r="F35" s="198" t="s">
        <v>221</v>
      </c>
      <c r="G35" s="242">
        <f>49340-47200+1555</f>
        <v>3695</v>
      </c>
      <c r="H35" s="207">
        <f t="shared" si="3"/>
        <v>0</v>
      </c>
      <c r="I35" s="65" t="s">
        <v>485</v>
      </c>
      <c r="J35" s="96">
        <v>43087</v>
      </c>
      <c r="K35" s="580">
        <v>43087</v>
      </c>
    </row>
    <row r="36" spans="1:11" ht="15.6" customHeight="1" x14ac:dyDescent="0.25">
      <c r="A36" s="341">
        <v>20271</v>
      </c>
      <c r="B36" s="343" t="s">
        <v>210</v>
      </c>
      <c r="C36" s="331" t="s">
        <v>862</v>
      </c>
      <c r="D36" s="539">
        <f>E36/0.8</f>
        <v>41381.25</v>
      </c>
      <c r="E36" s="241">
        <f>E37-SUM(E31:E35)</f>
        <v>33105</v>
      </c>
      <c r="F36" s="198" t="s">
        <v>221</v>
      </c>
      <c r="G36" s="242">
        <v>33105</v>
      </c>
      <c r="H36" s="207">
        <f t="shared" si="3"/>
        <v>0</v>
      </c>
      <c r="I36" s="65" t="s">
        <v>856</v>
      </c>
      <c r="J36" s="96" t="s">
        <v>857</v>
      </c>
      <c r="K36" s="595"/>
    </row>
    <row r="37" spans="1:11" ht="15.6" customHeight="1" x14ac:dyDescent="0.25">
      <c r="A37" s="119"/>
      <c r="B37" s="89"/>
      <c r="C37" s="57" t="s">
        <v>140</v>
      </c>
      <c r="D37" s="108"/>
      <c r="E37" s="55">
        <v>1500000</v>
      </c>
      <c r="F37" s="210"/>
      <c r="G37" s="119"/>
      <c r="H37" s="211">
        <f>SUM(H31:H35)</f>
        <v>0</v>
      </c>
      <c r="I37" s="118"/>
      <c r="J37" s="117"/>
      <c r="K37" s="116"/>
    </row>
    <row r="39" spans="1:11" ht="15.6" customHeight="1" x14ac:dyDescent="0.2">
      <c r="A39" s="635" t="s">
        <v>487</v>
      </c>
      <c r="B39" s="635"/>
      <c r="C39" s="635"/>
      <c r="D39" s="635"/>
      <c r="E39" s="635"/>
      <c r="F39" s="635"/>
      <c r="G39" s="635"/>
      <c r="H39" s="635"/>
      <c r="I39" s="635"/>
      <c r="J39" s="635"/>
      <c r="K39" s="635"/>
    </row>
    <row r="40" spans="1:11" ht="78" customHeight="1" x14ac:dyDescent="0.25">
      <c r="A40" s="75" t="s">
        <v>153</v>
      </c>
      <c r="B40" s="73" t="s">
        <v>152</v>
      </c>
      <c r="C40" s="73" t="s">
        <v>0</v>
      </c>
      <c r="D40" s="74" t="s">
        <v>1</v>
      </c>
      <c r="E40" s="74" t="s">
        <v>98</v>
      </c>
      <c r="F40" s="122" t="s">
        <v>99</v>
      </c>
      <c r="G40" s="74" t="s">
        <v>151</v>
      </c>
      <c r="H40" s="74" t="s">
        <v>150</v>
      </c>
      <c r="I40" s="73" t="s">
        <v>102</v>
      </c>
      <c r="J40" s="73" t="s">
        <v>103</v>
      </c>
      <c r="K40" s="73" t="s">
        <v>149</v>
      </c>
    </row>
    <row r="41" spans="1:11" x14ac:dyDescent="0.2">
      <c r="A41" s="472">
        <v>16399</v>
      </c>
      <c r="B41" s="52" t="s">
        <v>219</v>
      </c>
      <c r="C41" s="240" t="s">
        <v>488</v>
      </c>
      <c r="D41" s="207">
        <v>55000</v>
      </c>
      <c r="E41" s="241">
        <v>44000</v>
      </c>
      <c r="F41" s="198" t="s">
        <v>220</v>
      </c>
      <c r="G41" s="207">
        <v>44000</v>
      </c>
      <c r="H41" s="207">
        <f>E41-G41</f>
        <v>0</v>
      </c>
      <c r="I41" s="61" t="s">
        <v>144</v>
      </c>
      <c r="J41" s="96">
        <v>42116</v>
      </c>
      <c r="K41" s="580">
        <v>42116</v>
      </c>
    </row>
    <row r="42" spans="1:11" ht="26.45" customHeight="1" x14ac:dyDescent="0.2">
      <c r="A42" s="472">
        <v>16400</v>
      </c>
      <c r="B42" s="52" t="s">
        <v>123</v>
      </c>
      <c r="C42" s="240" t="s">
        <v>489</v>
      </c>
      <c r="D42" s="207">
        <v>965000</v>
      </c>
      <c r="E42" s="241">
        <v>600000</v>
      </c>
      <c r="F42" s="198" t="s">
        <v>212</v>
      </c>
      <c r="G42" s="207">
        <v>600000</v>
      </c>
      <c r="H42" s="207">
        <f t="shared" ref="H42:H45" si="4">E42-G42</f>
        <v>0</v>
      </c>
      <c r="I42" s="61" t="s">
        <v>144</v>
      </c>
      <c r="J42" s="96">
        <v>42354</v>
      </c>
      <c r="K42" s="580">
        <v>42354</v>
      </c>
    </row>
    <row r="43" spans="1:11" ht="26.45" customHeight="1" x14ac:dyDescent="0.2">
      <c r="A43" s="472">
        <v>16401</v>
      </c>
      <c r="B43" s="52" t="s">
        <v>124</v>
      </c>
      <c r="C43" s="240" t="s">
        <v>490</v>
      </c>
      <c r="D43" s="207">
        <v>5184568</v>
      </c>
      <c r="E43" s="241">
        <v>600000</v>
      </c>
      <c r="F43" s="198" t="s">
        <v>212</v>
      </c>
      <c r="G43" s="207">
        <v>600000</v>
      </c>
      <c r="H43" s="207">
        <f t="shared" si="4"/>
        <v>0</v>
      </c>
      <c r="I43" s="65" t="s">
        <v>485</v>
      </c>
      <c r="J43" s="96">
        <v>42926</v>
      </c>
      <c r="K43" s="580">
        <v>42926</v>
      </c>
    </row>
    <row r="44" spans="1:11" ht="26.25" customHeight="1" x14ac:dyDescent="0.2">
      <c r="A44" s="472">
        <v>16402</v>
      </c>
      <c r="B44" s="52" t="s">
        <v>130</v>
      </c>
      <c r="C44" s="240" t="s">
        <v>491</v>
      </c>
      <c r="D44" s="207">
        <v>280000</v>
      </c>
      <c r="E44" s="241">
        <v>208800</v>
      </c>
      <c r="F44" s="198" t="s">
        <v>212</v>
      </c>
      <c r="G44" s="207">
        <v>208800</v>
      </c>
      <c r="H44" s="207">
        <f t="shared" si="4"/>
        <v>0</v>
      </c>
      <c r="I44" s="61" t="s">
        <v>144</v>
      </c>
      <c r="J44" s="96">
        <v>42381</v>
      </c>
      <c r="K44" s="580">
        <v>42381</v>
      </c>
    </row>
    <row r="45" spans="1:11" x14ac:dyDescent="0.2">
      <c r="A45" s="472">
        <v>17520</v>
      </c>
      <c r="B45" s="52" t="s">
        <v>530</v>
      </c>
      <c r="C45" s="240" t="s">
        <v>532</v>
      </c>
      <c r="D45" s="124">
        <v>59000</v>
      </c>
      <c r="E45" s="123">
        <f>E46-SUM(E41:E44)</f>
        <v>47200</v>
      </c>
      <c r="F45" s="198" t="s">
        <v>221</v>
      </c>
      <c r="G45" s="212">
        <v>47200</v>
      </c>
      <c r="H45" s="207">
        <f t="shared" si="4"/>
        <v>0</v>
      </c>
      <c r="I45" s="65" t="s">
        <v>485</v>
      </c>
      <c r="J45" s="96">
        <v>43087</v>
      </c>
      <c r="K45" s="580">
        <v>43087</v>
      </c>
    </row>
    <row r="46" spans="1:11" ht="15.6" customHeight="1" x14ac:dyDescent="0.25">
      <c r="A46" s="119"/>
      <c r="B46" s="89"/>
      <c r="C46" s="57" t="s">
        <v>140</v>
      </c>
      <c r="D46" s="108"/>
      <c r="E46" s="55">
        <v>1500000</v>
      </c>
      <c r="F46" s="210"/>
      <c r="G46" s="470"/>
      <c r="H46" s="211">
        <f>SUM(H41:H45)</f>
        <v>0</v>
      </c>
      <c r="I46" s="307"/>
      <c r="J46" s="308"/>
      <c r="K46" s="309"/>
    </row>
    <row r="47" spans="1:11" ht="15.6" customHeight="1" x14ac:dyDescent="0.2">
      <c r="A47" s="310"/>
      <c r="B47" s="311"/>
    </row>
    <row r="48" spans="1:11" ht="15.6" customHeight="1" x14ac:dyDescent="0.2">
      <c r="A48" s="635" t="s">
        <v>410</v>
      </c>
      <c r="B48" s="635"/>
      <c r="C48" s="635"/>
      <c r="D48" s="635"/>
      <c r="E48" s="635"/>
      <c r="F48" s="635"/>
      <c r="G48" s="635"/>
      <c r="H48" s="635"/>
      <c r="I48" s="635"/>
      <c r="J48" s="635"/>
      <c r="K48" s="635"/>
    </row>
    <row r="49" spans="1:18" ht="78" customHeight="1" x14ac:dyDescent="0.25">
      <c r="A49" s="75" t="s">
        <v>153</v>
      </c>
      <c r="B49" s="73" t="s">
        <v>152</v>
      </c>
      <c r="C49" s="73" t="s">
        <v>0</v>
      </c>
      <c r="D49" s="74" t="s">
        <v>1</v>
      </c>
      <c r="E49" s="74" t="s">
        <v>98</v>
      </c>
      <c r="F49" s="122" t="s">
        <v>99</v>
      </c>
      <c r="G49" s="74" t="s">
        <v>151</v>
      </c>
      <c r="H49" s="74" t="s">
        <v>150</v>
      </c>
      <c r="I49" s="73" t="s">
        <v>102</v>
      </c>
      <c r="J49" s="73" t="s">
        <v>103</v>
      </c>
      <c r="K49" s="73" t="s">
        <v>149</v>
      </c>
    </row>
    <row r="50" spans="1:18" s="327" customFormat="1" x14ac:dyDescent="0.2">
      <c r="A50" s="52">
        <v>15510</v>
      </c>
      <c r="B50" s="52" t="s">
        <v>411</v>
      </c>
      <c r="C50" s="52" t="s">
        <v>412</v>
      </c>
      <c r="D50" s="207">
        <v>433900</v>
      </c>
      <c r="E50" s="207">
        <v>347120</v>
      </c>
      <c r="F50" s="198" t="s">
        <v>221</v>
      </c>
      <c r="G50" s="207">
        <v>347120</v>
      </c>
      <c r="H50" s="207">
        <f>E50-G50</f>
        <v>0</v>
      </c>
      <c r="I50" s="61" t="s">
        <v>144</v>
      </c>
      <c r="J50" s="580">
        <v>42079</v>
      </c>
      <c r="K50" s="580">
        <v>42079</v>
      </c>
    </row>
    <row r="51" spans="1:18" s="327" customFormat="1" ht="15.6" customHeight="1" x14ac:dyDescent="0.2">
      <c r="A51" s="52">
        <v>15511</v>
      </c>
      <c r="B51" s="52" t="s">
        <v>413</v>
      </c>
      <c r="C51" s="52" t="s">
        <v>414</v>
      </c>
      <c r="D51" s="207">
        <v>70000</v>
      </c>
      <c r="E51" s="207">
        <f>56000-23120</f>
        <v>32880</v>
      </c>
      <c r="F51" s="198" t="s">
        <v>221</v>
      </c>
      <c r="G51" s="207">
        <v>32880</v>
      </c>
      <c r="H51" s="207">
        <f t="shared" ref="H51:H60" si="5">E51-G51</f>
        <v>0</v>
      </c>
      <c r="I51" s="61" t="s">
        <v>144</v>
      </c>
      <c r="J51" s="580">
        <v>42600</v>
      </c>
      <c r="K51" s="580">
        <v>42600</v>
      </c>
    </row>
    <row r="52" spans="1:18" s="327" customFormat="1" x14ac:dyDescent="0.2">
      <c r="A52" s="52">
        <v>15512</v>
      </c>
      <c r="B52" s="52" t="s">
        <v>415</v>
      </c>
      <c r="C52" s="52" t="s">
        <v>416</v>
      </c>
      <c r="D52" s="207">
        <v>202800</v>
      </c>
      <c r="E52" s="207">
        <v>162240</v>
      </c>
      <c r="F52" s="198" t="s">
        <v>221</v>
      </c>
      <c r="G52" s="207">
        <v>162240</v>
      </c>
      <c r="H52" s="207">
        <f t="shared" si="5"/>
        <v>0</v>
      </c>
      <c r="I52" s="65" t="s">
        <v>144</v>
      </c>
      <c r="J52" s="580">
        <v>41847</v>
      </c>
      <c r="K52" s="580">
        <v>41847</v>
      </c>
    </row>
    <row r="53" spans="1:18" s="327" customFormat="1" ht="30" customHeight="1" x14ac:dyDescent="0.2">
      <c r="A53" s="52">
        <v>15513</v>
      </c>
      <c r="B53" s="52" t="s">
        <v>123</v>
      </c>
      <c r="C53" s="52" t="s">
        <v>417</v>
      </c>
      <c r="D53" s="207">
        <v>688192.27749999997</v>
      </c>
      <c r="E53" s="207">
        <f>600000-95211-25058-3885</f>
        <v>475846</v>
      </c>
      <c r="F53" s="198" t="s">
        <v>212</v>
      </c>
      <c r="G53" s="207">
        <f>38106+437740</f>
        <v>475846</v>
      </c>
      <c r="H53" s="207">
        <f t="shared" si="5"/>
        <v>0</v>
      </c>
      <c r="I53" s="61" t="s">
        <v>144</v>
      </c>
      <c r="J53" s="596">
        <v>42320</v>
      </c>
      <c r="K53" s="596">
        <v>42321</v>
      </c>
    </row>
    <row r="54" spans="1:18" s="327" customFormat="1" ht="15.6" customHeight="1" x14ac:dyDescent="0.2">
      <c r="A54" s="52">
        <v>15513</v>
      </c>
      <c r="B54" s="52" t="s">
        <v>123</v>
      </c>
      <c r="C54" s="52" t="s">
        <v>418</v>
      </c>
      <c r="D54" s="207">
        <v>45000</v>
      </c>
      <c r="E54" s="207">
        <v>36000</v>
      </c>
      <c r="F54" s="198" t="s">
        <v>221</v>
      </c>
      <c r="G54" s="207">
        <v>36000</v>
      </c>
      <c r="H54" s="207">
        <f t="shared" si="5"/>
        <v>0</v>
      </c>
      <c r="I54" s="61" t="s">
        <v>144</v>
      </c>
      <c r="J54" s="580">
        <v>42381</v>
      </c>
      <c r="K54" s="580">
        <v>42381</v>
      </c>
    </row>
    <row r="55" spans="1:18" s="327" customFormat="1" x14ac:dyDescent="0.2">
      <c r="A55" s="52">
        <v>15514</v>
      </c>
      <c r="B55" s="52" t="s">
        <v>130</v>
      </c>
      <c r="C55" s="52" t="s">
        <v>419</v>
      </c>
      <c r="D55" s="207">
        <v>300000</v>
      </c>
      <c r="E55" s="207">
        <f>240000-40662</f>
        <v>199338</v>
      </c>
      <c r="F55" s="198" t="s">
        <v>221</v>
      </c>
      <c r="G55" s="207">
        <f>179335+20003</f>
        <v>199338</v>
      </c>
      <c r="H55" s="207">
        <f t="shared" si="5"/>
        <v>0</v>
      </c>
      <c r="I55" s="61" t="s">
        <v>144</v>
      </c>
      <c r="J55" s="580">
        <v>42369</v>
      </c>
      <c r="K55" s="580">
        <v>42369</v>
      </c>
    </row>
    <row r="56" spans="1:18" s="327" customFormat="1" x14ac:dyDescent="0.2">
      <c r="A56" s="52">
        <v>15514</v>
      </c>
      <c r="B56" s="52" t="s">
        <v>130</v>
      </c>
      <c r="C56" s="52" t="s">
        <v>420</v>
      </c>
      <c r="D56" s="207">
        <v>185000</v>
      </c>
      <c r="E56" s="207">
        <f>136000-12454</f>
        <v>123546</v>
      </c>
      <c r="F56" s="198" t="s">
        <v>221</v>
      </c>
      <c r="G56" s="207">
        <v>123546</v>
      </c>
      <c r="H56" s="207">
        <f t="shared" si="5"/>
        <v>0</v>
      </c>
      <c r="I56" s="61" t="s">
        <v>144</v>
      </c>
      <c r="J56" s="580">
        <v>42369</v>
      </c>
      <c r="K56" s="580">
        <v>42369</v>
      </c>
    </row>
    <row r="57" spans="1:18" ht="25.5" x14ac:dyDescent="0.2">
      <c r="A57" s="94">
        <v>15514</v>
      </c>
      <c r="B57" s="94" t="s">
        <v>130</v>
      </c>
      <c r="C57" s="209" t="s">
        <v>421</v>
      </c>
      <c r="D57" s="124">
        <v>50000</v>
      </c>
      <c r="E57" s="123">
        <v>40000</v>
      </c>
      <c r="F57" s="125" t="s">
        <v>212</v>
      </c>
      <c r="G57" s="212">
        <v>40000</v>
      </c>
      <c r="H57" s="207">
        <f t="shared" si="5"/>
        <v>0</v>
      </c>
      <c r="I57" s="61" t="s">
        <v>144</v>
      </c>
      <c r="J57" s="580">
        <v>41767</v>
      </c>
      <c r="K57" s="597">
        <v>41767</v>
      </c>
      <c r="N57" s="327"/>
      <c r="O57" s="327"/>
      <c r="P57" s="327"/>
      <c r="Q57" s="471"/>
      <c r="R57" s="327"/>
    </row>
    <row r="58" spans="1:18" ht="30" x14ac:dyDescent="0.2">
      <c r="A58" s="472">
        <v>17523</v>
      </c>
      <c r="B58" s="52" t="s">
        <v>130</v>
      </c>
      <c r="C58" s="240" t="s">
        <v>533</v>
      </c>
      <c r="D58" s="124">
        <v>8493</v>
      </c>
      <c r="E58" s="123">
        <v>2851</v>
      </c>
      <c r="F58" s="198" t="s">
        <v>221</v>
      </c>
      <c r="G58" s="66">
        <v>2851</v>
      </c>
      <c r="H58" s="207">
        <f t="shared" si="5"/>
        <v>0</v>
      </c>
      <c r="I58" s="61" t="s">
        <v>144</v>
      </c>
      <c r="J58" s="580">
        <v>43159</v>
      </c>
      <c r="K58" s="580">
        <v>43159</v>
      </c>
      <c r="N58" s="327"/>
      <c r="O58" s="327"/>
      <c r="P58" s="327"/>
      <c r="Q58" s="327"/>
      <c r="R58" s="327"/>
    </row>
    <row r="59" spans="1:18" x14ac:dyDescent="0.2">
      <c r="A59" s="472">
        <v>18421</v>
      </c>
      <c r="B59" s="343" t="s">
        <v>754</v>
      </c>
      <c r="C59" s="331" t="s">
        <v>757</v>
      </c>
      <c r="D59" s="124"/>
      <c r="E59" s="123">
        <v>76236</v>
      </c>
      <c r="F59" s="198" t="s">
        <v>221</v>
      </c>
      <c r="G59" s="66">
        <v>76236</v>
      </c>
      <c r="H59" s="207">
        <f t="shared" si="5"/>
        <v>0</v>
      </c>
      <c r="I59" s="65" t="s">
        <v>144</v>
      </c>
      <c r="J59" s="580">
        <v>42639</v>
      </c>
      <c r="K59" s="597">
        <v>42639</v>
      </c>
      <c r="N59" s="327"/>
      <c r="O59" s="327"/>
      <c r="P59" s="327"/>
      <c r="Q59" s="327"/>
      <c r="R59" s="327"/>
    </row>
    <row r="60" spans="1:18" ht="30" x14ac:dyDescent="0.25">
      <c r="A60" s="343">
        <v>20416</v>
      </c>
      <c r="B60" s="67" t="s">
        <v>754</v>
      </c>
      <c r="C60" s="69" t="s">
        <v>967</v>
      </c>
      <c r="D60" s="582">
        <v>700000</v>
      </c>
      <c r="E60" s="123">
        <f>E61-SUM(E50:E59)</f>
        <v>3943</v>
      </c>
      <c r="F60" s="198" t="s">
        <v>221</v>
      </c>
      <c r="G60" s="66">
        <v>3943</v>
      </c>
      <c r="H60" s="207">
        <f t="shared" si="5"/>
        <v>0</v>
      </c>
      <c r="I60" s="65" t="s">
        <v>958</v>
      </c>
      <c r="J60" s="580" t="s">
        <v>959</v>
      </c>
      <c r="K60" s="597"/>
      <c r="N60" s="327"/>
      <c r="O60" s="327"/>
      <c r="P60" s="327"/>
      <c r="Q60" s="327"/>
      <c r="R60" s="327"/>
    </row>
    <row r="61" spans="1:18" ht="15.75" x14ac:dyDescent="0.25">
      <c r="A61" s="119"/>
      <c r="B61" s="89"/>
      <c r="C61" s="57" t="s">
        <v>140</v>
      </c>
      <c r="D61" s="108"/>
      <c r="E61" s="55">
        <v>1500000</v>
      </c>
      <c r="F61" s="210"/>
      <c r="G61" s="470"/>
      <c r="H61" s="211">
        <f>SUM(H50:H58)</f>
        <v>0</v>
      </c>
      <c r="I61" s="118"/>
      <c r="J61" s="117"/>
      <c r="K61" s="116"/>
      <c r="N61" s="327"/>
      <c r="O61" s="327"/>
      <c r="P61" s="327"/>
      <c r="Q61" s="471"/>
      <c r="R61" s="327"/>
    </row>
    <row r="62" spans="1:18" x14ac:dyDescent="0.2">
      <c r="N62" s="327"/>
      <c r="O62" s="327"/>
      <c r="P62" s="327"/>
      <c r="Q62" s="471"/>
      <c r="R62" s="327"/>
    </row>
    <row r="63" spans="1:18" ht="28.15" customHeight="1" x14ac:dyDescent="0.2">
      <c r="A63" s="635" t="s">
        <v>217</v>
      </c>
      <c r="B63" s="635"/>
      <c r="C63" s="635"/>
      <c r="D63" s="635"/>
      <c r="E63" s="635"/>
      <c r="F63" s="635"/>
      <c r="G63" s="635"/>
      <c r="H63" s="635"/>
      <c r="I63" s="635"/>
      <c r="J63" s="635"/>
      <c r="K63" s="635"/>
      <c r="N63" s="327"/>
      <c r="O63" s="327"/>
      <c r="P63" s="327"/>
      <c r="Q63" s="327"/>
      <c r="R63" s="327"/>
    </row>
    <row r="64" spans="1:18" ht="78.75" x14ac:dyDescent="0.25">
      <c r="A64" s="75" t="s">
        <v>153</v>
      </c>
      <c r="B64" s="73" t="s">
        <v>152</v>
      </c>
      <c r="C64" s="73" t="s">
        <v>0</v>
      </c>
      <c r="D64" s="74" t="s">
        <v>1</v>
      </c>
      <c r="E64" s="74" t="s">
        <v>98</v>
      </c>
      <c r="F64" s="122" t="s">
        <v>99</v>
      </c>
      <c r="G64" s="74" t="s">
        <v>151</v>
      </c>
      <c r="H64" s="74" t="s">
        <v>150</v>
      </c>
      <c r="I64" s="73" t="s">
        <v>102</v>
      </c>
      <c r="J64" s="73" t="s">
        <v>103</v>
      </c>
      <c r="K64" s="73" t="s">
        <v>149</v>
      </c>
      <c r="L64" s="305"/>
      <c r="N64" s="327"/>
      <c r="O64" s="327"/>
      <c r="P64" s="327"/>
      <c r="Q64" s="327"/>
      <c r="R64" s="327"/>
    </row>
    <row r="65" spans="1:18" ht="31.15" customHeight="1" x14ac:dyDescent="0.2">
      <c r="A65" s="94">
        <v>14370</v>
      </c>
      <c r="B65" s="127" t="s">
        <v>208</v>
      </c>
      <c r="C65" s="93" t="s">
        <v>216</v>
      </c>
      <c r="D65" s="124">
        <v>5294251</v>
      </c>
      <c r="E65" s="123">
        <v>600000</v>
      </c>
      <c r="F65" s="125" t="s">
        <v>212</v>
      </c>
      <c r="G65" s="66">
        <v>600000</v>
      </c>
      <c r="H65" s="98">
        <f>E65-G65</f>
        <v>0</v>
      </c>
      <c r="I65" s="61" t="s">
        <v>144</v>
      </c>
      <c r="J65" s="596">
        <v>41571</v>
      </c>
      <c r="K65" s="596">
        <v>41571</v>
      </c>
      <c r="L65" s="305"/>
      <c r="N65" s="327"/>
      <c r="O65" s="327"/>
      <c r="P65" s="471"/>
      <c r="Q65" s="327"/>
      <c r="R65" s="327"/>
    </row>
    <row r="66" spans="1:18" ht="19.899999999999999" customHeight="1" x14ac:dyDescent="0.2">
      <c r="A66" s="94">
        <v>14371</v>
      </c>
      <c r="B66" s="69" t="s">
        <v>119</v>
      </c>
      <c r="C66" s="93" t="s">
        <v>215</v>
      </c>
      <c r="D66" s="124">
        <v>384736.25</v>
      </c>
      <c r="E66" s="123">
        <f>428264-111821-8654</f>
        <v>307789</v>
      </c>
      <c r="F66" s="126" t="s">
        <v>141</v>
      </c>
      <c r="G66" s="66">
        <v>307789</v>
      </c>
      <c r="H66" s="98">
        <f>E66-G66</f>
        <v>0</v>
      </c>
      <c r="I66" s="61" t="s">
        <v>144</v>
      </c>
      <c r="J66" s="596">
        <v>41864</v>
      </c>
      <c r="K66" s="597">
        <v>41864</v>
      </c>
      <c r="L66" s="305"/>
      <c r="N66" s="327"/>
      <c r="O66" s="327"/>
      <c r="P66" s="327"/>
      <c r="Q66" s="327"/>
      <c r="R66" s="327"/>
    </row>
    <row r="67" spans="1:18" ht="39" customHeight="1" x14ac:dyDescent="0.2">
      <c r="A67" s="94">
        <v>14372</v>
      </c>
      <c r="B67" s="69" t="s">
        <v>123</v>
      </c>
      <c r="C67" s="93" t="s">
        <v>214</v>
      </c>
      <c r="D67" s="124">
        <v>467000</v>
      </c>
      <c r="E67" s="123">
        <v>352000</v>
      </c>
      <c r="F67" s="125" t="s">
        <v>212</v>
      </c>
      <c r="G67" s="66">
        <v>352000</v>
      </c>
      <c r="H67" s="98">
        <f>E67-G67</f>
        <v>0</v>
      </c>
      <c r="I67" s="61" t="s">
        <v>144</v>
      </c>
      <c r="J67" s="596">
        <v>41946</v>
      </c>
      <c r="K67" s="597">
        <v>41946</v>
      </c>
      <c r="L67" s="305"/>
      <c r="N67" s="327"/>
      <c r="O67" s="327"/>
      <c r="P67" s="327"/>
      <c r="Q67" s="327"/>
      <c r="R67" s="327"/>
    </row>
    <row r="68" spans="1:18" ht="28.9" customHeight="1" x14ac:dyDescent="0.2">
      <c r="A68" s="94">
        <v>14373</v>
      </c>
      <c r="B68" s="69" t="s">
        <v>123</v>
      </c>
      <c r="C68" s="93" t="s">
        <v>213</v>
      </c>
      <c r="D68" s="124">
        <v>192500</v>
      </c>
      <c r="E68" s="123">
        <v>145000</v>
      </c>
      <c r="F68" s="125" t="s">
        <v>212</v>
      </c>
      <c r="G68" s="66">
        <v>145000</v>
      </c>
      <c r="H68" s="98">
        <f>E68-G68</f>
        <v>0</v>
      </c>
      <c r="I68" s="61" t="s">
        <v>144</v>
      </c>
      <c r="J68" s="596">
        <v>41925</v>
      </c>
      <c r="K68" s="597">
        <v>41925</v>
      </c>
      <c r="L68" s="305"/>
    </row>
    <row r="69" spans="1:18" ht="30" customHeight="1" x14ac:dyDescent="0.2">
      <c r="A69" s="52">
        <v>15513</v>
      </c>
      <c r="B69" s="52" t="s">
        <v>123</v>
      </c>
      <c r="C69" s="52" t="s">
        <v>422</v>
      </c>
      <c r="D69" s="124">
        <v>137698.90875</v>
      </c>
      <c r="E69" s="123">
        <f>86557+8654</f>
        <v>95211</v>
      </c>
      <c r="F69" s="198" t="s">
        <v>221</v>
      </c>
      <c r="G69" s="66">
        <v>95211</v>
      </c>
      <c r="H69" s="98">
        <f>E69-G69</f>
        <v>0</v>
      </c>
      <c r="I69" s="61" t="s">
        <v>144</v>
      </c>
      <c r="J69" s="596">
        <v>42320</v>
      </c>
      <c r="K69" s="596">
        <v>42321</v>
      </c>
      <c r="L69" s="305"/>
    </row>
    <row r="70" spans="1:18" s="329" customFormat="1" ht="19.899999999999999" customHeight="1" x14ac:dyDescent="0.25">
      <c r="A70" s="119"/>
      <c r="B70" s="89"/>
      <c r="C70" s="57" t="s">
        <v>140</v>
      </c>
      <c r="D70" s="108"/>
      <c r="E70" s="55">
        <f>SUM(E65:E69)</f>
        <v>1500000</v>
      </c>
      <c r="F70" s="120"/>
      <c r="G70" s="470"/>
      <c r="H70" s="108">
        <f>SUM(H65:H69)</f>
        <v>0</v>
      </c>
      <c r="I70" s="118"/>
      <c r="J70" s="117"/>
      <c r="K70" s="116"/>
      <c r="L70" s="473"/>
    </row>
    <row r="71" spans="1:18" s="329" customFormat="1" ht="19.899999999999999" customHeight="1" x14ac:dyDescent="0.25">
      <c r="A71" s="119"/>
      <c r="B71" s="89"/>
      <c r="C71" s="57"/>
      <c r="D71" s="108"/>
      <c r="E71" s="55"/>
      <c r="F71" s="120"/>
      <c r="G71" s="119"/>
      <c r="H71" s="108"/>
      <c r="I71" s="118"/>
      <c r="J71" s="117"/>
      <c r="K71" s="116"/>
      <c r="L71" s="473"/>
    </row>
    <row r="72" spans="1:18" ht="28.15" customHeight="1" x14ac:dyDescent="0.2">
      <c r="A72" s="635" t="s">
        <v>211</v>
      </c>
      <c r="B72" s="635"/>
      <c r="C72" s="635"/>
      <c r="D72" s="635"/>
      <c r="E72" s="635"/>
      <c r="F72" s="635"/>
      <c r="G72" s="635"/>
      <c r="H72" s="635"/>
      <c r="I72" s="635"/>
      <c r="J72" s="635"/>
      <c r="K72" s="635"/>
    </row>
    <row r="73" spans="1:18" ht="78.75" x14ac:dyDescent="0.25">
      <c r="A73" s="75" t="s">
        <v>153</v>
      </c>
      <c r="B73" s="73" t="s">
        <v>152</v>
      </c>
      <c r="C73" s="73" t="s">
        <v>0</v>
      </c>
      <c r="D73" s="74" t="s">
        <v>1</v>
      </c>
      <c r="E73" s="74" t="s">
        <v>98</v>
      </c>
      <c r="F73" s="122" t="s">
        <v>99</v>
      </c>
      <c r="G73" s="74" t="s">
        <v>151</v>
      </c>
      <c r="H73" s="74" t="s">
        <v>150</v>
      </c>
      <c r="I73" s="73" t="s">
        <v>102</v>
      </c>
      <c r="J73" s="73" t="s">
        <v>103</v>
      </c>
      <c r="K73" s="73" t="s">
        <v>149</v>
      </c>
      <c r="L73" s="305"/>
    </row>
    <row r="74" spans="1:18" ht="19.899999999999999" customHeight="1" x14ac:dyDescent="0.2">
      <c r="A74" s="50">
        <v>13415</v>
      </c>
      <c r="B74" s="69" t="s">
        <v>210</v>
      </c>
      <c r="C74" s="312" t="s">
        <v>209</v>
      </c>
      <c r="D74" s="313">
        <v>792000</v>
      </c>
      <c r="E74" s="215">
        <v>600000</v>
      </c>
      <c r="F74" s="61" t="s">
        <v>141</v>
      </c>
      <c r="G74" s="66">
        <v>600000</v>
      </c>
      <c r="H74" s="98">
        <f t="shared" ref="H74:H81" si="6">E74-G74</f>
        <v>0</v>
      </c>
      <c r="I74" s="61" t="s">
        <v>144</v>
      </c>
      <c r="J74" s="596">
        <v>41605</v>
      </c>
      <c r="K74" s="597">
        <v>41605</v>
      </c>
      <c r="L74" s="305"/>
    </row>
    <row r="75" spans="1:18" ht="19.899999999999999" customHeight="1" x14ac:dyDescent="0.2">
      <c r="A75" s="50">
        <v>13416</v>
      </c>
      <c r="B75" s="69" t="s">
        <v>208</v>
      </c>
      <c r="C75" s="69" t="s">
        <v>207</v>
      </c>
      <c r="D75" s="313">
        <v>3900000</v>
      </c>
      <c r="E75" s="215">
        <v>600000</v>
      </c>
      <c r="F75" s="121" t="s">
        <v>206</v>
      </c>
      <c r="G75" s="66">
        <v>600000</v>
      </c>
      <c r="H75" s="98">
        <f t="shared" si="6"/>
        <v>0</v>
      </c>
      <c r="I75" s="61" t="s">
        <v>144</v>
      </c>
      <c r="J75" s="596">
        <v>41402</v>
      </c>
      <c r="K75" s="597">
        <v>41402</v>
      </c>
      <c r="L75" s="305"/>
    </row>
    <row r="76" spans="1:18" ht="33.6" customHeight="1" x14ac:dyDescent="0.2">
      <c r="A76" s="50">
        <v>13417</v>
      </c>
      <c r="B76" s="69" t="s">
        <v>123</v>
      </c>
      <c r="C76" s="314" t="s">
        <v>205</v>
      </c>
      <c r="D76" s="313">
        <v>63035</v>
      </c>
      <c r="E76" s="215">
        <f>36600-1136-12</f>
        <v>35452</v>
      </c>
      <c r="F76" s="61" t="s">
        <v>141</v>
      </c>
      <c r="G76" s="66">
        <f>36611-1147-12</f>
        <v>35452</v>
      </c>
      <c r="H76" s="98">
        <f t="shared" si="6"/>
        <v>0</v>
      </c>
      <c r="I76" s="61" t="s">
        <v>144</v>
      </c>
      <c r="J76" s="596">
        <v>41943</v>
      </c>
      <c r="K76" s="596">
        <v>41943</v>
      </c>
      <c r="L76" s="305"/>
    </row>
    <row r="77" spans="1:18" ht="19.899999999999999" customHeight="1" x14ac:dyDescent="0.2">
      <c r="A77" s="50">
        <v>13418</v>
      </c>
      <c r="B77" s="69" t="s">
        <v>124</v>
      </c>
      <c r="C77" s="312" t="s">
        <v>204</v>
      </c>
      <c r="D77" s="313">
        <v>64677</v>
      </c>
      <c r="E77" s="215">
        <v>51742</v>
      </c>
      <c r="F77" s="61" t="s">
        <v>141</v>
      </c>
      <c r="G77" s="66">
        <v>51742</v>
      </c>
      <c r="H77" s="98">
        <f t="shared" si="6"/>
        <v>0</v>
      </c>
      <c r="I77" s="61" t="s">
        <v>144</v>
      </c>
      <c r="J77" s="597">
        <v>42097</v>
      </c>
      <c r="K77" s="597">
        <v>42097</v>
      </c>
      <c r="L77" s="305"/>
    </row>
    <row r="78" spans="1:18" ht="19.899999999999999" customHeight="1" x14ac:dyDescent="0.2">
      <c r="A78" s="50">
        <v>13418</v>
      </c>
      <c r="B78" s="69" t="s">
        <v>124</v>
      </c>
      <c r="C78" s="312" t="s">
        <v>203</v>
      </c>
      <c r="D78" s="313">
        <v>171920</v>
      </c>
      <c r="E78" s="215">
        <v>137536</v>
      </c>
      <c r="F78" s="61" t="s">
        <v>141</v>
      </c>
      <c r="G78" s="66">
        <v>137536</v>
      </c>
      <c r="H78" s="98">
        <f t="shared" si="6"/>
        <v>0</v>
      </c>
      <c r="I78" s="61" t="s">
        <v>144</v>
      </c>
      <c r="J78" s="597">
        <v>42097</v>
      </c>
      <c r="K78" s="597">
        <v>42097</v>
      </c>
      <c r="L78" s="305"/>
    </row>
    <row r="79" spans="1:18" ht="19.899999999999999" customHeight="1" x14ac:dyDescent="0.2">
      <c r="A79" s="50">
        <v>13419</v>
      </c>
      <c r="B79" s="69" t="s">
        <v>202</v>
      </c>
      <c r="C79" s="312" t="s">
        <v>201</v>
      </c>
      <c r="D79" s="313">
        <v>7000</v>
      </c>
      <c r="E79" s="215">
        <v>5600</v>
      </c>
      <c r="F79" s="61" t="s">
        <v>141</v>
      </c>
      <c r="G79" s="66">
        <v>5600</v>
      </c>
      <c r="H79" s="98">
        <f t="shared" si="6"/>
        <v>0</v>
      </c>
      <c r="I79" s="61" t="s">
        <v>144</v>
      </c>
      <c r="J79" s="596">
        <v>40984</v>
      </c>
      <c r="K79" s="596">
        <v>40984</v>
      </c>
      <c r="L79" s="305"/>
    </row>
    <row r="80" spans="1:18" s="327" customFormat="1" ht="30.6" customHeight="1" x14ac:dyDescent="0.2">
      <c r="A80" s="472">
        <v>17523</v>
      </c>
      <c r="B80" s="52" t="s">
        <v>130</v>
      </c>
      <c r="C80" s="240" t="s">
        <v>534</v>
      </c>
      <c r="D80" s="313">
        <v>87087</v>
      </c>
      <c r="E80" s="215">
        <f>1136+68522+12-51276</f>
        <v>18394</v>
      </c>
      <c r="F80" s="61" t="s">
        <v>141</v>
      </c>
      <c r="G80" s="66">
        <f>4946+13448</f>
        <v>18394</v>
      </c>
      <c r="H80" s="98">
        <f t="shared" si="6"/>
        <v>0</v>
      </c>
      <c r="I80" s="61" t="s">
        <v>144</v>
      </c>
      <c r="J80" s="580">
        <v>43159</v>
      </c>
      <c r="K80" s="580">
        <v>43159</v>
      </c>
      <c r="L80" s="598"/>
    </row>
    <row r="81" spans="1:13" s="327" customFormat="1" ht="30.6" customHeight="1" x14ac:dyDescent="0.25">
      <c r="A81" s="343">
        <v>20416</v>
      </c>
      <c r="B81" s="67" t="s">
        <v>754</v>
      </c>
      <c r="C81" s="69" t="s">
        <v>968</v>
      </c>
      <c r="D81" s="582">
        <v>700000</v>
      </c>
      <c r="E81" s="215">
        <v>51276</v>
      </c>
      <c r="F81" s="61" t="s">
        <v>141</v>
      </c>
      <c r="G81" s="66">
        <v>51276</v>
      </c>
      <c r="H81" s="98">
        <f t="shared" si="6"/>
        <v>0</v>
      </c>
      <c r="I81" s="65" t="s">
        <v>958</v>
      </c>
      <c r="J81" s="580" t="s">
        <v>959</v>
      </c>
      <c r="K81" s="596"/>
      <c r="L81" s="346"/>
    </row>
    <row r="82" spans="1:13" s="329" customFormat="1" ht="19.899999999999999" customHeight="1" x14ac:dyDescent="0.25">
      <c r="A82" s="119"/>
      <c r="B82" s="89"/>
      <c r="C82" s="57" t="s">
        <v>140</v>
      </c>
      <c r="D82" s="108"/>
      <c r="E82" s="55">
        <f>SUM(E74:E81)</f>
        <v>1500000</v>
      </c>
      <c r="F82" s="120"/>
      <c r="G82" s="470"/>
      <c r="H82" s="108">
        <f>SUM(H74:H79)</f>
        <v>0</v>
      </c>
      <c r="I82" s="118"/>
      <c r="J82" s="117"/>
      <c r="K82" s="116"/>
      <c r="L82" s="473"/>
    </row>
    <row r="83" spans="1:13" s="315" customFormat="1" ht="15.75" x14ac:dyDescent="0.2">
      <c r="B83" s="316"/>
      <c r="C83" s="317"/>
      <c r="D83" s="318"/>
      <c r="E83" s="319"/>
      <c r="F83" s="320"/>
      <c r="H83" s="318"/>
      <c r="I83" s="321"/>
      <c r="J83" s="322"/>
      <c r="K83" s="323"/>
      <c r="L83" s="474"/>
    </row>
    <row r="84" spans="1:13" ht="28.15" customHeight="1" x14ac:dyDescent="0.2">
      <c r="A84" s="115"/>
      <c r="B84" s="636" t="s">
        <v>200</v>
      </c>
      <c r="C84" s="636"/>
      <c r="D84" s="636"/>
      <c r="E84" s="636"/>
      <c r="F84" s="636"/>
      <c r="G84" s="636"/>
      <c r="H84" s="636"/>
      <c r="I84" s="636"/>
      <c r="J84" s="636"/>
      <c r="K84" s="114"/>
    </row>
    <row r="85" spans="1:13" s="343" customFormat="1" ht="78.75" x14ac:dyDescent="0.2">
      <c r="A85" s="75" t="s">
        <v>153</v>
      </c>
      <c r="B85" s="73" t="s">
        <v>152</v>
      </c>
      <c r="C85" s="73" t="s">
        <v>0</v>
      </c>
      <c r="D85" s="74" t="s">
        <v>1</v>
      </c>
      <c r="E85" s="74" t="s">
        <v>98</v>
      </c>
      <c r="F85" s="73" t="s">
        <v>99</v>
      </c>
      <c r="G85" s="74" t="s">
        <v>151</v>
      </c>
      <c r="H85" s="74" t="s">
        <v>150</v>
      </c>
      <c r="I85" s="73" t="s">
        <v>102</v>
      </c>
      <c r="J85" s="73" t="s">
        <v>103</v>
      </c>
      <c r="K85" s="73" t="s">
        <v>149</v>
      </c>
    </row>
    <row r="86" spans="1:13" ht="30" x14ac:dyDescent="0.2">
      <c r="A86" s="59">
        <v>12319</v>
      </c>
      <c r="B86" s="58" t="s">
        <v>148</v>
      </c>
      <c r="C86" s="69" t="s">
        <v>199</v>
      </c>
      <c r="D86" s="212">
        <v>4897614</v>
      </c>
      <c r="E86" s="324">
        <v>800000</v>
      </c>
      <c r="F86" s="126" t="s">
        <v>969</v>
      </c>
      <c r="G86" s="66">
        <v>800000</v>
      </c>
      <c r="H86" s="98">
        <f t="shared" ref="H86:H93" si="7">E86-G86</f>
        <v>0</v>
      </c>
      <c r="I86" s="61" t="s">
        <v>144</v>
      </c>
      <c r="J86" s="597">
        <v>41605</v>
      </c>
      <c r="K86" s="580">
        <v>41605</v>
      </c>
    </row>
    <row r="87" spans="1:13" ht="30" x14ac:dyDescent="0.2">
      <c r="A87" s="59">
        <v>12320</v>
      </c>
      <c r="B87" s="58" t="s">
        <v>189</v>
      </c>
      <c r="C87" s="69" t="s">
        <v>198</v>
      </c>
      <c r="D87" s="212">
        <v>500000</v>
      </c>
      <c r="E87" s="324">
        <f>400000-18173</f>
        <v>381827</v>
      </c>
      <c r="F87" s="126" t="s">
        <v>142</v>
      </c>
      <c r="G87" s="66">
        <v>381827</v>
      </c>
      <c r="H87" s="98">
        <f t="shared" si="7"/>
        <v>0</v>
      </c>
      <c r="I87" s="61" t="s">
        <v>144</v>
      </c>
      <c r="J87" s="597">
        <v>40729</v>
      </c>
      <c r="K87" s="580">
        <v>40742</v>
      </c>
      <c r="M87" s="475"/>
    </row>
    <row r="88" spans="1:13" ht="26.45" customHeight="1" x14ac:dyDescent="0.2">
      <c r="A88" s="50">
        <v>12733</v>
      </c>
      <c r="B88" s="325" t="s">
        <v>124</v>
      </c>
      <c r="C88" s="325" t="s">
        <v>197</v>
      </c>
      <c r="D88" s="213">
        <v>379211</v>
      </c>
      <c r="E88" s="214">
        <f>298357-20143</f>
        <v>278214</v>
      </c>
      <c r="F88" s="126" t="s">
        <v>142</v>
      </c>
      <c r="G88" s="66">
        <v>278214</v>
      </c>
      <c r="H88" s="98">
        <f t="shared" si="7"/>
        <v>0</v>
      </c>
      <c r="I88" s="61" t="s">
        <v>144</v>
      </c>
      <c r="J88" s="597">
        <v>41653</v>
      </c>
      <c r="K88" s="580">
        <v>41653</v>
      </c>
    </row>
    <row r="89" spans="1:13" ht="20.45" customHeight="1" x14ac:dyDescent="0.2">
      <c r="A89" s="50">
        <v>12738</v>
      </c>
      <c r="B89" s="69" t="s">
        <v>123</v>
      </c>
      <c r="C89" s="69" t="s">
        <v>196</v>
      </c>
      <c r="D89" s="326">
        <v>30000</v>
      </c>
      <c r="E89" s="326">
        <v>24000</v>
      </c>
      <c r="F89" s="126" t="s">
        <v>142</v>
      </c>
      <c r="G89" s="66">
        <v>24000</v>
      </c>
      <c r="H89" s="98">
        <f t="shared" si="7"/>
        <v>0</v>
      </c>
      <c r="I89" s="61" t="s">
        <v>144</v>
      </c>
      <c r="J89" s="597">
        <v>41067</v>
      </c>
      <c r="K89" s="580">
        <v>41067</v>
      </c>
    </row>
    <row r="90" spans="1:13" ht="30" x14ac:dyDescent="0.2">
      <c r="A90" s="50">
        <v>12321</v>
      </c>
      <c r="B90" s="69" t="s">
        <v>195</v>
      </c>
      <c r="C90" s="69" t="s">
        <v>194</v>
      </c>
      <c r="D90" s="212">
        <v>565732</v>
      </c>
      <c r="E90" s="324">
        <f>414920+37665</f>
        <v>452585</v>
      </c>
      <c r="F90" s="126" t="s">
        <v>142</v>
      </c>
      <c r="G90" s="66">
        <v>452585</v>
      </c>
      <c r="H90" s="98">
        <f t="shared" si="7"/>
        <v>0</v>
      </c>
      <c r="I90" s="61" t="s">
        <v>144</v>
      </c>
      <c r="J90" s="597">
        <v>41090</v>
      </c>
      <c r="K90" s="580">
        <v>40637</v>
      </c>
    </row>
    <row r="91" spans="1:13" ht="30" x14ac:dyDescent="0.2">
      <c r="A91" s="50">
        <v>13417</v>
      </c>
      <c r="B91" s="69" t="s">
        <v>123</v>
      </c>
      <c r="C91" s="314" t="s">
        <v>193</v>
      </c>
      <c r="D91" s="212">
        <v>22716.25</v>
      </c>
      <c r="E91" s="212">
        <v>18173</v>
      </c>
      <c r="F91" s="126" t="s">
        <v>141</v>
      </c>
      <c r="G91" s="215">
        <v>18173</v>
      </c>
      <c r="H91" s="98">
        <f t="shared" si="7"/>
        <v>0</v>
      </c>
      <c r="I91" s="61" t="s">
        <v>144</v>
      </c>
      <c r="J91" s="596">
        <v>41943</v>
      </c>
      <c r="K91" s="596">
        <v>41943</v>
      </c>
    </row>
    <row r="92" spans="1:13" ht="30" x14ac:dyDescent="0.2">
      <c r="A92" s="52">
        <v>15513</v>
      </c>
      <c r="B92" s="52" t="s">
        <v>123</v>
      </c>
      <c r="C92" s="52" t="s">
        <v>423</v>
      </c>
      <c r="D92" s="212">
        <v>36240.1325</v>
      </c>
      <c r="E92" s="213">
        <v>25058</v>
      </c>
      <c r="F92" s="198" t="s">
        <v>221</v>
      </c>
      <c r="G92" s="215">
        <v>25058</v>
      </c>
      <c r="H92" s="98">
        <f t="shared" si="7"/>
        <v>0</v>
      </c>
      <c r="I92" s="61" t="s">
        <v>144</v>
      </c>
      <c r="J92" s="596">
        <v>42320</v>
      </c>
      <c r="K92" s="596">
        <v>42321</v>
      </c>
    </row>
    <row r="93" spans="1:13" s="327" customFormat="1" ht="30.6" customHeight="1" x14ac:dyDescent="0.2">
      <c r="A93" s="472">
        <v>17523</v>
      </c>
      <c r="B93" s="52" t="s">
        <v>130</v>
      </c>
      <c r="C93" s="240" t="s">
        <v>535</v>
      </c>
      <c r="D93" s="212">
        <v>25179</v>
      </c>
      <c r="E93" s="213">
        <v>20143</v>
      </c>
      <c r="F93" s="198" t="s">
        <v>221</v>
      </c>
      <c r="G93" s="215">
        <v>20143</v>
      </c>
      <c r="H93" s="98">
        <f t="shared" si="7"/>
        <v>0</v>
      </c>
      <c r="I93" s="61" t="s">
        <v>144</v>
      </c>
      <c r="J93" s="580">
        <v>43159</v>
      </c>
      <c r="K93" s="580">
        <v>43159</v>
      </c>
    </row>
    <row r="94" spans="1:13" ht="15.75" x14ac:dyDescent="0.2">
      <c r="A94" s="59"/>
      <c r="B94" s="90"/>
      <c r="C94" s="57" t="s">
        <v>140</v>
      </c>
      <c r="D94" s="87"/>
      <c r="E94" s="328">
        <f>SUM(E86:E93)</f>
        <v>2000000</v>
      </c>
      <c r="F94" s="88"/>
      <c r="G94" s="87"/>
      <c r="H94" s="108">
        <f>SUM(H86:H93)</f>
        <v>0</v>
      </c>
      <c r="I94" s="53"/>
      <c r="J94" s="54"/>
      <c r="K94" s="53"/>
    </row>
    <row r="95" spans="1:13" ht="15.75" x14ac:dyDescent="0.25">
      <c r="C95" s="329"/>
      <c r="E95" s="330"/>
    </row>
    <row r="96" spans="1:13" ht="28.15" customHeight="1" x14ac:dyDescent="0.2">
      <c r="A96" s="79"/>
      <c r="B96" s="630" t="s">
        <v>192</v>
      </c>
      <c r="C96" s="631"/>
      <c r="D96" s="631"/>
      <c r="E96" s="631"/>
      <c r="F96" s="632"/>
      <c r="G96" s="113"/>
      <c r="H96" s="113"/>
      <c r="I96" s="76"/>
      <c r="J96" s="77"/>
      <c r="K96" s="76"/>
    </row>
    <row r="97" spans="1:24" s="343" customFormat="1" ht="78.75" x14ac:dyDescent="0.2">
      <c r="A97" s="75" t="s">
        <v>153</v>
      </c>
      <c r="B97" s="73" t="s">
        <v>152</v>
      </c>
      <c r="C97" s="73" t="s">
        <v>0</v>
      </c>
      <c r="D97" s="74" t="s">
        <v>1</v>
      </c>
      <c r="E97" s="74" t="s">
        <v>98</v>
      </c>
      <c r="F97" s="73" t="s">
        <v>99</v>
      </c>
      <c r="G97" s="74" t="s">
        <v>151</v>
      </c>
      <c r="H97" s="74" t="s">
        <v>150</v>
      </c>
      <c r="I97" s="73" t="s">
        <v>102</v>
      </c>
      <c r="J97" s="73" t="s">
        <v>103</v>
      </c>
      <c r="K97" s="73" t="s">
        <v>149</v>
      </c>
    </row>
    <row r="98" spans="1:24" ht="26.45" customHeight="1" x14ac:dyDescent="0.2">
      <c r="A98" s="50">
        <v>12738</v>
      </c>
      <c r="B98" s="52" t="s">
        <v>123</v>
      </c>
      <c r="C98" s="69" t="s">
        <v>191</v>
      </c>
      <c r="D98" s="66">
        <v>65000</v>
      </c>
      <c r="E98" s="66">
        <v>48000</v>
      </c>
      <c r="F98" s="61" t="s">
        <v>142</v>
      </c>
      <c r="G98" s="66">
        <v>48000</v>
      </c>
      <c r="H98" s="98">
        <f>E98-G98</f>
        <v>0</v>
      </c>
      <c r="I98" s="61" t="s">
        <v>144</v>
      </c>
      <c r="J98" s="597">
        <v>41067</v>
      </c>
      <c r="K98" s="580">
        <v>41067</v>
      </c>
    </row>
    <row r="99" spans="1:24" ht="45" x14ac:dyDescent="0.2">
      <c r="A99" s="59">
        <v>11760</v>
      </c>
      <c r="B99" s="52" t="s">
        <v>143</v>
      </c>
      <c r="C99" s="69" t="s">
        <v>190</v>
      </c>
      <c r="D99" s="98">
        <v>617904</v>
      </c>
      <c r="E99" s="98">
        <v>436904</v>
      </c>
      <c r="F99" s="61" t="s">
        <v>142</v>
      </c>
      <c r="G99" s="66">
        <v>436904</v>
      </c>
      <c r="H99" s="98">
        <f>E99-G99</f>
        <v>0</v>
      </c>
      <c r="I99" s="61" t="s">
        <v>144</v>
      </c>
      <c r="J99" s="597">
        <v>41319</v>
      </c>
      <c r="K99" s="580">
        <v>41319</v>
      </c>
    </row>
    <row r="100" spans="1:24" ht="30" x14ac:dyDescent="0.2">
      <c r="A100" s="59">
        <v>11761</v>
      </c>
      <c r="B100" s="51" t="s">
        <v>189</v>
      </c>
      <c r="C100" s="69" t="s">
        <v>188</v>
      </c>
      <c r="D100" s="98">
        <v>100000</v>
      </c>
      <c r="E100" s="98">
        <v>79920</v>
      </c>
      <c r="F100" s="61" t="s">
        <v>142</v>
      </c>
      <c r="G100" s="66">
        <v>79920</v>
      </c>
      <c r="H100" s="98">
        <f t="shared" ref="H100:H109" si="8">E100-G100</f>
        <v>0</v>
      </c>
      <c r="I100" s="61" t="s">
        <v>144</v>
      </c>
      <c r="J100" s="597">
        <v>40483</v>
      </c>
      <c r="K100" s="580">
        <v>40498</v>
      </c>
    </row>
    <row r="101" spans="1:24" ht="45" x14ac:dyDescent="0.2">
      <c r="A101" s="59">
        <v>11767</v>
      </c>
      <c r="B101" s="51" t="s">
        <v>187</v>
      </c>
      <c r="C101" s="69" t="s">
        <v>186</v>
      </c>
      <c r="D101" s="98">
        <v>235000</v>
      </c>
      <c r="E101" s="98">
        <v>188000</v>
      </c>
      <c r="F101" s="61" t="s">
        <v>142</v>
      </c>
      <c r="G101" s="98">
        <v>188000</v>
      </c>
      <c r="H101" s="98">
        <f>E101-G101</f>
        <v>0</v>
      </c>
      <c r="I101" s="61" t="s">
        <v>144</v>
      </c>
      <c r="J101" s="597">
        <v>40561</v>
      </c>
      <c r="K101" s="580">
        <v>40561</v>
      </c>
    </row>
    <row r="102" spans="1:24" ht="45" x14ac:dyDescent="0.2">
      <c r="A102" s="59">
        <v>11762</v>
      </c>
      <c r="B102" s="51" t="s">
        <v>185</v>
      </c>
      <c r="C102" s="331" t="s">
        <v>184</v>
      </c>
      <c r="D102" s="98">
        <v>176000</v>
      </c>
      <c r="E102" s="98">
        <v>140800</v>
      </c>
      <c r="F102" s="61" t="s">
        <v>142</v>
      </c>
      <c r="G102" s="66">
        <v>140800</v>
      </c>
      <c r="H102" s="98">
        <f t="shared" si="8"/>
        <v>0</v>
      </c>
      <c r="I102" s="61" t="s">
        <v>144</v>
      </c>
      <c r="J102" s="597">
        <v>40543</v>
      </c>
      <c r="K102" s="580">
        <v>40567</v>
      </c>
    </row>
    <row r="103" spans="1:24" ht="45" x14ac:dyDescent="0.2">
      <c r="A103" s="50">
        <v>11764</v>
      </c>
      <c r="B103" s="52" t="s">
        <v>158</v>
      </c>
      <c r="C103" s="69" t="s">
        <v>183</v>
      </c>
      <c r="D103" s="98">
        <v>7347</v>
      </c>
      <c r="E103" s="98">
        <v>5877</v>
      </c>
      <c r="F103" s="61" t="s">
        <v>142</v>
      </c>
      <c r="G103" s="66">
        <v>5877</v>
      </c>
      <c r="H103" s="98">
        <f t="shared" si="8"/>
        <v>0</v>
      </c>
      <c r="I103" s="61" t="s">
        <v>144</v>
      </c>
      <c r="J103" s="597">
        <v>41121</v>
      </c>
      <c r="K103" s="580">
        <v>41121</v>
      </c>
    </row>
    <row r="104" spans="1:24" ht="30" x14ac:dyDescent="0.2">
      <c r="A104" s="59">
        <v>11765</v>
      </c>
      <c r="B104" s="51" t="s">
        <v>168</v>
      </c>
      <c r="C104" s="69" t="s">
        <v>182</v>
      </c>
      <c r="D104" s="98">
        <v>130000</v>
      </c>
      <c r="E104" s="98">
        <v>67019</v>
      </c>
      <c r="F104" s="61" t="s">
        <v>142</v>
      </c>
      <c r="G104" s="66">
        <v>67019</v>
      </c>
      <c r="H104" s="98">
        <f t="shared" si="8"/>
        <v>0</v>
      </c>
      <c r="I104" s="61" t="s">
        <v>144</v>
      </c>
      <c r="J104" s="597">
        <v>40867</v>
      </c>
      <c r="K104" s="580">
        <v>40873</v>
      </c>
    </row>
    <row r="105" spans="1:24" ht="45" x14ac:dyDescent="0.2">
      <c r="A105" s="110">
        <v>11766</v>
      </c>
      <c r="B105" s="95" t="s">
        <v>181</v>
      </c>
      <c r="C105" s="69" t="s">
        <v>180</v>
      </c>
      <c r="D105" s="111">
        <v>296250</v>
      </c>
      <c r="E105" s="111">
        <f>237000-111821</f>
        <v>125179</v>
      </c>
      <c r="F105" s="91" t="s">
        <v>142</v>
      </c>
      <c r="G105" s="92">
        <v>125179</v>
      </c>
      <c r="H105" s="111">
        <f t="shared" si="8"/>
        <v>0</v>
      </c>
      <c r="I105" s="61" t="s">
        <v>144</v>
      </c>
      <c r="J105" s="599">
        <v>40715</v>
      </c>
      <c r="K105" s="600">
        <v>40715</v>
      </c>
      <c r="L105" s="334"/>
      <c r="M105" s="334"/>
      <c r="N105" s="334"/>
      <c r="O105" s="334"/>
      <c r="P105" s="334"/>
      <c r="Q105" s="334"/>
      <c r="R105" s="334"/>
      <c r="S105" s="334"/>
      <c r="T105" s="334"/>
      <c r="U105" s="334"/>
      <c r="V105" s="334"/>
      <c r="W105" s="334"/>
      <c r="X105" s="334"/>
    </row>
    <row r="106" spans="1:24" ht="48.6" customHeight="1" x14ac:dyDescent="0.2">
      <c r="A106" s="476">
        <v>14371</v>
      </c>
      <c r="B106" s="69" t="s">
        <v>119</v>
      </c>
      <c r="C106" s="112" t="s">
        <v>179</v>
      </c>
      <c r="D106" s="111">
        <v>139776.25</v>
      </c>
      <c r="E106" s="111">
        <v>111821</v>
      </c>
      <c r="F106" s="61" t="s">
        <v>141</v>
      </c>
      <c r="G106" s="92">
        <v>111821</v>
      </c>
      <c r="H106" s="98">
        <f t="shared" si="8"/>
        <v>0</v>
      </c>
      <c r="I106" s="61" t="s">
        <v>144</v>
      </c>
      <c r="J106" s="596">
        <v>41864</v>
      </c>
      <c r="K106" s="600">
        <v>41864</v>
      </c>
      <c r="L106" s="334"/>
      <c r="M106" s="334"/>
      <c r="N106" s="334"/>
      <c r="O106" s="334"/>
      <c r="P106" s="334"/>
      <c r="Q106" s="334"/>
      <c r="R106" s="334"/>
      <c r="S106" s="334"/>
      <c r="T106" s="334"/>
      <c r="U106" s="334"/>
      <c r="V106" s="334"/>
      <c r="W106" s="334"/>
      <c r="X106" s="334"/>
    </row>
    <row r="107" spans="1:24" ht="30" x14ac:dyDescent="0.2">
      <c r="A107" s="110">
        <v>12738</v>
      </c>
      <c r="B107" s="95" t="s">
        <v>123</v>
      </c>
      <c r="C107" s="109" t="s">
        <v>178</v>
      </c>
      <c r="D107" s="111">
        <v>12144</v>
      </c>
      <c r="E107" s="111">
        <v>5534</v>
      </c>
      <c r="F107" s="91" t="s">
        <v>142</v>
      </c>
      <c r="G107" s="92">
        <v>5534</v>
      </c>
      <c r="H107" s="98">
        <f t="shared" si="8"/>
        <v>0</v>
      </c>
      <c r="I107" s="61" t="s">
        <v>144</v>
      </c>
      <c r="J107" s="599">
        <v>41323</v>
      </c>
      <c r="K107" s="580">
        <v>41444</v>
      </c>
      <c r="L107" s="85"/>
    </row>
    <row r="108" spans="1:24" ht="30" x14ac:dyDescent="0.2">
      <c r="A108" s="477">
        <v>13417</v>
      </c>
      <c r="B108" s="314" t="s">
        <v>123</v>
      </c>
      <c r="C108" s="314" t="s">
        <v>177</v>
      </c>
      <c r="D108" s="66">
        <v>46326.25</v>
      </c>
      <c r="E108" s="98">
        <v>37061</v>
      </c>
      <c r="F108" s="61" t="s">
        <v>141</v>
      </c>
      <c r="G108" s="215">
        <v>37061</v>
      </c>
      <c r="H108" s="111">
        <f t="shared" si="8"/>
        <v>0</v>
      </c>
      <c r="I108" s="61" t="s">
        <v>144</v>
      </c>
      <c r="J108" s="596">
        <v>41943</v>
      </c>
      <c r="K108" s="596">
        <v>41943</v>
      </c>
    </row>
    <row r="109" spans="1:24" ht="31.9" customHeight="1" x14ac:dyDescent="0.2">
      <c r="A109" s="52">
        <v>15513</v>
      </c>
      <c r="B109" s="52" t="s">
        <v>123</v>
      </c>
      <c r="C109" s="52" t="s">
        <v>424</v>
      </c>
      <c r="D109" s="66">
        <v>5618.6812499999996</v>
      </c>
      <c r="E109" s="98">
        <v>3885</v>
      </c>
      <c r="F109" s="61"/>
      <c r="G109" s="215">
        <v>3885</v>
      </c>
      <c r="H109" s="111">
        <f t="shared" si="8"/>
        <v>0</v>
      </c>
      <c r="I109" s="61" t="s">
        <v>144</v>
      </c>
      <c r="J109" s="596">
        <v>42320</v>
      </c>
      <c r="K109" s="596">
        <v>42321</v>
      </c>
    </row>
    <row r="110" spans="1:24" s="343" customFormat="1" ht="22.15" customHeight="1" x14ac:dyDescent="0.2">
      <c r="A110" s="59"/>
      <c r="B110" s="58"/>
      <c r="C110" s="89" t="s">
        <v>140</v>
      </c>
      <c r="D110" s="63"/>
      <c r="E110" s="108">
        <f>SUM(E98:E109)</f>
        <v>1250000</v>
      </c>
      <c r="F110" s="88"/>
      <c r="G110" s="56"/>
      <c r="H110" s="108">
        <f>SUM(H98:H109)</f>
        <v>0</v>
      </c>
      <c r="I110" s="61"/>
      <c r="J110" s="64"/>
      <c r="K110" s="53"/>
      <c r="L110" s="478"/>
    </row>
    <row r="111" spans="1:24" s="343" customFormat="1" x14ac:dyDescent="0.2">
      <c r="A111" s="86"/>
      <c r="B111" s="107"/>
      <c r="C111" s="107"/>
      <c r="D111" s="106"/>
      <c r="E111" s="106"/>
      <c r="F111" s="84"/>
      <c r="G111" s="82"/>
      <c r="H111" s="106"/>
      <c r="I111" s="105"/>
      <c r="J111" s="104"/>
      <c r="K111" s="80"/>
    </row>
    <row r="112" spans="1:24" s="343" customFormat="1" ht="28.15" customHeight="1" x14ac:dyDescent="0.2">
      <c r="A112" s="79"/>
      <c r="B112" s="630" t="s">
        <v>176</v>
      </c>
      <c r="C112" s="633"/>
      <c r="D112" s="633"/>
      <c r="E112" s="633"/>
      <c r="F112" s="634"/>
      <c r="G112" s="103"/>
      <c r="H112" s="78"/>
      <c r="I112" s="76"/>
      <c r="J112" s="77"/>
      <c r="K112" s="76"/>
    </row>
    <row r="113" spans="1:16" s="479" customFormat="1" ht="78.75" x14ac:dyDescent="0.2">
      <c r="A113" s="75" t="s">
        <v>153</v>
      </c>
      <c r="B113" s="73" t="s">
        <v>152</v>
      </c>
      <c r="C113" s="73" t="s">
        <v>0</v>
      </c>
      <c r="D113" s="74" t="s">
        <v>1</v>
      </c>
      <c r="E113" s="74" t="s">
        <v>98</v>
      </c>
      <c r="F113" s="208" t="s">
        <v>99</v>
      </c>
      <c r="G113" s="74" t="s">
        <v>151</v>
      </c>
      <c r="H113" s="74" t="s">
        <v>150</v>
      </c>
      <c r="I113" s="73" t="s">
        <v>102</v>
      </c>
      <c r="J113" s="73" t="s">
        <v>103</v>
      </c>
      <c r="K113" s="73" t="s">
        <v>149</v>
      </c>
      <c r="P113" s="480"/>
    </row>
    <row r="114" spans="1:16" s="481" customFormat="1" ht="30" x14ac:dyDescent="0.2">
      <c r="A114" s="59">
        <v>10482</v>
      </c>
      <c r="B114" s="101" t="s">
        <v>160</v>
      </c>
      <c r="C114" s="67" t="s">
        <v>175</v>
      </c>
      <c r="D114" s="99" t="s">
        <v>174</v>
      </c>
      <c r="E114" s="99" t="s">
        <v>165</v>
      </c>
      <c r="F114" s="61" t="s">
        <v>142</v>
      </c>
      <c r="G114" s="332">
        <v>0</v>
      </c>
      <c r="H114" s="99" t="s">
        <v>165</v>
      </c>
      <c r="I114" s="65" t="s">
        <v>164</v>
      </c>
      <c r="J114" s="69" t="s">
        <v>147</v>
      </c>
      <c r="K114" s="69"/>
    </row>
    <row r="115" spans="1:16" s="343" customFormat="1" ht="22.15" customHeight="1" x14ac:dyDescent="0.2">
      <c r="A115" s="102">
        <v>10481</v>
      </c>
      <c r="B115" s="101" t="s">
        <v>173</v>
      </c>
      <c r="C115" s="100" t="s">
        <v>172</v>
      </c>
      <c r="D115" s="333">
        <v>654000</v>
      </c>
      <c r="E115" s="332">
        <v>0</v>
      </c>
      <c r="F115" s="71" t="s">
        <v>142</v>
      </c>
      <c r="G115" s="332">
        <v>0</v>
      </c>
      <c r="H115" s="332">
        <f>+E115-G115</f>
        <v>0</v>
      </c>
      <c r="I115" s="65" t="s">
        <v>171</v>
      </c>
      <c r="J115" s="601" t="s">
        <v>170</v>
      </c>
      <c r="K115" s="349"/>
    </row>
    <row r="116" spans="1:16" s="343" customFormat="1" ht="45" x14ac:dyDescent="0.2">
      <c r="A116" s="59">
        <v>11760</v>
      </c>
      <c r="B116" s="52" t="s">
        <v>143</v>
      </c>
      <c r="C116" s="69" t="s">
        <v>169</v>
      </c>
      <c r="D116" s="98"/>
      <c r="E116" s="66">
        <v>385677</v>
      </c>
      <c r="F116" s="61" t="s">
        <v>161</v>
      </c>
      <c r="G116" s="66">
        <v>385677</v>
      </c>
      <c r="H116" s="66">
        <f>+E116-G116</f>
        <v>0</v>
      </c>
      <c r="I116" s="65" t="s">
        <v>485</v>
      </c>
      <c r="J116" s="597">
        <v>41319</v>
      </c>
      <c r="K116" s="580">
        <v>41319</v>
      </c>
    </row>
    <row r="117" spans="1:16" s="343" customFormat="1" ht="30" x14ac:dyDescent="0.2">
      <c r="A117" s="50">
        <v>10484</v>
      </c>
      <c r="B117" s="72" t="s">
        <v>168</v>
      </c>
      <c r="C117" s="100" t="s">
        <v>167</v>
      </c>
      <c r="D117" s="99" t="s">
        <v>166</v>
      </c>
      <c r="E117" s="99" t="s">
        <v>165</v>
      </c>
      <c r="F117" s="61" t="s">
        <v>142</v>
      </c>
      <c r="G117" s="66">
        <v>0</v>
      </c>
      <c r="H117" s="332">
        <f t="shared" ref="H117:H124" si="9">+E117-G117</f>
        <v>0</v>
      </c>
      <c r="I117" s="65" t="s">
        <v>164</v>
      </c>
      <c r="J117" s="69" t="s">
        <v>147</v>
      </c>
      <c r="K117" s="69"/>
    </row>
    <row r="118" spans="1:16" s="343" customFormat="1" ht="30" x14ac:dyDescent="0.2">
      <c r="A118" s="50">
        <v>10483</v>
      </c>
      <c r="B118" s="52" t="s">
        <v>145</v>
      </c>
      <c r="C118" s="67" t="s">
        <v>163</v>
      </c>
      <c r="D118" s="98">
        <f>+E118/0.8</f>
        <v>85446.25</v>
      </c>
      <c r="E118" s="66">
        <v>68357</v>
      </c>
      <c r="F118" s="61" t="s">
        <v>146</v>
      </c>
      <c r="G118" s="66">
        <v>68357</v>
      </c>
      <c r="H118" s="66">
        <f t="shared" si="9"/>
        <v>0</v>
      </c>
      <c r="I118" s="65" t="s">
        <v>144</v>
      </c>
      <c r="J118" s="597">
        <v>40056</v>
      </c>
      <c r="K118" s="580">
        <v>40017</v>
      </c>
    </row>
    <row r="119" spans="1:16" s="343" customFormat="1" ht="30" x14ac:dyDescent="0.2">
      <c r="A119" s="59">
        <v>10968</v>
      </c>
      <c r="B119" s="52" t="s">
        <v>143</v>
      </c>
      <c r="C119" s="67" t="s">
        <v>162</v>
      </c>
      <c r="D119" s="66">
        <f>(+E119*1.25)+2543332</f>
        <v>3643332</v>
      </c>
      <c r="E119" s="66">
        <v>880000</v>
      </c>
      <c r="F119" s="61" t="s">
        <v>161</v>
      </c>
      <c r="G119" s="66">
        <v>880000</v>
      </c>
      <c r="H119" s="66">
        <f t="shared" si="9"/>
        <v>0</v>
      </c>
      <c r="I119" s="65" t="s">
        <v>485</v>
      </c>
      <c r="J119" s="597"/>
      <c r="K119" s="580">
        <v>41276</v>
      </c>
    </row>
    <row r="120" spans="1:16" s="343" customFormat="1" x14ac:dyDescent="0.2">
      <c r="A120" s="50">
        <v>11350</v>
      </c>
      <c r="B120" s="52" t="s">
        <v>160</v>
      </c>
      <c r="C120" s="67" t="s">
        <v>159</v>
      </c>
      <c r="D120" s="66">
        <v>200000</v>
      </c>
      <c r="E120" s="66">
        <v>62577</v>
      </c>
      <c r="F120" s="61" t="s">
        <v>142</v>
      </c>
      <c r="G120" s="66">
        <v>62577</v>
      </c>
      <c r="H120" s="66">
        <f t="shared" si="9"/>
        <v>0</v>
      </c>
      <c r="I120" s="65" t="s">
        <v>485</v>
      </c>
      <c r="J120" s="580">
        <v>40688</v>
      </c>
      <c r="K120" s="580">
        <v>40548</v>
      </c>
    </row>
    <row r="121" spans="1:16" s="343" customFormat="1" ht="50.45" customHeight="1" x14ac:dyDescent="0.2">
      <c r="A121" s="50">
        <v>11764</v>
      </c>
      <c r="B121" s="95" t="s">
        <v>158</v>
      </c>
      <c r="C121" s="109" t="s">
        <v>157</v>
      </c>
      <c r="D121" s="92">
        <f>+E121/0.8</f>
        <v>699736.25</v>
      </c>
      <c r="E121" s="92">
        <f>568443-8654</f>
        <v>559789</v>
      </c>
      <c r="F121" s="91" t="s">
        <v>142</v>
      </c>
      <c r="G121" s="92">
        <v>559789</v>
      </c>
      <c r="H121" s="66">
        <f t="shared" si="9"/>
        <v>0</v>
      </c>
      <c r="I121" s="65" t="s">
        <v>485</v>
      </c>
      <c r="J121" s="599">
        <v>41121</v>
      </c>
      <c r="K121" s="580">
        <v>41121</v>
      </c>
    </row>
    <row r="122" spans="1:16" s="343" customFormat="1" ht="50.45" customHeight="1" x14ac:dyDescent="0.2">
      <c r="A122" s="94">
        <v>14371</v>
      </c>
      <c r="B122" s="69" t="s">
        <v>119</v>
      </c>
      <c r="C122" s="93" t="s">
        <v>156</v>
      </c>
      <c r="D122" s="92">
        <v>10817.5</v>
      </c>
      <c r="E122" s="92">
        <v>8654</v>
      </c>
      <c r="F122" s="61" t="s">
        <v>141</v>
      </c>
      <c r="G122" s="92">
        <v>8654</v>
      </c>
      <c r="H122" s="66">
        <f t="shared" si="9"/>
        <v>0</v>
      </c>
      <c r="I122" s="61" t="s">
        <v>144</v>
      </c>
      <c r="J122" s="596">
        <v>41864</v>
      </c>
      <c r="K122" s="600">
        <v>41864</v>
      </c>
    </row>
    <row r="123" spans="1:16" ht="27" customHeight="1" x14ac:dyDescent="0.2">
      <c r="A123" s="50">
        <v>12738</v>
      </c>
      <c r="B123" s="52" t="s">
        <v>123</v>
      </c>
      <c r="C123" s="69" t="s">
        <v>155</v>
      </c>
      <c r="D123" s="98">
        <v>177300</v>
      </c>
      <c r="E123" s="98">
        <v>137523</v>
      </c>
      <c r="F123" s="91" t="s">
        <v>142</v>
      </c>
      <c r="G123" s="66">
        <v>137523</v>
      </c>
      <c r="H123" s="66">
        <f t="shared" si="9"/>
        <v>0</v>
      </c>
      <c r="I123" s="65" t="s">
        <v>485</v>
      </c>
      <c r="J123" s="599">
        <v>41323</v>
      </c>
      <c r="K123" s="580">
        <v>41444</v>
      </c>
      <c r="L123" s="85"/>
    </row>
    <row r="124" spans="1:16" ht="30" x14ac:dyDescent="0.2">
      <c r="A124" s="477">
        <v>13417</v>
      </c>
      <c r="B124" s="314" t="s">
        <v>123</v>
      </c>
      <c r="C124" s="314" t="s">
        <v>154</v>
      </c>
      <c r="D124" s="215">
        <v>121778.75</v>
      </c>
      <c r="E124" s="215">
        <v>97423</v>
      </c>
      <c r="F124" s="61" t="s">
        <v>141</v>
      </c>
      <c r="G124" s="215">
        <v>97423</v>
      </c>
      <c r="H124" s="66">
        <f t="shared" si="9"/>
        <v>0</v>
      </c>
      <c r="I124" s="61" t="s">
        <v>144</v>
      </c>
      <c r="J124" s="596">
        <v>41943</v>
      </c>
      <c r="K124" s="596">
        <v>41943</v>
      </c>
    </row>
    <row r="125" spans="1:16" s="482" customFormat="1" ht="22.15" customHeight="1" x14ac:dyDescent="0.2">
      <c r="A125" s="59"/>
      <c r="B125" s="90"/>
      <c r="C125" s="89" t="s">
        <v>140</v>
      </c>
      <c r="D125" s="56"/>
      <c r="E125" s="55">
        <f>SUM(E114:E124)</f>
        <v>2200000</v>
      </c>
      <c r="F125" s="88"/>
      <c r="G125" s="87"/>
      <c r="H125" s="55">
        <f>SUM(H115:H124)</f>
        <v>0</v>
      </c>
      <c r="I125" s="53"/>
      <c r="J125" s="54"/>
      <c r="K125" s="53"/>
    </row>
    <row r="126" spans="1:16" s="483" customFormat="1" ht="15.75" x14ac:dyDescent="0.2">
      <c r="A126" s="86"/>
      <c r="B126" s="85"/>
      <c r="C126" s="334"/>
      <c r="D126" s="83"/>
      <c r="E126" s="83"/>
      <c r="F126" s="84"/>
      <c r="G126" s="83"/>
      <c r="H126" s="82"/>
      <c r="I126" s="80"/>
      <c r="J126" s="81"/>
      <c r="K126" s="80"/>
    </row>
    <row r="127" spans="1:16" s="23" customFormat="1" ht="28.15" customHeight="1" x14ac:dyDescent="0.2">
      <c r="A127" s="79"/>
      <c r="B127" s="630" t="s">
        <v>536</v>
      </c>
      <c r="C127" s="631"/>
      <c r="D127" s="631"/>
      <c r="E127" s="631"/>
      <c r="F127" s="632"/>
      <c r="G127" s="78"/>
      <c r="H127" s="335"/>
      <c r="I127" s="76"/>
      <c r="J127" s="77"/>
      <c r="K127" s="336"/>
    </row>
    <row r="128" spans="1:16" s="23" customFormat="1" ht="78.75" x14ac:dyDescent="0.2">
      <c r="A128" s="75" t="s">
        <v>153</v>
      </c>
      <c r="B128" s="73" t="s">
        <v>152</v>
      </c>
      <c r="C128" s="73" t="s">
        <v>0</v>
      </c>
      <c r="D128" s="74" t="s">
        <v>1</v>
      </c>
      <c r="E128" s="74" t="s">
        <v>98</v>
      </c>
      <c r="F128" s="73" t="s">
        <v>99</v>
      </c>
      <c r="G128" s="74" t="s">
        <v>151</v>
      </c>
      <c r="H128" s="74" t="s">
        <v>150</v>
      </c>
      <c r="I128" s="73" t="s">
        <v>102</v>
      </c>
      <c r="J128" s="73" t="s">
        <v>103</v>
      </c>
      <c r="K128" s="73" t="s">
        <v>149</v>
      </c>
    </row>
    <row r="129" spans="1:11" s="23" customFormat="1" ht="39" customHeight="1" x14ac:dyDescent="0.2">
      <c r="A129" s="337" t="s">
        <v>537</v>
      </c>
      <c r="B129" s="52" t="s">
        <v>538</v>
      </c>
      <c r="C129" s="69" t="s">
        <v>539</v>
      </c>
      <c r="D129" s="338">
        <f>1100000+288484-222165</f>
        <v>1166319</v>
      </c>
      <c r="E129" s="66">
        <v>702268</v>
      </c>
      <c r="F129" s="61" t="s">
        <v>146</v>
      </c>
      <c r="G129" s="66">
        <v>702268</v>
      </c>
      <c r="H129" s="56">
        <f>+E129-G129</f>
        <v>0</v>
      </c>
      <c r="I129" s="65" t="s">
        <v>144</v>
      </c>
      <c r="J129" s="96">
        <v>40482</v>
      </c>
      <c r="K129" s="96">
        <v>40557</v>
      </c>
    </row>
    <row r="130" spans="1:11" s="343" customFormat="1" ht="37.9" customHeight="1" x14ac:dyDescent="0.2">
      <c r="A130" s="337" t="s">
        <v>540</v>
      </c>
      <c r="B130" s="52" t="s">
        <v>541</v>
      </c>
      <c r="C130" s="69" t="s">
        <v>542</v>
      </c>
      <c r="D130" s="338">
        <f>1119250-75000</f>
        <v>1044250</v>
      </c>
      <c r="E130" s="66">
        <v>820000</v>
      </c>
      <c r="F130" s="61" t="s">
        <v>146</v>
      </c>
      <c r="G130" s="66">
        <v>820000</v>
      </c>
      <c r="H130" s="56">
        <f>+E130-G130</f>
        <v>0</v>
      </c>
      <c r="I130" s="65" t="s">
        <v>144</v>
      </c>
      <c r="J130" s="96">
        <v>40485</v>
      </c>
      <c r="K130" s="96">
        <v>40485</v>
      </c>
    </row>
    <row r="131" spans="1:11" s="343" customFormat="1" ht="45" x14ac:dyDescent="0.2">
      <c r="A131" s="337" t="s">
        <v>543</v>
      </c>
      <c r="B131" s="52" t="s">
        <v>544</v>
      </c>
      <c r="C131" s="69" t="s">
        <v>545</v>
      </c>
      <c r="D131" s="338">
        <v>385043</v>
      </c>
      <c r="E131" s="66">
        <v>100876</v>
      </c>
      <c r="F131" s="61" t="s">
        <v>146</v>
      </c>
      <c r="G131" s="66">
        <v>100876</v>
      </c>
      <c r="H131" s="56">
        <f>+E131-G131</f>
        <v>0</v>
      </c>
      <c r="I131" s="65" t="s">
        <v>144</v>
      </c>
      <c r="J131" s="96">
        <v>39964</v>
      </c>
      <c r="K131" s="96">
        <v>39800</v>
      </c>
    </row>
    <row r="132" spans="1:11" ht="60" x14ac:dyDescent="0.2">
      <c r="A132" s="339" t="s">
        <v>546</v>
      </c>
      <c r="B132" s="52" t="s">
        <v>547</v>
      </c>
      <c r="C132" s="69" t="s">
        <v>548</v>
      </c>
      <c r="D132" s="338">
        <f>576856/0.8</f>
        <v>721070</v>
      </c>
      <c r="E132" s="66">
        <v>576856</v>
      </c>
      <c r="F132" s="61" t="s">
        <v>142</v>
      </c>
      <c r="G132" s="66">
        <v>576856</v>
      </c>
      <c r="H132" s="56">
        <f>+E132-G132</f>
        <v>0</v>
      </c>
      <c r="I132" s="65" t="s">
        <v>144</v>
      </c>
      <c r="J132" s="97">
        <v>39629</v>
      </c>
      <c r="K132" s="96">
        <v>39660</v>
      </c>
    </row>
    <row r="133" spans="1:11" s="343" customFormat="1" ht="24.6" customHeight="1" x14ac:dyDescent="0.2">
      <c r="A133" s="339"/>
      <c r="B133" s="69"/>
      <c r="C133" s="57" t="s">
        <v>140</v>
      </c>
      <c r="D133" s="338"/>
      <c r="E133" s="340">
        <f>SUM(E129:E132)</f>
        <v>2200000</v>
      </c>
      <c r="F133" s="61"/>
      <c r="G133" s="66"/>
      <c r="H133" s="55">
        <f>SUM(H129:H132)</f>
        <v>0</v>
      </c>
      <c r="I133" s="65"/>
      <c r="J133" s="64"/>
      <c r="K133" s="68"/>
    </row>
    <row r="134" spans="1:11" s="23" customFormat="1" x14ac:dyDescent="0.2">
      <c r="A134" s="341"/>
      <c r="B134" s="342"/>
      <c r="C134" s="343"/>
      <c r="D134" s="344"/>
      <c r="E134" s="344"/>
      <c r="F134" s="345"/>
      <c r="G134" s="344"/>
      <c r="H134" s="344"/>
      <c r="I134" s="346"/>
      <c r="J134" s="347"/>
      <c r="K134" s="346"/>
    </row>
    <row r="135" spans="1:11" s="23" customFormat="1" ht="28.15" customHeight="1" x14ac:dyDescent="0.2">
      <c r="A135" s="79"/>
      <c r="B135" s="630" t="s">
        <v>549</v>
      </c>
      <c r="C135" s="631"/>
      <c r="D135" s="631"/>
      <c r="E135" s="631"/>
      <c r="F135" s="632"/>
      <c r="G135" s="78"/>
      <c r="H135" s="78"/>
      <c r="I135" s="76"/>
      <c r="J135" s="77"/>
      <c r="K135" s="76"/>
    </row>
    <row r="136" spans="1:11" s="23" customFormat="1" ht="78.75" x14ac:dyDescent="0.2">
      <c r="A136" s="75" t="s">
        <v>153</v>
      </c>
      <c r="B136" s="73" t="s">
        <v>152</v>
      </c>
      <c r="C136" s="73" t="s">
        <v>0</v>
      </c>
      <c r="D136" s="74" t="s">
        <v>1</v>
      </c>
      <c r="E136" s="74" t="s">
        <v>98</v>
      </c>
      <c r="F136" s="73" t="s">
        <v>99</v>
      </c>
      <c r="G136" s="74" t="s">
        <v>151</v>
      </c>
      <c r="H136" s="74" t="s">
        <v>150</v>
      </c>
      <c r="I136" s="73" t="s">
        <v>102</v>
      </c>
      <c r="J136" s="73" t="s">
        <v>103</v>
      </c>
      <c r="K136" s="73" t="s">
        <v>149</v>
      </c>
    </row>
    <row r="137" spans="1:11" s="23" customFormat="1" ht="30" x14ac:dyDescent="0.2">
      <c r="A137" s="337" t="s">
        <v>550</v>
      </c>
      <c r="B137" s="52" t="s">
        <v>148</v>
      </c>
      <c r="C137" s="69" t="s">
        <v>551</v>
      </c>
      <c r="D137" s="66">
        <v>1100000</v>
      </c>
      <c r="E137" s="66">
        <v>880000</v>
      </c>
      <c r="F137" s="61" t="s">
        <v>552</v>
      </c>
      <c r="G137" s="66">
        <v>880000</v>
      </c>
      <c r="H137" s="56">
        <f t="shared" ref="H137:H147" si="10">+E137-G137</f>
        <v>0</v>
      </c>
      <c r="I137" s="65" t="s">
        <v>144</v>
      </c>
      <c r="J137" s="97">
        <v>39599</v>
      </c>
      <c r="K137" s="96">
        <v>39618</v>
      </c>
    </row>
    <row r="138" spans="1:11" s="23" customFormat="1" ht="45" x14ac:dyDescent="0.2">
      <c r="A138" s="348" t="s">
        <v>553</v>
      </c>
      <c r="B138" s="72" t="s">
        <v>554</v>
      </c>
      <c r="C138" s="349" t="s">
        <v>555</v>
      </c>
      <c r="D138" s="332">
        <v>2589453</v>
      </c>
      <c r="E138" s="332">
        <v>0</v>
      </c>
      <c r="F138" s="71" t="s">
        <v>556</v>
      </c>
      <c r="G138" s="66">
        <v>0</v>
      </c>
      <c r="H138" s="56">
        <v>0</v>
      </c>
      <c r="I138" s="65" t="s">
        <v>557</v>
      </c>
      <c r="J138" s="469" t="s">
        <v>147</v>
      </c>
      <c r="K138" s="469" t="s">
        <v>147</v>
      </c>
    </row>
    <row r="139" spans="1:11" s="23" customFormat="1" ht="30" x14ac:dyDescent="0.2">
      <c r="A139" s="337" t="s">
        <v>558</v>
      </c>
      <c r="B139" s="52" t="s">
        <v>559</v>
      </c>
      <c r="C139" s="69" t="s">
        <v>560</v>
      </c>
      <c r="D139" s="66">
        <v>138134</v>
      </c>
      <c r="E139" s="66">
        <v>110507</v>
      </c>
      <c r="F139" s="61" t="s">
        <v>552</v>
      </c>
      <c r="G139" s="66">
        <v>110507</v>
      </c>
      <c r="H139" s="56">
        <f t="shared" si="10"/>
        <v>0</v>
      </c>
      <c r="I139" s="65" t="s">
        <v>144</v>
      </c>
      <c r="J139" s="97">
        <v>39862</v>
      </c>
      <c r="K139" s="96">
        <v>39862</v>
      </c>
    </row>
    <row r="140" spans="1:11" s="23" customFormat="1" ht="30" x14ac:dyDescent="0.2">
      <c r="A140" s="337" t="s">
        <v>561</v>
      </c>
      <c r="B140" s="52" t="s">
        <v>562</v>
      </c>
      <c r="C140" s="69" t="s">
        <v>563</v>
      </c>
      <c r="D140" s="66">
        <v>66677</v>
      </c>
      <c r="E140" s="66">
        <v>53341</v>
      </c>
      <c r="F140" s="61" t="s">
        <v>552</v>
      </c>
      <c r="G140" s="66">
        <v>53341</v>
      </c>
      <c r="H140" s="56">
        <f t="shared" si="10"/>
        <v>0</v>
      </c>
      <c r="I140" s="65" t="s">
        <v>144</v>
      </c>
      <c r="J140" s="96">
        <v>40226</v>
      </c>
      <c r="K140" s="96">
        <v>40226</v>
      </c>
    </row>
    <row r="141" spans="1:11" s="481" customFormat="1" ht="23.45" customHeight="1" x14ac:dyDescent="0.2">
      <c r="A141" s="337" t="s">
        <v>564</v>
      </c>
      <c r="B141" s="52" t="s">
        <v>565</v>
      </c>
      <c r="C141" s="69" t="s">
        <v>566</v>
      </c>
      <c r="D141" s="66">
        <v>50000</v>
      </c>
      <c r="E141" s="66">
        <v>40000</v>
      </c>
      <c r="F141" s="61" t="s">
        <v>552</v>
      </c>
      <c r="G141" s="66">
        <v>40000</v>
      </c>
      <c r="H141" s="56">
        <f t="shared" si="10"/>
        <v>0</v>
      </c>
      <c r="I141" s="65" t="s">
        <v>144</v>
      </c>
      <c r="J141" s="97">
        <v>39707</v>
      </c>
      <c r="K141" s="96">
        <v>39707</v>
      </c>
    </row>
    <row r="142" spans="1:11" s="343" customFormat="1" ht="45" x14ac:dyDescent="0.2">
      <c r="A142" s="337" t="s">
        <v>567</v>
      </c>
      <c r="B142" s="52" t="s">
        <v>568</v>
      </c>
      <c r="C142" s="69" t="s">
        <v>569</v>
      </c>
      <c r="D142" s="66">
        <f>E142/0.8</f>
        <v>40267.5</v>
      </c>
      <c r="E142" s="66">
        <v>32214</v>
      </c>
      <c r="F142" s="61" t="s">
        <v>552</v>
      </c>
      <c r="G142" s="66">
        <v>32214</v>
      </c>
      <c r="H142" s="56">
        <f t="shared" si="10"/>
        <v>0</v>
      </c>
      <c r="I142" s="65" t="s">
        <v>144</v>
      </c>
      <c r="J142" s="97">
        <v>39538</v>
      </c>
      <c r="K142" s="96">
        <v>39582</v>
      </c>
    </row>
    <row r="143" spans="1:11" s="343" customFormat="1" ht="45" x14ac:dyDescent="0.2">
      <c r="A143" s="337" t="s">
        <v>570</v>
      </c>
      <c r="B143" s="52" t="s">
        <v>571</v>
      </c>
      <c r="C143" s="69" t="s">
        <v>572</v>
      </c>
      <c r="D143" s="66">
        <v>500000</v>
      </c>
      <c r="E143" s="66">
        <v>163085</v>
      </c>
      <c r="F143" s="61" t="s">
        <v>556</v>
      </c>
      <c r="G143" s="66">
        <v>163085</v>
      </c>
      <c r="H143" s="66">
        <v>0</v>
      </c>
      <c r="I143" s="65" t="s">
        <v>144</v>
      </c>
      <c r="J143" s="97">
        <v>40543</v>
      </c>
      <c r="K143" s="96">
        <v>40142</v>
      </c>
    </row>
    <row r="144" spans="1:11" s="343" customFormat="1" ht="30" x14ac:dyDescent="0.2">
      <c r="A144" s="337" t="s">
        <v>573</v>
      </c>
      <c r="B144" s="52" t="s">
        <v>145</v>
      </c>
      <c r="C144" s="69" t="s">
        <v>574</v>
      </c>
      <c r="D144" s="66">
        <v>587500</v>
      </c>
      <c r="E144" s="66">
        <v>220000</v>
      </c>
      <c r="F144" s="61" t="s">
        <v>556</v>
      </c>
      <c r="G144" s="66">
        <v>220000</v>
      </c>
      <c r="H144" s="56">
        <f t="shared" si="10"/>
        <v>0</v>
      </c>
      <c r="I144" s="65" t="s">
        <v>144</v>
      </c>
      <c r="J144" s="97">
        <v>39721</v>
      </c>
      <c r="K144" s="96">
        <v>39708</v>
      </c>
    </row>
    <row r="145" spans="1:20" s="343" customFormat="1" ht="60" x14ac:dyDescent="0.2">
      <c r="A145" s="350" t="s">
        <v>546</v>
      </c>
      <c r="B145" s="351" t="s">
        <v>547</v>
      </c>
      <c r="C145" s="70" t="s">
        <v>575</v>
      </c>
      <c r="D145" s="352">
        <f>334498/0.8</f>
        <v>418122.5</v>
      </c>
      <c r="E145" s="352">
        <f>125413+177731</f>
        <v>303144</v>
      </c>
      <c r="F145" s="353" t="s">
        <v>142</v>
      </c>
      <c r="G145" s="352">
        <v>303144</v>
      </c>
      <c r="H145" s="352">
        <f t="shared" si="10"/>
        <v>0</v>
      </c>
      <c r="I145" s="354" t="s">
        <v>144</v>
      </c>
      <c r="J145" s="540">
        <v>39629</v>
      </c>
      <c r="K145" s="541">
        <v>39660</v>
      </c>
    </row>
    <row r="146" spans="1:20" s="343" customFormat="1" ht="30" x14ac:dyDescent="0.2">
      <c r="A146" s="337" t="s">
        <v>537</v>
      </c>
      <c r="B146" s="52" t="s">
        <v>576</v>
      </c>
      <c r="C146" s="69" t="s">
        <v>577</v>
      </c>
      <c r="D146" s="56">
        <f>177732/0.8</f>
        <v>222165</v>
      </c>
      <c r="E146" s="56">
        <v>177732</v>
      </c>
      <c r="F146" s="61" t="s">
        <v>146</v>
      </c>
      <c r="G146" s="66">
        <v>177732</v>
      </c>
      <c r="H146" s="56">
        <f t="shared" si="10"/>
        <v>0</v>
      </c>
      <c r="I146" s="65" t="s">
        <v>144</v>
      </c>
      <c r="J146" s="96">
        <v>40482</v>
      </c>
      <c r="K146" s="96">
        <v>40557</v>
      </c>
    </row>
    <row r="147" spans="1:20" s="23" customFormat="1" ht="36.6" customHeight="1" x14ac:dyDescent="0.2">
      <c r="A147" s="337" t="s">
        <v>540</v>
      </c>
      <c r="B147" s="52" t="s">
        <v>562</v>
      </c>
      <c r="C147" s="69" t="s">
        <v>578</v>
      </c>
      <c r="D147" s="56">
        <f>60000/0.8</f>
        <v>75000</v>
      </c>
      <c r="E147" s="56">
        <v>60000</v>
      </c>
      <c r="F147" s="61" t="s">
        <v>142</v>
      </c>
      <c r="G147" s="66">
        <v>60000</v>
      </c>
      <c r="H147" s="56">
        <f t="shared" si="10"/>
        <v>0</v>
      </c>
      <c r="I147" s="65" t="s">
        <v>144</v>
      </c>
      <c r="J147" s="96">
        <v>40485</v>
      </c>
      <c r="K147" s="96">
        <v>40485</v>
      </c>
    </row>
    <row r="148" spans="1:20" s="23" customFormat="1" ht="37.15" customHeight="1" x14ac:dyDescent="0.2">
      <c r="A148" s="337">
        <v>10483</v>
      </c>
      <c r="B148" s="52" t="s">
        <v>145</v>
      </c>
      <c r="C148" s="67" t="s">
        <v>579</v>
      </c>
      <c r="D148" s="56">
        <f>E148/0.8</f>
        <v>82053.75</v>
      </c>
      <c r="E148" s="56">
        <f>39537+26106</f>
        <v>65643</v>
      </c>
      <c r="F148" s="61" t="s">
        <v>556</v>
      </c>
      <c r="G148" s="66">
        <v>65643</v>
      </c>
      <c r="H148" s="56">
        <f>+E148-G148</f>
        <v>0</v>
      </c>
      <c r="I148" s="65" t="s">
        <v>144</v>
      </c>
      <c r="J148" s="97">
        <v>40017</v>
      </c>
      <c r="K148" s="97">
        <v>40017</v>
      </c>
    </row>
    <row r="149" spans="1:20" ht="45" x14ac:dyDescent="0.2">
      <c r="A149" s="50">
        <v>11760</v>
      </c>
      <c r="B149" s="52" t="s">
        <v>143</v>
      </c>
      <c r="C149" s="69" t="s">
        <v>580</v>
      </c>
      <c r="D149" s="63">
        <f>+E149/0.8</f>
        <v>71773.75</v>
      </c>
      <c r="E149" s="63">
        <v>57419</v>
      </c>
      <c r="F149" s="61" t="s">
        <v>142</v>
      </c>
      <c r="G149" s="66">
        <v>57419</v>
      </c>
      <c r="H149" s="56">
        <f>+E149-G149</f>
        <v>0</v>
      </c>
      <c r="I149" s="65" t="s">
        <v>144</v>
      </c>
      <c r="J149" s="97">
        <v>41319</v>
      </c>
      <c r="K149" s="97">
        <v>41319</v>
      </c>
    </row>
    <row r="150" spans="1:20" ht="30" x14ac:dyDescent="0.2">
      <c r="A150" s="477">
        <v>13417</v>
      </c>
      <c r="B150" s="314" t="s">
        <v>123</v>
      </c>
      <c r="C150" s="314" t="s">
        <v>581</v>
      </c>
      <c r="D150" s="62">
        <v>46143.75</v>
      </c>
      <c r="E150" s="60">
        <v>36915</v>
      </c>
      <c r="F150" s="61" t="s">
        <v>141</v>
      </c>
      <c r="G150" s="215">
        <v>36915</v>
      </c>
      <c r="H150" s="56">
        <f>+E150-G150</f>
        <v>0</v>
      </c>
      <c r="I150" s="65" t="s">
        <v>144</v>
      </c>
      <c r="J150" s="542">
        <v>41407</v>
      </c>
      <c r="K150" s="542">
        <v>41407</v>
      </c>
    </row>
    <row r="151" spans="1:20" ht="15.75" x14ac:dyDescent="0.2">
      <c r="A151" s="59"/>
      <c r="B151" s="58"/>
      <c r="C151" s="57" t="s">
        <v>140</v>
      </c>
      <c r="D151" s="56"/>
      <c r="E151" s="55">
        <f>SUM(E137:E149)+E150</f>
        <v>2200000</v>
      </c>
      <c r="F151" s="53"/>
      <c r="G151" s="55"/>
      <c r="H151" s="55">
        <f>SUM(H137:H150)</f>
        <v>0</v>
      </c>
      <c r="I151" s="53"/>
      <c r="J151" s="54"/>
      <c r="K151" s="53"/>
    </row>
    <row r="152" spans="1:20" x14ac:dyDescent="0.2">
      <c r="B152" s="484"/>
      <c r="C152" s="23"/>
      <c r="D152" s="485"/>
      <c r="E152" s="485"/>
      <c r="F152" s="305"/>
      <c r="G152" s="485"/>
      <c r="H152" s="485"/>
      <c r="I152" s="302"/>
      <c r="J152" s="302"/>
      <c r="K152" s="302"/>
    </row>
    <row r="156" spans="1:20" x14ac:dyDescent="0.2">
      <c r="D156" s="83"/>
      <c r="E156" s="83"/>
      <c r="F156" s="84"/>
      <c r="G156" s="83"/>
      <c r="H156" s="83"/>
      <c r="I156" s="80"/>
      <c r="J156" s="81"/>
      <c r="K156" s="80"/>
      <c r="L156" s="334"/>
      <c r="M156" s="334"/>
      <c r="N156" s="334"/>
      <c r="O156" s="334"/>
      <c r="P156" s="334"/>
      <c r="Q156" s="334"/>
      <c r="R156" s="334"/>
      <c r="S156" s="334"/>
      <c r="T156" s="334"/>
    </row>
    <row r="157" spans="1:20" x14ac:dyDescent="0.2">
      <c r="D157" s="83"/>
      <c r="E157" s="83"/>
      <c r="F157" s="84"/>
      <c r="G157" s="83"/>
      <c r="H157" s="83"/>
      <c r="I157" s="80"/>
      <c r="J157" s="81"/>
      <c r="K157" s="80"/>
      <c r="L157" s="334"/>
      <c r="M157" s="334"/>
      <c r="N157" s="334"/>
      <c r="O157" s="334"/>
      <c r="P157" s="334"/>
      <c r="Q157" s="334"/>
      <c r="R157" s="334"/>
      <c r="S157" s="334"/>
      <c r="T157" s="334"/>
    </row>
    <row r="158" spans="1:20" x14ac:dyDescent="0.2">
      <c r="C158" s="303"/>
      <c r="D158" s="83"/>
      <c r="E158" s="602"/>
      <c r="F158" s="603"/>
      <c r="G158" s="602"/>
      <c r="H158" s="604"/>
      <c r="I158" s="605"/>
      <c r="J158" s="603"/>
      <c r="K158" s="80"/>
      <c r="L158" s="334"/>
      <c r="M158" s="334"/>
      <c r="N158" s="334"/>
      <c r="O158" s="334"/>
      <c r="P158" s="334"/>
      <c r="Q158" s="334"/>
      <c r="R158" s="334"/>
      <c r="S158" s="334"/>
      <c r="T158" s="334"/>
    </row>
    <row r="159" spans="1:20" x14ac:dyDescent="0.2">
      <c r="D159" s="83"/>
      <c r="E159" s="83"/>
      <c r="F159" s="606"/>
      <c r="G159" s="607"/>
      <c r="H159" s="604"/>
      <c r="I159" s="608"/>
      <c r="J159" s="603"/>
      <c r="K159" s="80"/>
      <c r="L159" s="334"/>
      <c r="M159" s="334"/>
      <c r="N159" s="334"/>
      <c r="O159" s="334"/>
      <c r="P159" s="334"/>
      <c r="Q159" s="334"/>
      <c r="R159" s="334"/>
      <c r="S159" s="334"/>
      <c r="T159" s="334"/>
    </row>
    <row r="160" spans="1:20" x14ac:dyDescent="0.2">
      <c r="C160" s="303"/>
      <c r="D160" s="83"/>
      <c r="E160" s="83"/>
      <c r="F160" s="609"/>
      <c r="G160" s="610"/>
      <c r="H160" s="604"/>
      <c r="I160" s="608"/>
      <c r="J160" s="81"/>
      <c r="K160" s="80"/>
      <c r="L160" s="334"/>
      <c r="M160" s="334"/>
      <c r="N160" s="334"/>
      <c r="O160" s="334"/>
      <c r="P160" s="334"/>
      <c r="Q160" s="334"/>
      <c r="R160" s="334"/>
      <c r="S160" s="334"/>
      <c r="T160" s="334"/>
    </row>
    <row r="161" spans="3:20" x14ac:dyDescent="0.2">
      <c r="D161" s="83"/>
      <c r="E161" s="611"/>
      <c r="F161" s="611"/>
      <c r="G161" s="611"/>
      <c r="H161" s="604"/>
      <c r="I161" s="610"/>
      <c r="J161" s="81"/>
      <c r="K161" s="80"/>
      <c r="L161" s="334"/>
      <c r="M161" s="334"/>
      <c r="N161" s="334"/>
      <c r="O161" s="334"/>
      <c r="P161" s="334"/>
      <c r="Q161" s="334"/>
      <c r="R161" s="334"/>
      <c r="S161" s="334"/>
      <c r="T161" s="334"/>
    </row>
    <row r="162" spans="3:20" x14ac:dyDescent="0.2">
      <c r="C162" s="303"/>
      <c r="D162" s="83"/>
      <c r="E162" s="83"/>
      <c r="F162" s="588"/>
      <c r="G162" s="83"/>
      <c r="H162" s="83"/>
      <c r="I162" s="612"/>
      <c r="J162" s="81"/>
      <c r="K162" s="80"/>
      <c r="L162" s="334"/>
      <c r="M162" s="334"/>
      <c r="N162" s="334"/>
      <c r="O162" s="334"/>
      <c r="P162" s="334"/>
      <c r="Q162" s="334"/>
      <c r="R162" s="334"/>
      <c r="S162" s="334"/>
      <c r="T162" s="334"/>
    </row>
    <row r="163" spans="3:20" x14ac:dyDescent="0.2">
      <c r="D163" s="83"/>
      <c r="E163" s="83"/>
      <c r="F163" s="588"/>
      <c r="G163" s="83"/>
      <c r="H163" s="83"/>
      <c r="I163" s="80"/>
      <c r="J163" s="81"/>
      <c r="K163" s="80"/>
      <c r="L163" s="334"/>
      <c r="M163" s="334"/>
      <c r="N163" s="334"/>
      <c r="O163" s="334"/>
      <c r="P163" s="334"/>
      <c r="Q163" s="334"/>
      <c r="R163" s="334"/>
      <c r="S163" s="334"/>
      <c r="T163" s="334"/>
    </row>
    <row r="164" spans="3:20" x14ac:dyDescent="0.2">
      <c r="D164" s="83"/>
      <c r="E164" s="83"/>
      <c r="F164" s="84"/>
      <c r="G164" s="83"/>
      <c r="H164" s="83"/>
      <c r="I164" s="80"/>
      <c r="J164" s="81"/>
      <c r="K164" s="80"/>
      <c r="L164" s="334"/>
      <c r="M164" s="334"/>
      <c r="N164" s="334"/>
      <c r="O164" s="334"/>
      <c r="P164" s="334"/>
      <c r="Q164" s="334"/>
      <c r="R164" s="334"/>
      <c r="S164" s="334"/>
      <c r="T164" s="334"/>
    </row>
    <row r="165" spans="3:20" x14ac:dyDescent="0.2">
      <c r="D165" s="83"/>
      <c r="E165" s="83"/>
      <c r="F165" s="84"/>
      <c r="G165" s="83"/>
      <c r="H165" s="83"/>
      <c r="I165" s="80"/>
      <c r="J165" s="81"/>
      <c r="K165" s="80"/>
      <c r="L165" s="334"/>
      <c r="M165" s="334"/>
      <c r="N165" s="334"/>
      <c r="O165" s="334"/>
      <c r="P165" s="334"/>
      <c r="Q165" s="334"/>
      <c r="R165" s="334"/>
      <c r="S165" s="334"/>
      <c r="T165" s="334"/>
    </row>
    <row r="166" spans="3:20" x14ac:dyDescent="0.2">
      <c r="D166" s="83"/>
      <c r="E166" s="83"/>
      <c r="F166" s="84"/>
      <c r="G166" s="83"/>
      <c r="H166" s="83"/>
      <c r="I166" s="80"/>
      <c r="J166" s="81"/>
      <c r="K166" s="80"/>
      <c r="L166" s="334"/>
      <c r="M166" s="334"/>
      <c r="N166" s="334"/>
      <c r="O166" s="334"/>
      <c r="P166" s="334"/>
      <c r="Q166" s="334"/>
      <c r="R166" s="334"/>
      <c r="S166" s="334"/>
      <c r="T166" s="334"/>
    </row>
    <row r="167" spans="3:20" x14ac:dyDescent="0.2">
      <c r="D167" s="83"/>
      <c r="E167" s="83"/>
      <c r="F167" s="84"/>
      <c r="G167" s="83"/>
      <c r="H167" s="83"/>
      <c r="I167" s="80"/>
      <c r="J167" s="81"/>
      <c r="K167" s="80"/>
      <c r="L167" s="334"/>
      <c r="M167" s="334"/>
      <c r="N167" s="334"/>
      <c r="O167" s="334"/>
      <c r="P167" s="334"/>
      <c r="Q167" s="334"/>
      <c r="R167" s="334"/>
      <c r="S167" s="334"/>
      <c r="T167" s="334"/>
    </row>
    <row r="168" spans="3:20" x14ac:dyDescent="0.2">
      <c r="D168" s="83"/>
      <c r="E168" s="83"/>
      <c r="F168" s="84"/>
      <c r="G168" s="83"/>
      <c r="H168" s="83"/>
      <c r="I168" s="80"/>
      <c r="J168" s="81"/>
      <c r="K168" s="80"/>
      <c r="L168" s="334"/>
      <c r="M168" s="334"/>
      <c r="N168" s="334"/>
      <c r="O168" s="334"/>
      <c r="P168" s="334"/>
      <c r="Q168" s="334"/>
      <c r="R168" s="334"/>
      <c r="S168" s="334"/>
      <c r="T168" s="334"/>
    </row>
    <row r="169" spans="3:20" x14ac:dyDescent="0.2">
      <c r="G169" s="83"/>
    </row>
    <row r="170" spans="3:20" x14ac:dyDescent="0.2">
      <c r="G170" s="83"/>
    </row>
    <row r="171" spans="3:20" x14ac:dyDescent="0.2">
      <c r="G171" s="602"/>
    </row>
    <row r="172" spans="3:20" x14ac:dyDescent="0.2">
      <c r="G172" s="83"/>
    </row>
    <row r="173" spans="3:20" x14ac:dyDescent="0.2">
      <c r="G173" s="83"/>
    </row>
    <row r="174" spans="3:20" x14ac:dyDescent="0.2">
      <c r="G174" s="83"/>
    </row>
    <row r="175" spans="3:20" x14ac:dyDescent="0.2">
      <c r="G175" s="83"/>
    </row>
    <row r="181" spans="6:6" x14ac:dyDescent="0.2">
      <c r="F181" s="613"/>
    </row>
  </sheetData>
  <mergeCells count="39">
    <mergeCell ref="A63:E63"/>
    <mergeCell ref="F63:G63"/>
    <mergeCell ref="H63:I63"/>
    <mergeCell ref="J63:K63"/>
    <mergeCell ref="A72:E72"/>
    <mergeCell ref="H1:I1"/>
    <mergeCell ref="J1:K1"/>
    <mergeCell ref="A1:E1"/>
    <mergeCell ref="F1:G1"/>
    <mergeCell ref="A29:E29"/>
    <mergeCell ref="F29:G29"/>
    <mergeCell ref="A10:E10"/>
    <mergeCell ref="F10:G10"/>
    <mergeCell ref="H10:I10"/>
    <mergeCell ref="J10:K10"/>
    <mergeCell ref="A18:E18"/>
    <mergeCell ref="F18:G18"/>
    <mergeCell ref="H18:I18"/>
    <mergeCell ref="J18:K18"/>
    <mergeCell ref="H29:I29"/>
    <mergeCell ref="J29:K29"/>
    <mergeCell ref="A39:E39"/>
    <mergeCell ref="F39:G39"/>
    <mergeCell ref="H39:I39"/>
    <mergeCell ref="J39:K39"/>
    <mergeCell ref="A48:E48"/>
    <mergeCell ref="F48:G48"/>
    <mergeCell ref="H48:I48"/>
    <mergeCell ref="J48:K48"/>
    <mergeCell ref="H72:I72"/>
    <mergeCell ref="J72:K72"/>
    <mergeCell ref="B84:F84"/>
    <mergeCell ref="G84:H84"/>
    <mergeCell ref="I84:J84"/>
    <mergeCell ref="B96:F96"/>
    <mergeCell ref="B112:F112"/>
    <mergeCell ref="B127:F127"/>
    <mergeCell ref="B135:F135"/>
    <mergeCell ref="F72:G72"/>
  </mergeCells>
  <pageMargins left="0.75" right="0.75" top="0.75" bottom="0.5" header="0.5" footer="0.5"/>
  <pageSetup paperSize="17" scale="80"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GAVI </vt:lpstr>
      <vt:lpstr>CSVI</vt:lpstr>
      <vt:lpstr>SRT</vt:lpstr>
      <vt:lpstr>RRLGP</vt:lpstr>
      <vt:lpstr>Passenger Rail</vt:lpstr>
      <vt:lpstr>PTIG</vt:lpstr>
    </vt:vector>
  </TitlesOfParts>
  <Company>Iowa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Iowa DOT</dc:creator>
  <cp:lastModifiedBy>Administrator</cp:lastModifiedBy>
  <cp:lastPrinted>2015-01-14T18:22:09Z</cp:lastPrinted>
  <dcterms:created xsi:type="dcterms:W3CDTF">2006-11-27T14:03:20Z</dcterms:created>
  <dcterms:modified xsi:type="dcterms:W3CDTF">2019-01-15T14:14:19Z</dcterms:modified>
</cp:coreProperties>
</file>