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data\Annual Reports\Infrastructure Status Reports\"/>
    </mc:Choice>
  </mc:AlternateContent>
  <xr:revisionPtr revIDLastSave="0" documentId="10_ncr:100000_{C4338BEA-C88E-45A1-BF27-52E51CA8C564}" xr6:coauthVersionLast="31" xr6:coauthVersionMax="31" xr10:uidLastSave="{00000000-0000-0000-0000-000000000000}"/>
  <bookViews>
    <workbookView xWindow="14385" yWindow="-15" windowWidth="14430" windowHeight="12855" xr2:uid="{00000000-000D-0000-FFFF-FFFF00000000}"/>
  </bookViews>
  <sheets>
    <sheet name="GAVI " sheetId="23" r:id="rId1"/>
    <sheet name="CSVI" sheetId="24" r:id="rId2"/>
    <sheet name="SRT" sheetId="22" r:id="rId3"/>
    <sheet name="RRLGP" sheetId="29" r:id="rId4"/>
    <sheet name="Passenger Rail" sheetId="30" r:id="rId5"/>
    <sheet name="PTIG" sheetId="25" r:id="rId6"/>
  </sheets>
  <definedNames>
    <definedName name="_xlnm.Print_Area" localSheetId="5">PTIG!#REF!</definedName>
    <definedName name="_xlnm.Print_Area" localSheetId="2">SRT!#REF!</definedName>
    <definedName name="_xlnm.Print_Titles" localSheetId="2">SRT!#REF!</definedName>
  </definedNames>
  <calcPr calcId="179017"/>
</workbook>
</file>

<file path=xl/calcChain.xml><?xml version="1.0" encoding="utf-8"?>
<calcChain xmlns="http://schemas.openxmlformats.org/spreadsheetml/2006/main">
  <c r="C9" i="30" l="1"/>
  <c r="H150" i="25" l="1"/>
  <c r="H149" i="25"/>
  <c r="D149" i="25"/>
  <c r="H148" i="25"/>
  <c r="E148" i="25"/>
  <c r="D148" i="25" s="1"/>
  <c r="H147" i="25"/>
  <c r="D147" i="25"/>
  <c r="H146" i="25"/>
  <c r="D146" i="25"/>
  <c r="H145" i="25"/>
  <c r="E145" i="25"/>
  <c r="E151" i="25" s="1"/>
  <c r="D145" i="25"/>
  <c r="H144" i="25"/>
  <c r="H142" i="25"/>
  <c r="D142" i="25"/>
  <c r="H141" i="25"/>
  <c r="H140" i="25"/>
  <c r="H139" i="25"/>
  <c r="H137" i="25"/>
  <c r="H151" i="25" s="1"/>
  <c r="E133" i="25"/>
  <c r="H132" i="25"/>
  <c r="D132" i="25"/>
  <c r="H131" i="25"/>
  <c r="H130" i="25"/>
  <c r="D130" i="25"/>
  <c r="H129" i="25"/>
  <c r="H133" i="25" s="1"/>
  <c r="D129" i="25"/>
  <c r="H124" i="25"/>
  <c r="H123" i="25"/>
  <c r="H122" i="25"/>
  <c r="H121" i="25"/>
  <c r="E121" i="25"/>
  <c r="D121" i="25" s="1"/>
  <c r="H120" i="25"/>
  <c r="H119" i="25"/>
  <c r="D119" i="25"/>
  <c r="H118" i="25"/>
  <c r="D118" i="25"/>
  <c r="H117" i="25"/>
  <c r="H116" i="25"/>
  <c r="H115" i="25"/>
  <c r="H125" i="25" s="1"/>
  <c r="E110" i="25"/>
  <c r="H109" i="25"/>
  <c r="H108" i="25"/>
  <c r="H107" i="25"/>
  <c r="H106" i="25"/>
  <c r="H105" i="25"/>
  <c r="E105" i="25"/>
  <c r="H104" i="25"/>
  <c r="H103" i="25"/>
  <c r="H102" i="25"/>
  <c r="H101" i="25"/>
  <c r="H100" i="25"/>
  <c r="H99" i="25"/>
  <c r="H98" i="25"/>
  <c r="H110" i="25" s="1"/>
  <c r="H93" i="25"/>
  <c r="H92" i="25"/>
  <c r="H91" i="25"/>
  <c r="E90" i="25"/>
  <c r="H90" i="25" s="1"/>
  <c r="H89" i="25"/>
  <c r="H88" i="25"/>
  <c r="E88" i="25"/>
  <c r="E87" i="25"/>
  <c r="H87" i="25" s="1"/>
  <c r="H86" i="25"/>
  <c r="E82" i="25"/>
  <c r="H81" i="25"/>
  <c r="G80" i="25"/>
  <c r="E80" i="25"/>
  <c r="H80" i="25" s="1"/>
  <c r="H79" i="25"/>
  <c r="H78" i="25"/>
  <c r="H77" i="25"/>
  <c r="H76" i="25"/>
  <c r="H82" i="25" s="1"/>
  <c r="G76" i="25"/>
  <c r="E76" i="25"/>
  <c r="H75" i="25"/>
  <c r="H74" i="25"/>
  <c r="E69" i="25"/>
  <c r="E70" i="25" s="1"/>
  <c r="H68" i="25"/>
  <c r="H67" i="25"/>
  <c r="E66" i="25"/>
  <c r="H66" i="25" s="1"/>
  <c r="H65" i="25"/>
  <c r="H59" i="25"/>
  <c r="H58" i="25"/>
  <c r="H57" i="25"/>
  <c r="E56" i="25"/>
  <c r="H56" i="25" s="1"/>
  <c r="G55" i="25"/>
  <c r="E55" i="25"/>
  <c r="H55" i="25" s="1"/>
  <c r="H54" i="25"/>
  <c r="G53" i="25"/>
  <c r="E53" i="25"/>
  <c r="H53" i="25" s="1"/>
  <c r="H52" i="25"/>
  <c r="E51" i="25"/>
  <c r="H51" i="25" s="1"/>
  <c r="H50" i="25"/>
  <c r="H45" i="25"/>
  <c r="E45" i="25"/>
  <c r="H44" i="25"/>
  <c r="H43" i="25"/>
  <c r="H42" i="25"/>
  <c r="H41" i="25"/>
  <c r="H46" i="25" s="1"/>
  <c r="G35" i="25"/>
  <c r="H35" i="25" s="1"/>
  <c r="H34" i="25"/>
  <c r="E33" i="25"/>
  <c r="E36" i="25" s="1"/>
  <c r="H32" i="25"/>
  <c r="H31" i="25"/>
  <c r="E27" i="25"/>
  <c r="E26" i="25"/>
  <c r="H26" i="25" s="1"/>
  <c r="H25" i="25"/>
  <c r="D25" i="25"/>
  <c r="H24" i="25"/>
  <c r="E24" i="25"/>
  <c r="E23" i="25"/>
  <c r="H23" i="25" s="1"/>
  <c r="H22" i="25"/>
  <c r="H21" i="25"/>
  <c r="E20" i="25"/>
  <c r="H20" i="25" s="1"/>
  <c r="H27" i="25" s="1"/>
  <c r="E16" i="25"/>
  <c r="H14" i="25"/>
  <c r="H13" i="25"/>
  <c r="E12" i="25"/>
  <c r="D12" i="25" s="1"/>
  <c r="E7" i="25"/>
  <c r="H7" i="25" s="1"/>
  <c r="H6" i="25"/>
  <c r="H5" i="25"/>
  <c r="H4" i="25"/>
  <c r="H3" i="25"/>
  <c r="H8" i="25" s="1"/>
  <c r="G123" i="22"/>
  <c r="E123" i="22"/>
  <c r="G117" i="22"/>
  <c r="E117" i="22"/>
  <c r="G108" i="22"/>
  <c r="E108" i="22"/>
  <c r="G99" i="22"/>
  <c r="E99" i="22"/>
  <c r="G87" i="22"/>
  <c r="E76" i="22"/>
  <c r="E87" i="22" s="1"/>
  <c r="G73" i="22"/>
  <c r="E73" i="22"/>
  <c r="G60" i="22"/>
  <c r="E60" i="22"/>
  <c r="J51" i="22"/>
  <c r="H51" i="22"/>
  <c r="J42" i="22"/>
  <c r="H42" i="22"/>
  <c r="F151" i="29"/>
  <c r="D151" i="29"/>
  <c r="C151" i="29"/>
  <c r="G147" i="29"/>
  <c r="G146" i="29"/>
  <c r="G143" i="29"/>
  <c r="G142" i="29"/>
  <c r="G151" i="29" s="1"/>
  <c r="F137" i="29"/>
  <c r="D137" i="29"/>
  <c r="C137" i="29"/>
  <c r="G135" i="29"/>
  <c r="G137" i="29" s="1"/>
  <c r="G129" i="29"/>
  <c r="F129" i="29"/>
  <c r="D129" i="29"/>
  <c r="C129" i="29"/>
  <c r="G115" i="29"/>
  <c r="F115" i="29"/>
  <c r="D115" i="29"/>
  <c r="C115" i="29"/>
  <c r="G114" i="29"/>
  <c r="G104" i="29"/>
  <c r="F104" i="29"/>
  <c r="D104" i="29"/>
  <c r="C104" i="29"/>
  <c r="G103" i="29"/>
  <c r="G93" i="29"/>
  <c r="F93" i="29"/>
  <c r="D93" i="29"/>
  <c r="C93" i="29"/>
  <c r="G84" i="29"/>
  <c r="F84" i="29"/>
  <c r="D84" i="29"/>
  <c r="C84" i="29"/>
  <c r="G71" i="29"/>
  <c r="F71" i="29"/>
  <c r="D71" i="29"/>
  <c r="C71" i="29"/>
  <c r="G58" i="29"/>
  <c r="F58" i="29"/>
  <c r="D58" i="29"/>
  <c r="C58" i="29"/>
  <c r="G49" i="29"/>
  <c r="F49" i="29"/>
  <c r="D49" i="29"/>
  <c r="C49" i="29"/>
  <c r="G39" i="29"/>
  <c r="F39" i="29"/>
  <c r="D39" i="29"/>
  <c r="C39" i="29"/>
  <c r="G30" i="29"/>
  <c r="F30" i="29"/>
  <c r="D30" i="29"/>
  <c r="C30" i="29"/>
  <c r="G15" i="29"/>
  <c r="F15" i="29"/>
  <c r="D15" i="29"/>
  <c r="C15" i="29"/>
  <c r="G14" i="29"/>
  <c r="G8" i="29"/>
  <c r="F8" i="29"/>
  <c r="D8" i="29"/>
  <c r="C8" i="29"/>
  <c r="B15" i="30"/>
  <c r="E10" i="30"/>
  <c r="C10" i="30"/>
  <c r="B10" i="30"/>
  <c r="F9" i="30"/>
  <c r="F8" i="30"/>
  <c r="F7" i="30"/>
  <c r="F6" i="30"/>
  <c r="F5" i="30"/>
  <c r="F4" i="30"/>
  <c r="F3" i="30"/>
  <c r="D102" i="24"/>
  <c r="C102" i="24"/>
  <c r="F100" i="24"/>
  <c r="G100" i="24" s="1"/>
  <c r="F99" i="24"/>
  <c r="G99" i="24" s="1"/>
  <c r="G97" i="24"/>
  <c r="F96" i="24"/>
  <c r="G96" i="24" s="1"/>
  <c r="F94" i="24"/>
  <c r="F102" i="24" s="1"/>
  <c r="G88" i="24"/>
  <c r="F88" i="24"/>
  <c r="D88" i="24"/>
  <c r="C88" i="24"/>
  <c r="G84" i="24"/>
  <c r="G83" i="24"/>
  <c r="G81" i="24"/>
  <c r="G80" i="24"/>
  <c r="G74" i="24"/>
  <c r="F74" i="24"/>
  <c r="D74" i="24"/>
  <c r="C73" i="24"/>
  <c r="C71" i="24"/>
  <c r="C70" i="24"/>
  <c r="C74" i="24" s="1"/>
  <c r="G60" i="24"/>
  <c r="F60" i="24"/>
  <c r="D60" i="24"/>
  <c r="C60" i="24"/>
  <c r="G48" i="24"/>
  <c r="F48" i="24"/>
  <c r="D48" i="24"/>
  <c r="C48" i="24"/>
  <c r="G35" i="24"/>
  <c r="F35" i="24"/>
  <c r="D35" i="24"/>
  <c r="C35" i="24"/>
  <c r="G23" i="24"/>
  <c r="F23" i="24"/>
  <c r="D23" i="24"/>
  <c r="C23" i="24"/>
  <c r="G11" i="24"/>
  <c r="F11" i="24"/>
  <c r="D11" i="24"/>
  <c r="C11" i="24"/>
  <c r="G84" i="23"/>
  <c r="F84" i="23"/>
  <c r="D84" i="23"/>
  <c r="C84" i="23"/>
  <c r="G83" i="23"/>
  <c r="G82" i="23"/>
  <c r="G80" i="23"/>
  <c r="G79" i="23"/>
  <c r="F75" i="23"/>
  <c r="D75" i="23"/>
  <c r="C75" i="23"/>
  <c r="G74" i="23"/>
  <c r="G73" i="23"/>
  <c r="G70" i="23"/>
  <c r="G68" i="23"/>
  <c r="G67" i="23"/>
  <c r="G75" i="23" s="1"/>
  <c r="G66" i="23"/>
  <c r="G63" i="23"/>
  <c r="F63" i="23"/>
  <c r="D63" i="23"/>
  <c r="C63" i="23"/>
  <c r="G51" i="23"/>
  <c r="F51" i="23"/>
  <c r="D51" i="23"/>
  <c r="C51" i="23"/>
  <c r="G36" i="23"/>
  <c r="F36" i="23"/>
  <c r="D36" i="23"/>
  <c r="C36" i="23"/>
  <c r="G22" i="23"/>
  <c r="F22" i="23"/>
  <c r="D22" i="23"/>
  <c r="C22" i="23"/>
  <c r="G12" i="23"/>
  <c r="D12" i="23"/>
  <c r="C12" i="23"/>
  <c r="F9" i="23"/>
  <c r="F3" i="23"/>
  <c r="F12" i="23" s="1"/>
  <c r="F10" i="30" l="1"/>
  <c r="H70" i="25"/>
  <c r="H94" i="25"/>
  <c r="H36" i="25"/>
  <c r="D36" i="25"/>
  <c r="H61" i="25"/>
  <c r="H12" i="25"/>
  <c r="H16" i="25" s="1"/>
  <c r="H33" i="25"/>
  <c r="H37" i="25" s="1"/>
  <c r="E15" i="25"/>
  <c r="H15" i="25" s="1"/>
  <c r="E125" i="25"/>
  <c r="E8" i="25"/>
  <c r="E94" i="25"/>
  <c r="E60" i="25"/>
  <c r="H60" i="25" s="1"/>
  <c r="H69" i="25"/>
  <c r="G94" i="24"/>
  <c r="G102" i="24" s="1"/>
</calcChain>
</file>

<file path=xl/sharedStrings.xml><?xml version="1.0" encoding="utf-8"?>
<sst xmlns="http://schemas.openxmlformats.org/spreadsheetml/2006/main" count="2365" uniqueCount="970">
  <si>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</si>
  <si>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</si>
  <si>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</si>
  <si>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</si>
  <si>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</si>
  <si>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</si>
  <si>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State Recreational Trail (SRT) Fund and county funds</t>
  </si>
  <si>
    <t>Recreational Trails - RIIF - 0017</t>
  </si>
  <si>
    <t>State Recreational Trail (SRT) Fund and city hotel/motel tax</t>
  </si>
  <si>
    <t>Recreational Trails - RC2 - 0942</t>
  </si>
  <si>
    <t xml:space="preserve">State Recreational Trail (SRT) Fund </t>
  </si>
  <si>
    <t>Coon Rapids Town Loop Trail (Coon Rapids)</t>
  </si>
  <si>
    <t>Agreement not signed - work not started</t>
  </si>
  <si>
    <t>Alice's Road Greenbelt Trail Improvements (Clive)</t>
  </si>
  <si>
    <t>State Recreational Trail (SRT) Fund and City of Waterloo</t>
  </si>
  <si>
    <t>18th Street to Riverview Trail Development (Waterloo)</t>
  </si>
  <si>
    <t>4-Mile Creek Greenway Trail (Polk County Conservation Board/City of Ankeny Parks and Recreation Department)</t>
  </si>
  <si>
    <t>N/A</t>
  </si>
  <si>
    <t>Project was rescinded. Funding to be reprogrammed for flood damage projects.</t>
  </si>
  <si>
    <t>Maquoketa River Water Trail (Jones County Conservation Board)</t>
  </si>
  <si>
    <t>Lewis &amp; Clark Trail Planning Study (Iowa DOT)</t>
  </si>
  <si>
    <t>Heart of Iowa Nature Trail Phases VII &amp; VIII (Story County Conservation Board)</t>
  </si>
  <si>
    <t>State Recreational Trail (SRT) Fund, county, city, and private funds</t>
  </si>
  <si>
    <t>Ankeny to Woodward Trail Corridor (Boone County Conservation Board)</t>
  </si>
  <si>
    <t>Trout Run Trail - Bridging the Past and the Present (City of Decorah and Winneshiek County Conservation Board)</t>
  </si>
  <si>
    <t>State Recreational Trail (SRT) Fund and city funds</t>
  </si>
  <si>
    <t>Agreement signed 10/8/2009 - development in process</t>
  </si>
  <si>
    <t>Mississippi River Trail - Liberty Avenue Connection (Clinton)</t>
  </si>
  <si>
    <t>Linn Creek Trail Connection with Iowa Highway 330 Trail (Marshall County)</t>
  </si>
  <si>
    <t>State Recreational Trail (SRT) Fund, RPA, county, city, and private funds</t>
  </si>
  <si>
    <t>Trout Run Trail - Box Culverts and Bridge Project (City of Decorah and Winneshiek County Conservation Board)</t>
  </si>
  <si>
    <t>State Recreational Trail (SRT) Fund and County Budget</t>
  </si>
  <si>
    <t>Railbanking Purchase of IANW Railroad (Dickinson County Trails Board and Osceola County Conservation Board)</t>
  </si>
  <si>
    <t>State Recreational Trail (SRT) fund and Local Contributions</t>
  </si>
  <si>
    <t>State Recreational Trail (SRT) Fund and Local Contributions</t>
  </si>
  <si>
    <t>State Recreational Trail (SRT) Fund and City Funds</t>
  </si>
  <si>
    <t>State Recreational Trail (SRT) fund and Capital Improvement Funds</t>
  </si>
  <si>
    <t>Iowa Department of Natural Resources  (DNR) Trail Crew (Iowa DNR)</t>
  </si>
  <si>
    <t>Cedar Valley Nature Trail Bridge at McFarlane Park (Black Hawk County Conservation Board)</t>
  </si>
  <si>
    <t>State Recreational Trail (SRT) Fund, Private and Local, Federal Earmark and Other State and Federal Grants</t>
  </si>
  <si>
    <t>Date of Completion / Estimated Completion</t>
  </si>
  <si>
    <t>Funds Expended</t>
  </si>
  <si>
    <t>Revenue Sources</t>
  </si>
  <si>
    <t>Progress of Work</t>
  </si>
  <si>
    <t>Fiscal Year</t>
  </si>
  <si>
    <t>Fund</t>
  </si>
  <si>
    <t>Rescinded</t>
  </si>
  <si>
    <t>State Recreational Trails</t>
  </si>
  <si>
    <t>State Recreational Trail (SRT) Fund and ATV registration funds</t>
  </si>
  <si>
    <t>Buffalo to Wild Cat Den Road MRT (City of Buffalo)</t>
  </si>
  <si>
    <t>Central IA Trail Loop-Chichaqua Valley Trail to Gay Lea Wilson Trail (Polk County Conservation Board)</t>
  </si>
  <si>
    <t>Dickinson County Spine Trail-Henderson Woods to US71 in Arnolds Park (Arnolds Park and Dickinson County Trails Board)</t>
  </si>
  <si>
    <t>State Recreational Trail (SRT) Fund, city CIP, Gray's Lake Neighborhood Association and land donations</t>
  </si>
  <si>
    <t>Gypsum City OHV Park  (WCIC and Iowa DNR)</t>
  </si>
  <si>
    <t>Iowa DNR Trails Program (Iowa DNR)</t>
  </si>
  <si>
    <t>NW Beaver Drive Trail (City of Johnston)</t>
  </si>
  <si>
    <t>State Recreational Trail (SRT) Fund, city G.O. bond and city park and trail improvement fund</t>
  </si>
  <si>
    <t>Turkey River Recreational Corridor Trail-Elkader to Motor Mill (Clayton County Conservation Board)</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</si>
  <si>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</si>
  <si>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</si>
  <si>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</si>
  <si>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</si>
  <si>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</si>
  <si>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</si>
  <si>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</si>
  <si>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signed 12/13/2007 - project completed</t>
  </si>
  <si>
    <t>Agreement signed 3/29/2007 - project completed</t>
  </si>
  <si>
    <t>Agreement signed 4/16/2007 - project completed</t>
  </si>
  <si>
    <t>Agreement signed 8/21/2006 - project completed</t>
  </si>
  <si>
    <t>Agreement signed 7/10/2006 - project completed</t>
  </si>
  <si>
    <t>Agreement signed 7/31/2006 - project completed</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</si>
  <si>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</si>
  <si>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</si>
  <si>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</si>
  <si>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</si>
  <si>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</si>
  <si>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</si>
  <si>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</si>
  <si>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</si>
  <si>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</si>
  <si>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</si>
  <si>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</si>
  <si>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</si>
  <si>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1/29/2010 - project completed</t>
  </si>
  <si>
    <t>Agreement signed 11/3/2008 - project completed</t>
  </si>
  <si>
    <t>Agreement signed 4/16/2007 - $30,000 was awarded to city of Eldon - project completed</t>
  </si>
  <si>
    <t>Agreement signed 11/6/2009 - project completed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</si>
  <si>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</si>
  <si>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</si>
  <si>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</si>
  <si>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</si>
  <si>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</si>
  <si>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</si>
  <si>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</si>
  <si>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</si>
  <si>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</si>
  <si>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</si>
  <si>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</si>
  <si>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</si>
  <si>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</si>
  <si>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</si>
  <si>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</si>
  <si>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</si>
  <si>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</si>
  <si>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</si>
  <si>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</si>
  <si>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</si>
  <si>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</si>
  <si>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</si>
  <si>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</si>
  <si>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</si>
  <si>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</si>
  <si>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</si>
  <si>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Rehabilitate hangar</t>
  </si>
  <si>
    <t>Completed</t>
  </si>
  <si>
    <t>Fairfield Municipal Airport</t>
  </si>
  <si>
    <t>Iowa City Municipal Airport</t>
  </si>
  <si>
    <t>Rehabilitate terminal building</t>
  </si>
  <si>
    <t>Osceola Municipal Airport</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</si>
  <si>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</si>
  <si>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</si>
  <si>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</si>
  <si>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</si>
  <si>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</si>
  <si>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</si>
  <si>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</si>
  <si>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</si>
  <si>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</si>
  <si>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</si>
  <si>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</si>
  <si>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</si>
  <si>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</si>
  <si>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</si>
  <si>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</si>
  <si>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</si>
  <si>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</si>
  <si>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</si>
  <si>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</si>
  <si>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</si>
  <si>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</si>
  <si>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</si>
  <si>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</si>
  <si>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</si>
  <si>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</si>
  <si>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</si>
  <si>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</si>
  <si>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</si>
  <si>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</si>
  <si>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</si>
  <si>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</si>
  <si>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</si>
  <si>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</si>
  <si>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</si>
  <si>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</si>
  <si>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</si>
  <si>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Storm water rack and sanitation sewer (see FY10 and FY11)</t>
  </si>
  <si>
    <t>Administrative/operations offices (partial--also see funding from FY10, FY13)</t>
  </si>
  <si>
    <t>Construct satellite transit operations and vehicle storage/maintenance facility in Webster City to support MIDAS transit services in Hamilaton Co. (partial see also funding in FY10)</t>
  </si>
  <si>
    <t>MIDAS Regional Transit (Region 5) -  Ft. Dodge</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</si>
  <si>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</si>
  <si>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</si>
  <si>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</si>
  <si>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</si>
  <si>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</si>
  <si>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</si>
  <si>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</si>
  <si>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</si>
  <si>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</si>
  <si>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</si>
  <si>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</si>
  <si>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</si>
  <si>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</si>
  <si>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</si>
  <si>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</si>
  <si>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</si>
  <si>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</si>
  <si>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</si>
  <si>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</si>
  <si>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</si>
  <si>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</si>
  <si>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</si>
  <si>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</si>
  <si>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</si>
  <si>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</si>
  <si>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</si>
  <si>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</si>
  <si>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</si>
  <si>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</si>
  <si>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</si>
  <si>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</si>
  <si>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</si>
  <si>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</si>
  <si>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</si>
  <si>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</si>
  <si>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</si>
  <si>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</si>
  <si>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</si>
  <si>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</si>
  <si>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</si>
  <si>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</si>
  <si>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</si>
  <si>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</si>
  <si>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</si>
  <si>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</si>
  <si>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</si>
  <si>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</si>
  <si>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</si>
  <si>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</si>
  <si>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</si>
  <si>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</si>
  <si>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</si>
  <si>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</si>
  <si>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</si>
  <si>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</si>
  <si>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</si>
  <si>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</si>
  <si>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</si>
  <si>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</si>
  <si>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</si>
  <si>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</si>
  <si>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</si>
  <si>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</si>
  <si>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Project Sponsor</t>
  </si>
  <si>
    <t>Local match</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</si>
  <si>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</si>
  <si>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</si>
  <si>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</si>
  <si>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</si>
  <si>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</si>
  <si>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</si>
  <si>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</si>
  <si>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</si>
  <si>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</si>
  <si>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</si>
  <si>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</si>
  <si>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</si>
  <si>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</si>
  <si>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</si>
  <si>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</si>
  <si>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</si>
  <si>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</si>
  <si>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</si>
  <si>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</si>
  <si>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</si>
  <si>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</si>
  <si>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</si>
  <si>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</si>
  <si>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</si>
  <si>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</si>
  <si>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</si>
  <si>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</si>
  <si>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</si>
  <si>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</si>
  <si>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</si>
  <si>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</si>
  <si>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</si>
  <si>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</si>
  <si>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</si>
  <si>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</si>
  <si>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</si>
  <si>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</si>
  <si>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</si>
  <si>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</si>
  <si>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</si>
  <si>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</si>
  <si>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</si>
  <si>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</si>
  <si>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</si>
  <si>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</si>
  <si>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</si>
  <si>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</si>
  <si>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</si>
  <si>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</si>
  <si>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</si>
  <si>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</si>
  <si>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</si>
  <si>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</si>
  <si>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</si>
  <si>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</si>
  <si>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</si>
  <si>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</si>
  <si>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</si>
  <si>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</si>
  <si>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</si>
  <si>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</si>
  <si>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</si>
  <si>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</si>
  <si>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</si>
  <si>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</si>
  <si>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</si>
  <si>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</si>
  <si>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</si>
  <si>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</si>
  <si>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</si>
  <si>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</si>
  <si>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</si>
  <si>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</si>
  <si>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</si>
  <si>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</si>
  <si>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</si>
  <si>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</si>
  <si>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</si>
  <si>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</si>
  <si>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</si>
  <si>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</si>
  <si>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</si>
  <si>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</si>
  <si>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</si>
  <si>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</si>
  <si>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</si>
  <si>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</si>
  <si>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</si>
  <si>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</si>
  <si>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</si>
  <si>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</si>
  <si>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</si>
  <si>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</si>
  <si>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</si>
  <si>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</si>
  <si>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</si>
  <si>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</si>
  <si>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</si>
  <si>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</si>
  <si>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</si>
  <si>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</si>
  <si>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</si>
  <si>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</si>
  <si>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</si>
  <si>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</si>
  <si>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</si>
  <si>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</si>
  <si>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</si>
  <si>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</si>
  <si>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</si>
  <si>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</si>
  <si>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</si>
  <si>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</si>
  <si>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</si>
  <si>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</si>
  <si>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</si>
  <si>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</si>
  <si>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</si>
  <si>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</si>
  <si>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</si>
  <si>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</si>
  <si>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</si>
  <si>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</si>
  <si>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</si>
  <si>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</si>
  <si>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</si>
  <si>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</si>
  <si>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</si>
  <si>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</si>
  <si>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</si>
  <si>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</si>
  <si>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</si>
  <si>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</si>
  <si>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</si>
  <si>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</si>
  <si>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</si>
  <si>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</si>
  <si>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</si>
  <si>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</si>
  <si>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</si>
  <si>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</si>
  <si>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</si>
  <si>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</si>
  <si>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</si>
  <si>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</si>
  <si>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In progress</t>
  </si>
  <si>
    <t>State Recreational Trail (SRT) Fund, city funds and county funds</t>
  </si>
  <si>
    <t>Bellevue Rivervue Trail-Phase II (City of Bellevue and Jackson County Conservation Board)</t>
  </si>
  <si>
    <t>Bridging the Gap: Phase I Dry Run Trail-Connecting Decorah's Trout Run Trail to the Prairie Farmer Recreational Trail (Winneshiek County Conservation Board and City of Decorah)</t>
  </si>
  <si>
    <t>Farragut to Shenandoah Trail Connection (City of Farragut)</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</si>
  <si>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</si>
  <si>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</si>
  <si>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</si>
  <si>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</si>
  <si>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Pioneer Beach Road Trail (City of Orleans and Dickinson County Trails Board)</t>
  </si>
  <si>
    <t>State Recreational Trail (SRT) Fund, city funds and County Trails Board funds</t>
  </si>
  <si>
    <t>Raccoon River Valley Trail to High Trestle Trail Connector (Dallas County Conservation Board)</t>
  </si>
  <si>
    <t>Agreement signed 7/30/2013 - development in process</t>
  </si>
  <si>
    <t>State Recreational Trail (SRT) Fund, other grants, donations and foundations</t>
  </si>
  <si>
    <t>Agreement signed 12/20/2011 - project completed with other funding</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</si>
  <si>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</si>
  <si>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</si>
  <si>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</si>
  <si>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</si>
  <si>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</si>
  <si>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</si>
  <si>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</si>
  <si>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</si>
  <si>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</si>
  <si>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</si>
  <si>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</si>
  <si>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</si>
  <si>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</si>
  <si>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</si>
  <si>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</si>
  <si>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</si>
  <si>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</si>
  <si>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</si>
  <si>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</si>
  <si>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</si>
  <si>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</si>
  <si>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</si>
  <si>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</si>
  <si>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</si>
  <si>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</si>
  <si>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</si>
  <si>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</si>
  <si>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</si>
  <si>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</si>
  <si>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</si>
  <si>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</si>
  <si>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</si>
  <si>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</si>
  <si>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</si>
  <si>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</si>
  <si>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</si>
  <si>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</si>
  <si>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</si>
  <si>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</si>
  <si>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</si>
  <si>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</si>
  <si>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</si>
  <si>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</si>
  <si>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</si>
  <si>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</si>
  <si>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</si>
  <si>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</si>
  <si>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</si>
  <si>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</si>
  <si>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</si>
  <si>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</si>
  <si>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</si>
  <si>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</si>
  <si>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</si>
  <si>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</si>
  <si>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</si>
  <si>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</si>
  <si>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</si>
  <si>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</si>
  <si>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</si>
  <si>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</si>
  <si>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Cedar Valley Nature Trail Bridge E4 Replacement (Black Hawk County Conservation Board)</t>
  </si>
  <si>
    <t>Coon Rapids Connector Trail Underpass (City of Coon Rapids)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</si>
  <si>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</si>
  <si>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</si>
  <si>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</si>
  <si>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</si>
  <si>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State Recreational Trail (SRT) Fund and local option sales tax</t>
  </si>
  <si>
    <t>Pottawattamie County Trail-Phase I (Pottawattamie County Conservation Board and Pottawattamie County Trail Board)</t>
  </si>
  <si>
    <t>Red Cedar Trail and Connector (Linn County Conservation Board and Linn Area Mountain Bike Association)</t>
  </si>
  <si>
    <t>State Recreational Trail (SRT) Fund, Specialized Dealer Grant, Marion Hotel/Motel and other local grants, LAMBA and other donors</t>
  </si>
  <si>
    <t>Ankeny Connector - High Trestle Trail (Polk County Conservation Board and Ankeny)</t>
  </si>
  <si>
    <t>Agreement signed 10/25/2013 - project completed</t>
  </si>
  <si>
    <t>Agreement signed 1/09/2014 - development in process</t>
  </si>
  <si>
    <t>Agreement signed 3/24/2014 - development in process</t>
  </si>
  <si>
    <t>Agreement signed 12/20/2011 - project completed</t>
  </si>
  <si>
    <t>Agreement signed 1/18/2012 - development in process</t>
  </si>
  <si>
    <t>Trout Run Trail - Decorah Fish Hatchery's Interpretive Restroom Facility (Northeast Iowa Resources Conservation and Development, Inc. and Iowa DNR's Fisheries)</t>
  </si>
  <si>
    <t>Agreement signed 12/14/2007 - project completed</t>
  </si>
  <si>
    <t>Agreement signed 2/07/2007 - project completed</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</si>
  <si>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</si>
  <si>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</si>
  <si>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</si>
  <si>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Construction of trail connecting existing trails in Johnston to the Neal Smith Trail in Des Moines (Polk County Conservation Board)</t>
  </si>
  <si>
    <t>Development of a trail to fill a gap in the trail network around Clear Lake and extending to Mason City (Cerro Gordo County)</t>
  </si>
  <si>
    <t xml:space="preserve">The FY 2015 SRT appropriation was for $6,000,000 with $1,000,000 for existing historic trail bridges. The total amount of SRT funding for projects listed in this report is over $5,500,000 as a result of awarding additional funding from a previous project underrun. </t>
  </si>
  <si>
    <t xml:space="preserve">FY 2015 Railroad Revolving Loan and Grant Program </t>
  </si>
  <si>
    <t xml:space="preserve">West Charles Street Viaduct </t>
  </si>
  <si>
    <t>Reconstruction, removal and replacement of the east side of the West Charles Street Viaduct</t>
  </si>
  <si>
    <t>Local Match</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</si>
  <si>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</si>
  <si>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</si>
  <si>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</si>
  <si>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</si>
  <si>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</si>
  <si>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</si>
  <si>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KJRY Railnetwork Improvements</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</si>
  <si>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</si>
  <si>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</si>
  <si>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</si>
  <si>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</si>
  <si>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</si>
  <si>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 xml:space="preserve"> </t>
  </si>
  <si>
    <t xml:space="preserve">FY 2015 - Rebuild Iowa Infrastructure Fund </t>
  </si>
  <si>
    <t>Bus depot improvements</t>
  </si>
  <si>
    <t>DART Way front office remodel</t>
  </si>
  <si>
    <t>Bus storage facility</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</si>
  <si>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</si>
  <si>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</si>
  <si>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</si>
  <si>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</si>
  <si>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</si>
  <si>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</si>
  <si>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</si>
  <si>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</si>
  <si>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</si>
  <si>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</si>
  <si>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</si>
  <si>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</si>
  <si>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</si>
  <si>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</si>
  <si>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</si>
  <si>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Flint River Trail: Phase I South (Burlington)</t>
  </si>
  <si>
    <t>Hoover Trail -- "The Missing Link" (Johnson County Conservation Board)</t>
  </si>
  <si>
    <t>Agreement signed 12/21/2015 - development in process</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</si>
  <si>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</si>
  <si>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</si>
  <si>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</si>
  <si>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Agreement signed 12/15/2014 - project completed</t>
  </si>
  <si>
    <t>Agreement signed 9/21/2015 - development in process</t>
  </si>
  <si>
    <t>Agreement signed 12/15/2014 -development in process</t>
  </si>
  <si>
    <t>Agreement signed 12/05/2012 - project completed</t>
  </si>
  <si>
    <t>Agreement signed 11/28/2012 - project completed</t>
  </si>
  <si>
    <t>Agreement signed 9/16/2014 - development in process</t>
  </si>
  <si>
    <t>State Recreational Trail (SRT) Fund, SAFETEA-LU earmark funds, and city funds</t>
  </si>
  <si>
    <t>Agreement signed 12/15/2011 - project completed</t>
  </si>
  <si>
    <t>Agreement signed 2/6/2012 - project completed</t>
  </si>
  <si>
    <t>Agreement signed 2/23/2012 - project completed</t>
  </si>
  <si>
    <t>The FY 2016 SRT appropriation was for $3,400,000.  The total amount of SRT funding for projects listed in this report is $3,400,000.</t>
  </si>
  <si>
    <t xml:space="preserve">FY 2016 - Rebuild Iowa Infrastructure Fund </t>
  </si>
  <si>
    <t>Building improvements</t>
  </si>
  <si>
    <t>Rehabilitate facility</t>
  </si>
  <si>
    <t>Federal transit funds
 Local funds</t>
  </si>
  <si>
    <t>Maintenance, repairs, and replacement of bus shelters (partial funding---also see FY11, FY12, FY14 )</t>
  </si>
  <si>
    <t>Region 2</t>
  </si>
  <si>
    <t>Construction of indoor parking facility</t>
  </si>
  <si>
    <t>Region 8</t>
  </si>
  <si>
    <t>Roof mounted solar array (partial funding--also see FY15)</t>
  </si>
  <si>
    <t>Roof mounted solar array (partial funding---also see FY16)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</si>
  <si>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</si>
  <si>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</si>
  <si>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</si>
  <si>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</si>
  <si>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</si>
  <si>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</si>
  <si>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</si>
  <si>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</si>
  <si>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</si>
  <si>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</si>
  <si>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</si>
  <si>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</si>
  <si>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</si>
  <si>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</si>
  <si>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</si>
  <si>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</si>
  <si>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</si>
  <si>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</si>
  <si>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</si>
  <si>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</si>
  <si>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</si>
  <si>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</si>
  <si>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</si>
  <si>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</si>
  <si>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</si>
  <si>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</si>
  <si>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</si>
  <si>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</si>
  <si>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</si>
  <si>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</si>
  <si>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</si>
  <si>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</si>
  <si>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</si>
  <si>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</si>
  <si>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</si>
  <si>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</si>
  <si>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</si>
  <si>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</si>
  <si>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</si>
  <si>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</si>
  <si>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</si>
  <si>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</si>
  <si>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</si>
  <si>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</si>
  <si>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</si>
  <si>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</si>
  <si>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</si>
  <si>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</si>
  <si>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</si>
  <si>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</si>
  <si>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</si>
  <si>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</si>
  <si>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</si>
  <si>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</si>
  <si>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</si>
  <si>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</si>
  <si>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</si>
  <si>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</si>
  <si>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</si>
  <si>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</si>
  <si>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</si>
  <si>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</si>
  <si>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Funding reserved for PE/NEPA activities to match a federal FY 2010 High Speed and Intercity Passenger Rail (HSIPR) award to Iowa DOT for Chicago to Iowa City.  Award announced by FRA in October 2010 to Iowa.</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</si>
  <si>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</si>
  <si>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</si>
  <si>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</si>
  <si>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</si>
  <si>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</si>
  <si>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</si>
  <si>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Council Bluffs Municipal Airport</t>
  </si>
  <si>
    <t>T-hangar Improvements</t>
  </si>
  <si>
    <t>Cresco Municipal Airport</t>
  </si>
  <si>
    <t>Rehabilitate hangar and construct pilot lounge</t>
  </si>
  <si>
    <t>Lamoni Municipal Airport</t>
  </si>
  <si>
    <t>Marshalltown Municipal Airport</t>
  </si>
  <si>
    <t>Pave hangar floor</t>
  </si>
  <si>
    <t>Perry Municipal Airport</t>
  </si>
  <si>
    <t>Repair hangar roof</t>
  </si>
  <si>
    <t>Sioux County Regional Airport</t>
  </si>
  <si>
    <t>Construct maintenance and electrical vault buildings</t>
  </si>
  <si>
    <t>Spencer Municipal Airport</t>
  </si>
  <si>
    <t>Rehabilate hangar floor</t>
  </si>
  <si>
    <t>FY 2016 RIIF - Commercial Service Vertical Infrastructure (CSVI) Projects</t>
  </si>
  <si>
    <t>Replace Hangars</t>
  </si>
  <si>
    <t>Design Phase</t>
  </si>
  <si>
    <t>Rehabilitate Terminal Building</t>
  </si>
  <si>
    <t>General Aviation Improvements</t>
  </si>
  <si>
    <t>Construct Hangar and Flight Service Station redesign</t>
  </si>
  <si>
    <t>Replace Overhead Garage Doors and Perform Terminal Systems Study</t>
  </si>
  <si>
    <t>Rehabilitate and Build Hangars</t>
  </si>
  <si>
    <t>Hangar rehabilitation and baggage area renovation</t>
  </si>
  <si>
    <t>FY 2017 Aviation Trust Fund* - General Aviation Vertical Infrastructure Program</t>
  </si>
  <si>
    <t>Cherokee County Regional Airport</t>
  </si>
  <si>
    <t>Eight Unit T-Hangar</t>
  </si>
  <si>
    <t>Airport Fuel System</t>
  </si>
  <si>
    <t>Davenport Municipal Airport</t>
  </si>
  <si>
    <t>Rehabilitate Hangar 8990</t>
  </si>
  <si>
    <t>Denison Municipal Airport</t>
  </si>
  <si>
    <t>Hangar Upgrades</t>
  </si>
  <si>
    <t>George L Scott Municipal Airport</t>
  </si>
  <si>
    <t>Replace T-Hangar Roof</t>
  </si>
  <si>
    <t>North T-Hangar Restroom</t>
  </si>
  <si>
    <t>Northeast Iowa Regional Airport</t>
  </si>
  <si>
    <t>Hangar Development</t>
  </si>
  <si>
    <t>Terminal Building</t>
  </si>
  <si>
    <t>Hangar Rehabilitation - Replace Roof, Sill, Repaint</t>
  </si>
  <si>
    <t>* Not subject to Infrastructure Annual Status Report requirement due to appropriation funding source.  However, the status is included for information.</t>
  </si>
  <si>
    <t>FY 2017 RIIF/Aviation Trust Fund* - Commercial Service Vertical Infrastructure (CSVI) Projects</t>
  </si>
  <si>
    <t>Hangar Construction and Improve Terminal Area Infrastructure</t>
  </si>
  <si>
    <t>Construct Hangar, Hangar roofing and Flight Service Station redesign</t>
  </si>
  <si>
    <t>Replace Terminal Chiller Phase Two</t>
  </si>
  <si>
    <t>GA Terminal Building Rehabilitation and Hangar 5 Rehabilitation</t>
  </si>
  <si>
    <t>* $60,000 of the FY 2017 appropriation is from the Aviation Trust Fund and not subject to Infrastructure Annual Status Report requirement.  However, the status of the entire appropriation is included for information.</t>
  </si>
  <si>
    <t>East Blue Creek Bridge Replacement along Cedar Valley Nature Trail (Linn and Black Hawk County Conservation Boards)</t>
  </si>
  <si>
    <t>State Recreational Trail (SRT) Fund, Regional Transportation Alternative funds and County Conservation Board CIP funds</t>
  </si>
  <si>
    <t>Extension of Felderman Trail (Bellevue and Iowa Department of Natural Resources)</t>
  </si>
  <si>
    <t>State Recreational Trail (SRT) Fund, DNR REAP award, Northeast State Parks Region and Iowa Parks Foundation funds, private donation and Wellmark Foundation</t>
  </si>
  <si>
    <t>Interstate 29 Riverfront Trail Connection (Sioux City)</t>
  </si>
  <si>
    <t>State Recreational Trail (SRT) Fund, Regional Transportation Alternative funds, Missouri River Historical Development funds and city funds</t>
  </si>
  <si>
    <t>Iowa River Trail-Marshalltown to South Side of Iowa River (Marshalltown)</t>
  </si>
  <si>
    <t>State Recreational Trail (SRT) Fund, Regional Transportation Alternative funds, DNR REAP award and fundraising</t>
  </si>
  <si>
    <t>Rolling Prairie Trail-Allison to Bristow (Butler County Conservation Board)</t>
  </si>
  <si>
    <t>State Recreational Trail (SRT) Fund, County Board of Supervisors and County Conservation Board funds, Cities of Allison, Bristow, Dumont, Clarksville and Shell Rock funds, private donations and anticipated Guernsey's Foundation funds</t>
  </si>
  <si>
    <t>State Recreational Trail (SRT) Fund, County Conservation Board CIP funds, Linn County Trails Association funds and anticipated city of Center Point funds</t>
  </si>
  <si>
    <t>State Recreational Trail (SRT) Fund, Regional Transportation Alternative funds, Two DNR REAP grants, city sales tax and local fundraising</t>
  </si>
  <si>
    <t>State Recreational Trail (SRT) Fund, County Conservation Board funds, other grants and donations</t>
  </si>
  <si>
    <t>State Recreational Trail (SRT) Fund, Regional Transportation Alternative funds and Great Places funding</t>
  </si>
  <si>
    <t>State Recreational Trail (SRT) Fund and Federal Recreational Trails Fund</t>
  </si>
  <si>
    <t>State Recreational Trail (SRT) Fund, Regional Transportation Alternative funds and private contributions</t>
  </si>
  <si>
    <t>State Recreational Trail (SRT) Fund, city funds, County Conservation Board funds, and Iowa Natural Heritage Foundation funds</t>
  </si>
  <si>
    <t>Agreement signed 11/25/2014 - project completed</t>
  </si>
  <si>
    <t>State Recreational Trail (SRT) Fund and County Conservation Board funds</t>
  </si>
  <si>
    <t>Agreement signed 12/17/2014 - project completed</t>
  </si>
  <si>
    <t>State Recreational Trail (SRT) Fund, DNR REAP grant and Lake Restoration Fund</t>
  </si>
  <si>
    <t>State Recreational Trail (SRT) Fund, Regional Transportation Alternative funds and DNR REAP grant</t>
  </si>
  <si>
    <t>State Recreational Trail (SRT) Fund, FEMA funds and city funds</t>
  </si>
  <si>
    <t>State Recreational Trail (SRT) Fund, Regional Transportation Enhancement funds, cash from local entities and private donations</t>
  </si>
  <si>
    <t xml:space="preserve">State Recreational Trail (SRT) Fund, Federal Recreational Trails Fund, County Conservation Board funds and Iowa West Foundation funds </t>
  </si>
  <si>
    <t>State Recreational Trail (SRT) Fund, City CIP funds, TIGER funds and private fundraising</t>
  </si>
  <si>
    <t>Agreement signed 1/30/2014 - project completed</t>
  </si>
  <si>
    <t>State Recreational Trail (SRT) Fund, city funds, DNR REAP grant, Regional Transportation Alternative funds and private donations</t>
  </si>
  <si>
    <t>State Recreational Trail (SRT) Fund, Statewide Transportation Enhancement grant, DNR REAP grant and local public/private funds</t>
  </si>
  <si>
    <t>Agreement signed 10/31/2013 - development in process</t>
  </si>
  <si>
    <t>Agreement signed 11/12/2013 - project completed</t>
  </si>
  <si>
    <t>State Recreational Trail (SRT) Fund, city funds, County Regional Authority grant and National Scenic Byways grant</t>
  </si>
  <si>
    <t>Agreement signed 12/23/2013 - project completed</t>
  </si>
  <si>
    <t>State Recreational Trail (SRT) Fund and DNR REAP grant</t>
  </si>
  <si>
    <t>State Recreational Trail (SRT) Fund, Upper Iowa University, city funds, County Community Foundation, Black Hills Energy, private donors, additional fundraising and DNR REAP grant</t>
  </si>
  <si>
    <t>State Recreational Trail (SRT) Fund, city G.O. Bonds, Regional STP Funds, Earmark funds and Regional Transportation Enhancement funds</t>
  </si>
  <si>
    <t>State Recreational Trail (SRT) Fund, Regional Transportation Alternative funds and city funds</t>
  </si>
  <si>
    <t>State Recreational Trail (SRT) Fund, National Scenic Byway funds and city funds</t>
  </si>
  <si>
    <t>State Recreational Trail (SRT) Fund and CDBG Jumpstart Infrastructure funds</t>
  </si>
  <si>
    <t>State Recreational Trail (SRT) Fund, Polk County Conservation and Partners funds</t>
  </si>
  <si>
    <t>Agreement signed 5/15/2012 - project completed</t>
  </si>
  <si>
    <t>State Recreational Trail (SRT) Fund, Federal Recreational Trails Fund, Webster County Conservation and ATV Registration funds</t>
  </si>
  <si>
    <t>Agreement signed 1/10/2012 - project completed</t>
  </si>
  <si>
    <t>State Recreational Trail (SRT) Fund, statewide Transportation Enhancement grant and local contributions</t>
  </si>
  <si>
    <t xml:space="preserve">Agreement signed 1/5/2010- project completed </t>
  </si>
  <si>
    <t>State Recreational Trail (SRT) Fund, CDBG - Jumpstart Infrastructure and FEMA-PA Funds</t>
  </si>
  <si>
    <t>State Recreational Trail (SRT) Fund, DNR REAP grant, Iowa Clean Air Attainment Program funds and City of Des Moines Capital Funds</t>
  </si>
  <si>
    <t>State Recreational Trail (SRT) Fund, IANWRR Donated Land and Transportation Enhancement grant</t>
  </si>
  <si>
    <t>State Recreational Trail (SRT) Fund, County Foundation, Winneshiek County and Winneshiek County Bridge grant</t>
  </si>
  <si>
    <t>State Recreational Trail (SRT) Fund and Friends of the Decorah Hatchery funds</t>
  </si>
  <si>
    <t>State Recreational Trail (SRT) Fund, Dickinson County Conservation, MPO, and City of West Okoboji funds</t>
  </si>
  <si>
    <t>State Recreational Trail (SRT) Fund and City of Clinton funds</t>
  </si>
  <si>
    <t>State Recreational Trail (SRT) Fund and City of Des Moines funds</t>
  </si>
  <si>
    <t>State Recreational Trail (SRT) Fund, SAFETEA-LU earmark funds and city funds</t>
  </si>
  <si>
    <t xml:space="preserve">State Recreational Trail (SRT) Fund, Winneshiek County Conservation and City of Decorah funds </t>
  </si>
  <si>
    <t>State Recreational Trail (SRT) Fund, Land Value and Regional Transportation Enhancement funds</t>
  </si>
  <si>
    <t>Agreement IDOT - project completed</t>
  </si>
  <si>
    <t>State Recreational Trail (SRT) Fund, Polk County Conservation, MPO, and City of Ankeny funds</t>
  </si>
  <si>
    <t>State Recreational Trail (SRT) Fund and City of Clive funds</t>
  </si>
  <si>
    <t>State Recreational Trail (SRT) Fund, federal earmark funds, Transportation Alternative funds, and Cedar Rapids CIP funds</t>
  </si>
  <si>
    <t>State Recreational Trail (SRT) Fund and City of Coon Rapids/Whiterock Conservancy funds</t>
  </si>
  <si>
    <t>State Recreational Trail (SRT) Fund, Federal Recreational Trails Fund, Regional Transportation Alternative funds and county funds</t>
  </si>
  <si>
    <t>Agreement signed 6/27/2007 - project completed</t>
  </si>
  <si>
    <t>State Recreational Trail (SRT) Fund and All-Terrain Vehicle Registration funds</t>
  </si>
  <si>
    <t>State Recreational Trail (SRT) Fund, Federal Transportation Enhancement funds, DNR REAP grant, county, city, and private funds</t>
  </si>
  <si>
    <t>Agreement signed 8/9/2006 - Final Voucher dated 6/11/08; Remaining funds to be used on next phase of project-project completed</t>
  </si>
  <si>
    <t>State Recreational Trail (SRT) Fund, county funds, Federal Transportation Enhancement funds and MPO Transportation Enhancement funds</t>
  </si>
  <si>
    <t>The FY 2017 SRT appropriation was for $2,500,000.  The total amount of SRT funding for projects listed in this report is over $2,500,000 as a result of awarding additional funding from previous project underruns.</t>
  </si>
  <si>
    <t xml:space="preserve">FY 2017 Railroad Revolving Loan and Grant Program </t>
  </si>
  <si>
    <t>Total Estimated Rail Project Cost</t>
  </si>
  <si>
    <t>Elite Octane</t>
  </si>
  <si>
    <t>Improvement to an exisiting spur to serve a grain elevator.</t>
  </si>
  <si>
    <t>Project in Process</t>
  </si>
  <si>
    <t>Barilla America</t>
  </si>
  <si>
    <t>Expansion of rail yard to receive 110 hopper cars with one switch.  Includes addition of 8700 feet of new track, ties, plates, 6 turnouts and repositioning of all 6 switches at the east end of the rail yard.</t>
  </si>
  <si>
    <t>The required earthwork, installation of #111 mainline switch, two #9 yard switches, and approx. 6,625 feet of rail branching into the start of the main unit train storage tracks.</t>
  </si>
  <si>
    <t>Hydrite Chemical</t>
  </si>
  <si>
    <t>Adding additional track on the south side of the production facility to heat an unload railcars of sulfur.</t>
  </si>
  <si>
    <t>Progressive Rail</t>
  </si>
  <si>
    <t>Installation of 600 ties per mile for the southernmost 12 miles of the APNC line between Albia, Iowa and Centervill, Iowa.</t>
  </si>
  <si>
    <t>BJRY Le Mars</t>
  </si>
  <si>
    <t>Includes 500 feet of rail, ties, ballast and other materials located at the south end of the spur track serving the industrial park in Le Mars, Iowa.</t>
  </si>
  <si>
    <t>Des Moines Cold Storage</t>
  </si>
  <si>
    <t>Project will repair an exisiting spur track and add additional track length to extend it to the cold storage facility in Des Moines.</t>
  </si>
  <si>
    <t>Oelwein Track Rehab</t>
  </si>
  <si>
    <t>Project is a wood crosstie replacement project from Dewar, Iowa at Mile Post 322 to East of Fairbank, Iowa at Mile Post 346.</t>
  </si>
  <si>
    <t>Eastern Iowa Logistics Park/CRANDIC</t>
  </si>
  <si>
    <t>RRLG fund will go toward the site grading and track construction to support the proposed transload facility in SW Cedar Rapids.</t>
  </si>
  <si>
    <t>KJRY Yard Enhancements III</t>
  </si>
  <si>
    <t>Project will replace 400 ties, 27 sticks of rail and install two new switches in the KJRY middle yard area.  OTM and ballast are included in the project as well.</t>
  </si>
  <si>
    <t>Council Bluffs Transload Study</t>
  </si>
  <si>
    <t xml:space="preserve">Study will address the market potential of an expanded transload area in Council Bluffs, Iowa.  </t>
  </si>
  <si>
    <t>Project withdrawn by appliant</t>
  </si>
  <si>
    <t>Complete - Certificate of completion pending</t>
  </si>
  <si>
    <t>Withdrawn - funds returned 2017</t>
  </si>
  <si>
    <t xml:space="preserve">Completed - remianing funds put back in </t>
  </si>
  <si>
    <t xml:space="preserve">Completed - remaining funds put back in </t>
  </si>
  <si>
    <t>Study Completed</t>
  </si>
  <si>
    <t>Complete - remaining returned</t>
  </si>
  <si>
    <t>Funding reserved for the Iowa City-Cedar Rapids Passenger Rail Conceptual Feasibility Study - Phase 1 (Task A)</t>
  </si>
  <si>
    <t>Funding reserved for the Iowa City-North Liberty Passenger Rail Conceptual Feasibility Study - Phase 1 (Task B)</t>
  </si>
  <si>
    <t xml:space="preserve">FY 2017 - Rebuild Iowa Infrastructure Fund </t>
  </si>
  <si>
    <t>Reconstruct roof</t>
  </si>
  <si>
    <t>Dubuque - The Jule</t>
  </si>
  <si>
    <t>Region 10</t>
  </si>
  <si>
    <t>Monticello bus faclity construction</t>
  </si>
  <si>
    <t>Region 12</t>
  </si>
  <si>
    <t>Replace overhead doors</t>
  </si>
  <si>
    <t>Region 15</t>
  </si>
  <si>
    <t>Purchase of transit facility</t>
  </si>
  <si>
    <t>Federal transit funds
 Amoco Loan</t>
  </si>
  <si>
    <t>Purchase of transit facility (partial funding--also see FY17)</t>
  </si>
  <si>
    <t>FY 2018 RIIF/Aviation Trust Fund - General Aviation Vertical Infrastructure Program*</t>
  </si>
  <si>
    <t>75x75 Hangar Construction</t>
  </si>
  <si>
    <t>Muscatine Municipal Airport</t>
  </si>
  <si>
    <t>T-Hangar Building Construction</t>
  </si>
  <si>
    <t>Rehab Hangar - New Bifold Doors</t>
  </si>
  <si>
    <t>10 Unit T - Hangar</t>
  </si>
  <si>
    <t>Waverly Municipal Airport</t>
  </si>
  <si>
    <t>Bulk Hangar Insulation Renovation</t>
  </si>
  <si>
    <t>* State share includes $20,200 of Aviation Trust Fund revenue not subject to Infrastructure Annual Status Report requirement but is included for information.</t>
  </si>
  <si>
    <t>FY 2018 RIIF - Commercial Service Vertical Infrastructure (CSVI) Projects</t>
  </si>
  <si>
    <t>Terminal Improvements</t>
  </si>
  <si>
    <t>Terminal Modernization PH 3</t>
  </si>
  <si>
    <t>Guidance Signage, Relocate Airfield Infrastructure, Terminal Fuel Facility</t>
  </si>
  <si>
    <t>Hangar Construction and Rehabilitation, Flight Service Station Reconfiguration</t>
  </si>
  <si>
    <t>Construct T-Hangar</t>
  </si>
  <si>
    <t>Rehabilitate Terminal and Hangar</t>
  </si>
  <si>
    <t>Hangar Improvements</t>
  </si>
  <si>
    <t xml:space="preserve"> Guidance Signage, Relocate Airfield Infrastructure, Terminal Fuel Facility</t>
  </si>
  <si>
    <t>Construct new terminal building and Guidance Signage</t>
  </si>
  <si>
    <r>
      <t>Funds Obligated</t>
    </r>
    <r>
      <rPr>
        <vertAlign val="superscript"/>
        <sz val="10"/>
        <color indexed="8"/>
        <rFont val="Arial"/>
        <family val="2"/>
      </rPr>
      <t>b</t>
    </r>
  </si>
  <si>
    <t>Heritage Trail Bridge 27 Replacement (Dubuque County Conservation Board)</t>
  </si>
  <si>
    <t>Louisa County Fairground Trailhead and Connection to the Hoover Nature Trail (Louisa County Conservation Board and Louisa County Trails Council)</t>
  </si>
  <si>
    <t>State Recreational Trail (SRT) Fund, Regional Transportation Alternative funds, CFLC, CJUW Endowment, Riverboat Foundation, County Conservation Board funds, Trails Council and private donations</t>
  </si>
  <si>
    <t>Pottawattamie County Trail - Railroad Highway Trail Phase II (Pottawattamie County Conservation Board and Pottawattamie County Trail Association)</t>
  </si>
  <si>
    <t>State Recreational Trail (SRT) Fund, Regional Transportation Alternative funds and Iowa West Foundation</t>
  </si>
  <si>
    <t>Raccoon River Valley Trail to High Trestle Trail Phase I Construction (Dallas County Conservation Board)</t>
  </si>
  <si>
    <t>State Recreational Trail (SRT) Fund, private donations and Wellmark Foundation</t>
  </si>
  <si>
    <t>Wapsipinicon Trail - Phase I (Jones County and Anamosa)</t>
  </si>
  <si>
    <t>State Recreational Trail (SRT) Fund, Regional Transportation Alternative funds, DNR REAP award, Iowa Parks Foundation/GWMRR, Wellmark Foundation, Anamosa and Jones County Community Foundations, Ignite Young Professionals and private donations</t>
  </si>
  <si>
    <t>Agreement signed 3/2/2017 - development in process</t>
  </si>
  <si>
    <t>Agreement signed 9/18/2017- development in process</t>
  </si>
  <si>
    <t>Agreement signed 12/21/2015 - project completed</t>
  </si>
  <si>
    <t>h</t>
  </si>
  <si>
    <t>Agreement signed 2/10/2015 - project completed</t>
  </si>
  <si>
    <t>Agreement signed 6/19/2014 - project completed</t>
  </si>
  <si>
    <t>Agreement signed 3/2/2015 - project completed</t>
  </si>
  <si>
    <r>
      <t>Jurgensen Bridge Refurbishment (Winterset and Winterset Municipal Utility)</t>
    </r>
    <r>
      <rPr>
        <vertAlign val="superscript"/>
        <sz val="10"/>
        <color indexed="8"/>
        <rFont val="Arial"/>
        <family val="2"/>
      </rPr>
      <t>f</t>
    </r>
  </si>
  <si>
    <t>f</t>
  </si>
  <si>
    <t>Agreement signed 1/27/2015 - project completed</t>
  </si>
  <si>
    <r>
      <t>SW 5th (Jackson) Street Bridge Rehabilitation (City of Des Moines)</t>
    </r>
    <r>
      <rPr>
        <vertAlign val="superscript"/>
        <sz val="10"/>
        <color indexed="8"/>
        <rFont val="Arial"/>
        <family val="2"/>
      </rPr>
      <t>f</t>
    </r>
  </si>
  <si>
    <t>Agreement signed 9/29/2015 - project completed</t>
  </si>
  <si>
    <t>Agreement signed 6/3/2014 - project completed</t>
  </si>
  <si>
    <t>Agreement signed 11/13/2012 - project completed</t>
  </si>
  <si>
    <t>Agreement signed 12/12/2012 - project completed</t>
  </si>
  <si>
    <r>
      <t>Cedar Valley Nature Trail Bridge at McFarlane Park (Black Hawk County Conservation Board)</t>
    </r>
    <r>
      <rPr>
        <vertAlign val="superscript"/>
        <sz val="10"/>
        <rFont val="Arial"/>
        <family val="2"/>
      </rPr>
      <t>e</t>
    </r>
  </si>
  <si>
    <t>e</t>
  </si>
  <si>
    <r>
      <t>Gray's Lake Neighborhood Connecting Trail &amp; SW 14th Quiet Street (City of Des Moines)</t>
    </r>
    <r>
      <rPr>
        <vertAlign val="superscript"/>
        <sz val="10"/>
        <rFont val="Arial"/>
        <family val="2"/>
      </rPr>
      <t>g</t>
    </r>
  </si>
  <si>
    <t>g</t>
  </si>
  <si>
    <r>
      <t>Des Moines River Regional Trail Phase 1 (City of Des Moines)</t>
    </r>
    <r>
      <rPr>
        <vertAlign val="superscript"/>
        <sz val="10"/>
        <rFont val="Arial"/>
        <family val="2"/>
      </rPr>
      <t>c</t>
    </r>
  </si>
  <si>
    <t>c</t>
  </si>
  <si>
    <r>
      <t>Iowa River Corridor Trail Connection - Sand Lake (City of Iowa City)</t>
    </r>
    <r>
      <rPr>
        <vertAlign val="superscript"/>
        <sz val="10"/>
        <rFont val="Arial"/>
        <family val="2"/>
      </rPr>
      <t>c,h</t>
    </r>
  </si>
  <si>
    <t>c,h</t>
  </si>
  <si>
    <r>
      <t>Lewis and Clark Historic Riverfront Trail (City of Sioux City and Iowa DOT)</t>
    </r>
    <r>
      <rPr>
        <vertAlign val="superscript"/>
        <sz val="10"/>
        <rFont val="Arial"/>
        <family val="2"/>
      </rPr>
      <t>c</t>
    </r>
  </si>
  <si>
    <r>
      <t>Pinicon Ridge Trail (Linn County Conservation Board)</t>
    </r>
    <r>
      <rPr>
        <vertAlign val="superscript"/>
        <sz val="10"/>
        <rFont val="Arial"/>
        <family val="2"/>
      </rPr>
      <t>a</t>
    </r>
  </si>
  <si>
    <t>a</t>
  </si>
  <si>
    <r>
      <t>Principal Riverwalk Recreational Trail (city of Des Moines)</t>
    </r>
    <r>
      <rPr>
        <vertAlign val="superscript"/>
        <sz val="10"/>
        <rFont val="Arial"/>
        <family val="2"/>
      </rPr>
      <t>a</t>
    </r>
  </si>
  <si>
    <r>
      <t>Raccoon River Valley Trail Addition--Forest Park to Minburn Trail (Dallas County Conservation Board)</t>
    </r>
    <r>
      <rPr>
        <vertAlign val="superscript"/>
        <sz val="10"/>
        <rFont val="Arial"/>
        <family val="2"/>
      </rPr>
      <t>c</t>
    </r>
  </si>
  <si>
    <r>
      <t>Summerset Trail Flood Repairs (Warren County Conservation Board)</t>
    </r>
    <r>
      <rPr>
        <vertAlign val="superscript"/>
        <sz val="10"/>
        <rFont val="Arial"/>
        <family val="2"/>
      </rPr>
      <t>d</t>
    </r>
  </si>
  <si>
    <t>d</t>
  </si>
  <si>
    <r>
      <t>American Gothic Regional Trail Project (Area 15 Regional Planning Commission)</t>
    </r>
    <r>
      <rPr>
        <vertAlign val="superscript"/>
        <sz val="10"/>
        <rFont val="Arial"/>
        <family val="2"/>
      </rPr>
      <t>a</t>
    </r>
  </si>
  <si>
    <r>
      <t>Crawford County Trail (Crawford County)</t>
    </r>
    <r>
      <rPr>
        <vertAlign val="superscript"/>
        <sz val="10"/>
        <rFont val="Arial"/>
        <family val="2"/>
      </rPr>
      <t>a</t>
    </r>
  </si>
  <si>
    <r>
      <t>Garlock Slough Recreational Trail (City of West Okoboji and Dickinson County Tails Board)</t>
    </r>
    <r>
      <rPr>
        <vertAlign val="superscript"/>
        <sz val="10"/>
        <rFont val="Arial"/>
        <family val="2"/>
      </rPr>
      <t>e</t>
    </r>
  </si>
  <si>
    <r>
      <t>Maquoketa River Water Trail (Jones County)</t>
    </r>
    <r>
      <rPr>
        <vertAlign val="superscript"/>
        <sz val="10"/>
        <rFont val="Arial"/>
        <family val="2"/>
      </rPr>
      <t>a</t>
    </r>
  </si>
  <si>
    <r>
      <t>Principal Riverwalk (Des Moines)</t>
    </r>
    <r>
      <rPr>
        <vertAlign val="superscript"/>
        <sz val="10"/>
        <rFont val="Arial"/>
        <family val="2"/>
      </rPr>
      <t>a</t>
    </r>
  </si>
  <si>
    <r>
      <t>Riverview Recreation Area Expansion (Trailblazers Off Road Club)</t>
    </r>
    <r>
      <rPr>
        <vertAlign val="superscript"/>
        <sz val="10"/>
        <rFont val="Arial"/>
        <family val="2"/>
      </rPr>
      <t>e</t>
    </r>
  </si>
  <si>
    <r>
      <t>Stone State Park Trail (Woodbury County/DNR)</t>
    </r>
    <r>
      <rPr>
        <vertAlign val="superscript"/>
        <sz val="10"/>
        <rFont val="Arial"/>
        <family val="2"/>
      </rPr>
      <t>a</t>
    </r>
  </si>
  <si>
    <r>
      <t>Summerset Trail (Cities of Indianola, Carlisle and Des Moines)</t>
    </r>
    <r>
      <rPr>
        <vertAlign val="superscript"/>
        <sz val="10"/>
        <rFont val="Arial"/>
        <family val="2"/>
      </rPr>
      <t>a</t>
    </r>
  </si>
  <si>
    <r>
      <t>Crawford County Trails (Crawford County)</t>
    </r>
    <r>
      <rPr>
        <vertAlign val="superscript"/>
        <sz val="10"/>
        <rFont val="Arial"/>
        <family val="2"/>
      </rPr>
      <t>a</t>
    </r>
  </si>
  <si>
    <r>
      <t>Fairfield Loop Trail (Fairfield)</t>
    </r>
    <r>
      <rPr>
        <vertAlign val="superscript"/>
        <sz val="10"/>
        <rFont val="Arial"/>
        <family val="2"/>
      </rPr>
      <t>a</t>
    </r>
  </si>
  <si>
    <r>
      <t>Jewell to Ellsworth Trail (Hamilton County Conservation Board)</t>
    </r>
    <r>
      <rPr>
        <vertAlign val="superscript"/>
        <sz val="10"/>
        <rFont val="Arial"/>
        <family val="2"/>
      </rPr>
      <t>a</t>
    </r>
  </si>
  <si>
    <r>
      <t>Mississippi River Trail Upper Scott County (Le Claire)</t>
    </r>
    <r>
      <rPr>
        <vertAlign val="superscript"/>
        <sz val="10"/>
        <rFont val="Arial"/>
        <family val="2"/>
      </rPr>
      <t>c</t>
    </r>
  </si>
  <si>
    <r>
      <t>Des Moines County Recreational Trail - Phase 1 Burlington to Starr's Cave (Des Moines County)</t>
    </r>
    <r>
      <rPr>
        <vertAlign val="superscript"/>
        <sz val="10"/>
        <rFont val="Arial"/>
        <family val="2"/>
      </rPr>
      <t>h</t>
    </r>
  </si>
  <si>
    <t>Agreement signed 2/19/2007 - project completed</t>
  </si>
  <si>
    <r>
      <t>Lakeview OHV Park Upgrades (Dirt Surfers Inc.)</t>
    </r>
    <r>
      <rPr>
        <vertAlign val="superscript"/>
        <sz val="10"/>
        <rFont val="Arial"/>
        <family val="2"/>
      </rPr>
      <t>g</t>
    </r>
  </si>
  <si>
    <r>
      <t>Trail Projects in Wapello County (Wapello County)</t>
    </r>
    <r>
      <rPr>
        <vertAlign val="superscript"/>
        <sz val="10"/>
        <rFont val="Arial"/>
        <family val="2"/>
      </rPr>
      <t>a</t>
    </r>
  </si>
  <si>
    <t>c.  FY 2006 and FY 2008 Funding Rescinded by Local Sponsors - Funding Reallocated to SRT Projects in FY 2010</t>
  </si>
  <si>
    <t>d.  The initial $87,500 is from I-Jobs and the remaining $19,771 from rescinded funds from FY 2008.</t>
  </si>
  <si>
    <t>e.  Funding for 2 Projects Rescinded by Local Sponsors and a $32,543 project underrun - Funding Reallocated to SRT Projects in FY 2014</t>
  </si>
  <si>
    <t>g.  Identifies 2 Project Underruns - Funding Balance Reallocated to SRT Projects in FY 2017</t>
  </si>
  <si>
    <t>The FY 2018 SRT appropriation was for $1,000,000.  The total amount of SRT funding for projects listed in this report is over $1,200,000 as a result of awarding additional funding from previous project underruns.</t>
  </si>
  <si>
    <t xml:space="preserve">FY 2018 Railroad Revolving Loan and Grant Program </t>
  </si>
  <si>
    <t>Construction of approximately 9,800 lineal feet of track with 7 turnouts in order to meet the supply and demand needs of Sterilite</t>
  </si>
  <si>
    <t>$0</t>
  </si>
  <si>
    <t>Fall 2020</t>
  </si>
  <si>
    <t xml:space="preserve">The rehabilitation of the rail line between Emery and Clear Lake, Iowa on the Iowa Traction Railway.  The project consists of replacement of 3.6 mi of rail and will open up Clear Lake, Iowa for purpose of rail served industrail development on the community's east side in close proximity of I-35..  </t>
  </si>
  <si>
    <t xml:space="preserve">Pattison Sand Company </t>
  </si>
  <si>
    <t>Phase II of the project includes the required earthwork, the addition of 3,300 track feet and a rail scale resulting in 78 additional rail car spots.</t>
  </si>
  <si>
    <t>January 2020</t>
  </si>
  <si>
    <t>Pattison Sand Company</t>
  </si>
  <si>
    <t>In Agreement Phase - project also has federal funding</t>
  </si>
  <si>
    <t>January 2019</t>
  </si>
  <si>
    <t>4/13/216</t>
  </si>
  <si>
    <t>Project in process - extensive project, extension was granted</t>
  </si>
  <si>
    <t>January 2021</t>
  </si>
  <si>
    <t>Completed - unspent funds put back in pot</t>
  </si>
  <si>
    <t>Complete - remaining funds put back in pot</t>
  </si>
  <si>
    <t xml:space="preserve">FY 2018 - Rebuild Iowa Infrastructure Fund </t>
  </si>
  <si>
    <t>Three in-ground hoists  (partial funding---also see FY16, FY17)</t>
  </si>
  <si>
    <t>Awarded 8-1-2017</t>
  </si>
  <si>
    <t>Est. 7/10/19</t>
  </si>
  <si>
    <t>Cambus</t>
  </si>
  <si>
    <t>Maintenance facility rehab</t>
  </si>
  <si>
    <t>Humboldt land/construction of transit storage</t>
  </si>
  <si>
    <t>Three in-ground hoists  (partial funding---also see FY16, FY18)</t>
  </si>
  <si>
    <t>Three in-ground hoists  (partial funding---also see FY17, FY18)</t>
  </si>
  <si>
    <t>FY 2019 RIIF - General Aviation Vertical Infrastructure Program</t>
  </si>
  <si>
    <t>Algona Municipal Airport</t>
  </si>
  <si>
    <t>3 Stall Hangar Extension</t>
  </si>
  <si>
    <t>Construct 8 Unit T-Hangar</t>
  </si>
  <si>
    <t>In Design</t>
  </si>
  <si>
    <t>Paint and Repair Hangars</t>
  </si>
  <si>
    <t>Estherville Municipal Airport</t>
  </si>
  <si>
    <t>Hangar Paint and Roof Repairs</t>
  </si>
  <si>
    <t xml:space="preserve">Construct 100x100 Hangar </t>
  </si>
  <si>
    <t>Rehabilitate Hangar Doors</t>
  </si>
  <si>
    <t>Close Out</t>
  </si>
  <si>
    <t>Rehabilitate Hanger Bi-fold Doors</t>
  </si>
  <si>
    <t>Webster City Municipal Airport</t>
  </si>
  <si>
    <t>Terminal Building and Hangar Repairs</t>
  </si>
  <si>
    <t>FY 2019 RIIF - Commercial Service Vertical Infrastructure (CSVI) Projects</t>
  </si>
  <si>
    <t>Signage Improvements</t>
  </si>
  <si>
    <t>South Quadrant Site Imp. Phase 1</t>
  </si>
  <si>
    <t>Relocate Airfield Infrastructure and GA Terminal Renovations</t>
  </si>
  <si>
    <t>Renovate Maintance Facility, Hangars and AFSS Building</t>
  </si>
  <si>
    <t>Boiler Replacement</t>
  </si>
  <si>
    <t>Hangar Repair</t>
  </si>
  <si>
    <t>Hangar and Terminal Improvements</t>
  </si>
  <si>
    <t>Funding reserved for the Iowa City-North Liberty Passenger Rail Conceptual Feasibility Study - Phase 1 (Task C)</t>
  </si>
  <si>
    <t xml:space="preserve">FY 2019 Railroad Revolving Loan and Grant Program </t>
  </si>
  <si>
    <t xml:space="preserve">Heartland Goodwill </t>
  </si>
  <si>
    <t>Goodwill of the Heartland has contract to package vegetable oil for the USDA international and domestic food aid program – rail best way to transport these goods and are building a rail spur to connect to IAIS.  (IAIS)</t>
  </si>
  <si>
    <t>Agreement Phase</t>
  </si>
  <si>
    <t>Fall 2021</t>
  </si>
  <si>
    <t>Reconstruction of switches and track re-configuration along the Cedar River due to installation and impacts from the Cedar River flood control system being built to better protect Quaker Oats facility.</t>
  </si>
  <si>
    <t>EDA/City Match</t>
  </si>
  <si>
    <t>Phase III, which is a continuation of phase II by adding an additional 1,800 feet of track to the previously installed 3,330 feet of track adding an additional 78 rail car spots and a rail scale.</t>
  </si>
  <si>
    <t>Agreement signed</t>
  </si>
  <si>
    <t>Farmers Feed and Grain Company</t>
  </si>
  <si>
    <t>Rehabilitation of track and sidings at their grain elevator site.  The track is old and in poor condition.  Elevator owners want to re-connect it to CP mainline</t>
  </si>
  <si>
    <t>Keokuk Junction Railway</t>
  </si>
  <si>
    <t xml:space="preserve">Surfacing and tie replacement of a mainline switch along with surfacing and tie replacement of two heavily utilized yard tracks in Keokuk. </t>
  </si>
  <si>
    <t>Spring 2019</t>
  </si>
  <si>
    <t>Complete - will be making reimbursment requests this winter</t>
  </si>
  <si>
    <t>11/20/2018</t>
  </si>
  <si>
    <t>To be closed Summer 2019</t>
  </si>
  <si>
    <t>Project complete - remaining funds to go back in pot.</t>
  </si>
  <si>
    <t>8/13/2018</t>
  </si>
  <si>
    <t>Project complete - Certificate of completion pending</t>
  </si>
  <si>
    <t>Project complete - pending certificate of completion</t>
  </si>
  <si>
    <t>11/27/18</t>
  </si>
  <si>
    <t>Project Complete - Certificate of completion pending</t>
  </si>
  <si>
    <t>Project proposed to be withdrawn - project stalled</t>
  </si>
  <si>
    <t>Project in process - multiple extensions granted</t>
  </si>
  <si>
    <t>Summer 2019</t>
  </si>
  <si>
    <t>Complete -  (remaing funds back in pot)</t>
  </si>
  <si>
    <t xml:space="preserve">In process of finalizing  </t>
  </si>
  <si>
    <t>Cedar Valley Nature Trail Wolf Creek Bridge Replacement (Black Hawk County Conservation Board)</t>
  </si>
  <si>
    <t>State Recreational Trail (SRT) Fund, Regional Transportation Alternative funds and local fundraising</t>
  </si>
  <si>
    <t>Connecting Fort Madison! Phase 3-Community Hospital Connector (Fort Madison)</t>
  </si>
  <si>
    <t>State Recreational Trail (SRT) Fund, Regional Transportation Alternative funds and Wellmark Foundation Large Match Grant</t>
  </si>
  <si>
    <t>Davis County Regional Trail Construction-Phase 3 (Davis County and Davis County Trails Council)</t>
  </si>
  <si>
    <t>Agreement signed 11/28/2018 - work not started</t>
  </si>
  <si>
    <t>State Recreational Trail (SRT) Fund, Wellmark Foundation, DNR REAP City Park and Open Spaces and Davis County Trails Council</t>
  </si>
  <si>
    <t>Heart of Iowa Nature Trail-Slater to Huxley Hard Surfacing and Trail Improvements (Story County Conservation Board)</t>
  </si>
  <si>
    <t>State Recreational Trail (SRT) Fund, Regional Transportation Alternative funds and Story County Conservation</t>
  </si>
  <si>
    <t>Lake Belva Deer Area Trail-Phase 3 (Keokuk County and Keokuk County Highway Department)</t>
  </si>
  <si>
    <t>State Recreational Trail (SRT) Fund and Regional Transportation Alternative funds</t>
  </si>
  <si>
    <t>Agreement signed 12/27/2017 - development in process</t>
  </si>
  <si>
    <t>Agreement signed 2/1/2018 - development in process</t>
  </si>
  <si>
    <t>Agreement signed 3/19/2018- development in process</t>
  </si>
  <si>
    <t>Agreement signed 1/16/2018 - development in process</t>
  </si>
  <si>
    <t>Agreement signed 1/18/2017 - project completed</t>
  </si>
  <si>
    <t>Agreement signed 3/13/17 - development in process</t>
  </si>
  <si>
    <t>Agreement signed 5/18/17 - development in process</t>
  </si>
  <si>
    <t>Agreement signed 2/12/2016 - project completed</t>
  </si>
  <si>
    <t>Agreement signed 3/14/2016 - project completed</t>
  </si>
  <si>
    <r>
      <t>Hospital Connector Trail Bridge (Manning)</t>
    </r>
    <r>
      <rPr>
        <vertAlign val="superscript"/>
        <sz val="10"/>
        <color indexed="8"/>
        <rFont val="Arial"/>
        <family val="2"/>
      </rPr>
      <t>h</t>
    </r>
  </si>
  <si>
    <r>
      <t>Great River Road Bike Lane (Louisa County Secondary Roads)</t>
    </r>
    <r>
      <rPr>
        <vertAlign val="superscript"/>
        <sz val="10"/>
        <color indexed="8"/>
        <rFont val="Arial"/>
        <family val="2"/>
      </rPr>
      <t>i</t>
    </r>
  </si>
  <si>
    <t>i</t>
  </si>
  <si>
    <t>Agreement signed 12/14/2014 - project completed</t>
  </si>
  <si>
    <r>
      <t>Lake Path Trail/JewEllsworth Trail Segment (Hamilton County Conservation Board)</t>
    </r>
    <r>
      <rPr>
        <vertAlign val="superscript"/>
        <sz val="10"/>
        <color indexed="8"/>
        <rFont val="Arial"/>
        <family val="2"/>
      </rPr>
      <t>i</t>
    </r>
  </si>
  <si>
    <t>Agreement signed 1/6/2015 - project completed</t>
  </si>
  <si>
    <r>
      <t>Mississippi River Trail - Pikes Peak Road to Guttenberg (Clayton County)</t>
    </r>
    <r>
      <rPr>
        <vertAlign val="superscript"/>
        <sz val="10"/>
        <color indexed="8"/>
        <rFont val="Arial"/>
        <family val="2"/>
      </rPr>
      <t>i</t>
    </r>
  </si>
  <si>
    <t>Agreement signed 8/31/2015 -project completed</t>
  </si>
  <si>
    <t>Agreement signed 7/11/2013 - project completed</t>
  </si>
  <si>
    <r>
      <t>Bluff Creek OHV Park Development Plan (Iowa DNR)</t>
    </r>
    <r>
      <rPr>
        <vertAlign val="superscript"/>
        <sz val="10"/>
        <rFont val="Arial"/>
        <family val="2"/>
      </rPr>
      <t>i</t>
    </r>
  </si>
  <si>
    <t>Agreement signed 5/05/2012 - project completed</t>
  </si>
  <si>
    <r>
      <t xml:space="preserve">Allamakee County Mississippi River Bike Trail (Allamakee County and Allamakee County Economic Development) </t>
    </r>
    <r>
      <rPr>
        <vertAlign val="superscript"/>
        <sz val="10"/>
        <rFont val="Arial"/>
        <family val="2"/>
      </rPr>
      <t>h</t>
    </r>
  </si>
  <si>
    <t>Agreement signed 3/9/2009 - project completed</t>
  </si>
  <si>
    <t>Agreement signed 9/5/2007 - project completed</t>
  </si>
  <si>
    <r>
      <t>Cemar Trail - Phase 2 (Cedar Rapids)</t>
    </r>
    <r>
      <rPr>
        <vertAlign val="superscript"/>
        <sz val="10"/>
        <rFont val="Arial"/>
        <family val="2"/>
      </rPr>
      <t>i</t>
    </r>
    <r>
      <rPr>
        <sz val="10"/>
        <rFont val="Arial"/>
        <family val="2"/>
      </rPr>
      <t xml:space="preserve"> </t>
    </r>
    <r>
      <rPr>
        <sz val="10"/>
        <color rgb="FFFF0000"/>
        <rFont val="Arial"/>
        <family val="2"/>
      </rPr>
      <t xml:space="preserve"> </t>
    </r>
  </si>
  <si>
    <t>Agreement signed 1/12/2010 - project completed</t>
  </si>
  <si>
    <t>a.  Direct Appropriation from Iowa Legislature</t>
  </si>
  <si>
    <t>b.  Funds obligated per Department of Transportation Commission Order</t>
  </si>
  <si>
    <t>f.   Identifies 2 Projects funded through $1 million existing historic trail bridges allocation that was part of the FY 2015 appropriation</t>
  </si>
  <si>
    <t>h.  Identifies 4 Project Underruns - Funding Balance Reallocated to SRT Projects in FY 2018 (includes underrun for 2010 Allamakee Co. project that was included in error)</t>
  </si>
  <si>
    <t>i.   Identifies 5 Project Underruns - Funding Balance Reallocated to SRT Projects in FY 2019 (total underun balance applied adjusted for amount included in FY 2018 in error)</t>
  </si>
  <si>
    <t>The FY 2019 SRT appropriation was for $1,000,000.  The total amount of SRT funding for projects listed in this report is over $1,300,000 as a result of awarding additional funding from previous project underruns.</t>
  </si>
  <si>
    <t xml:space="preserve">FY 2019 - Rebuild Iowa Infrastructure Fund </t>
  </si>
  <si>
    <t>Bus washer and HVAC system</t>
  </si>
  <si>
    <t>Awarded 8-1-2018</t>
  </si>
  <si>
    <t>Est. 7/9/20</t>
  </si>
  <si>
    <t>Update electrical system</t>
  </si>
  <si>
    <t>Est. 7/9/19</t>
  </si>
  <si>
    <t>Earlville new bus storage facility</t>
  </si>
  <si>
    <t>Security cameras and vehicle fuel system</t>
  </si>
  <si>
    <t>Ottumwa bus storage facility (partial funding --also see FY12, FY14, FY17, FY18)</t>
  </si>
  <si>
    <t>Ottumwa bus storage facility (partial funding --also see FY12, FY14, FY17,  FY19)</t>
  </si>
  <si>
    <t>Ottumwa bus storage facility (partial funding --also see FY12, FY 14, FY18, FY19)</t>
  </si>
  <si>
    <t>Ottumwa bus storage facility (partial funding --also see FY12, FY17, FY18, FY19)</t>
  </si>
  <si>
    <t>Ottumwa bus storage facility (partial funding --also see FY14, FY17, FY18, FY19)</t>
  </si>
  <si>
    <t>Federal Transit Funds 
Local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</si>
</sst>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quot;$&quot;* #,##0.00_);_(&quot;$&quot;* \(#,##0.00\);_(&quot;$&quot;* &quot;-&quot;_);_(@_)"/>
    <numFmt numFmtId="170" formatCode="_(* #,##0_);_(* \(#,##0\);_(* &quot;-&quot;??_);_(@_)"/>
  </numFmts>
  <fonts count="3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sz val="10"/>
      <color rgb="FFFF0000"/>
      <name val="Arial"/>
      <family val="2"/>
    </font>
    <font>
      <b/>
      <sz val="12"/>
      <color rgb="FF00B050"/>
      <name val="Arial"/>
      <family val="2"/>
    </font>
    <font>
      <sz val="12"/>
      <color rgb="FF00B050"/>
      <name val="Arial"/>
      <family val="2"/>
    </font>
    <font>
      <sz val="11"/>
      <name val="Calibri"/>
      <family val="2"/>
      <scheme val="minor"/>
    </font>
    <font>
      <sz val="9"/>
      <color rgb="FFC00000"/>
      <name val="Arial"/>
      <family val="2"/>
    </font>
    <font>
      <sz val="8"/>
      <color rgb="FFC00000"/>
      <name val="Arial"/>
      <family val="2"/>
    </font>
    <font>
      <b/>
      <strike/>
      <sz val="12"/>
      <name val="Arial"/>
      <family val="2"/>
    </font>
    <font>
      <vertAlign val="superscript"/>
      <sz val="10"/>
      <color indexed="8"/>
      <name val="Arial"/>
      <family val="2"/>
    </font>
    <font>
      <vertAlign val="superscript"/>
      <sz val="10"/>
      <name val="Arial"/>
      <family val="2"/>
    </font>
    <font>
      <sz val="10"/>
      <color theme="0" tint="-0.499984740745262"/>
      <name val="Arial"/>
      <family val="2"/>
    </font>
    <font>
      <sz val="12"/>
      <color theme="1"/>
      <name val="Arial"/>
      <family val="2"/>
    </font>
    <font>
      <sz val="11"/>
      <color theme="1"/>
      <name val="Calibri"/>
      <family val="2"/>
    </font>
    <font>
      <sz val="11"/>
      <name val="Arial"/>
      <family val="2"/>
    </font>
    <font>
      <b/>
      <vertAlign val="superscript"/>
      <sz val="10"/>
      <name val="Arial"/>
      <family val="2"/>
    </font>
    <font>
      <sz val="12"/>
      <name val="Calibri"/>
      <family val="2"/>
    </font>
    <font>
      <sz val="12"/>
      <color theme="1"/>
      <name val="Calibri"/>
      <family val="2"/>
    </font>
  </fonts>
  <fills count="9">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s>
  <cellStyleXfs count="17">
    <xf numFmtId="0" fontId="0" fillId="0" borderId="0"/>
    <xf numFmtId="44" fontId="6" fillId="0" borderId="0" applyFont="0" applyFill="0" applyBorder="0" applyAlignment="0" applyProtection="0"/>
    <xf numFmtId="0" fontId="3" fillId="0" borderId="0"/>
    <xf numFmtId="0" fontId="5" fillId="0" borderId="0"/>
    <xf numFmtId="0" fontId="3" fillId="0" borderId="0"/>
    <xf numFmtId="0" fontId="3" fillId="0" borderId="0" applyBorder="0"/>
    <xf numFmtId="0" fontId="11" fillId="0" borderId="0"/>
    <xf numFmtId="44" fontId="3" fillId="0" borderId="0" applyFont="0" applyFill="0" applyBorder="0" applyAlignment="0" applyProtection="0"/>
    <xf numFmtId="0" fontId="10" fillId="0" borderId="0"/>
    <xf numFmtId="0" fontId="3" fillId="0" borderId="0" applyBorder="0"/>
    <xf numFmtId="43" fontId="6" fillId="0" borderId="0" applyFont="0" applyFill="0" applyBorder="0" applyAlignment="0" applyProtection="0"/>
    <xf numFmtId="0" fontId="3" fillId="0" borderId="0"/>
    <xf numFmtId="0" fontId="16" fillId="0" borderId="0"/>
    <xf numFmtId="44" fontId="3" fillId="0" borderId="0" applyFont="0" applyFill="0" applyBorder="0" applyAlignment="0" applyProtection="0"/>
    <xf numFmtId="0" fontId="2" fillId="0" borderId="0"/>
    <xf numFmtId="44" fontId="6" fillId="0" borderId="0" applyFont="0" applyFill="0" applyBorder="0" applyAlignment="0" applyProtection="0"/>
    <xf numFmtId="0" fontId="1" fillId="0" borderId="0"/>
  </cellStyleXfs>
  <cellXfs count="637">
    <xf numFmtId="0" fontId="0" fillId="0" borderId="0" xfId="0"/>
    <xf numFmtId="0" fontId="0" fillId="0" borderId="0" xfId="0" applyAlignment="1">
      <alignment wrapText="1"/>
    </xf>
    <xf numFmtId="0" fontId="0" fillId="0" borderId="1" xfId="0" applyBorder="1" applyAlignment="1">
      <alignment wrapText="1"/>
    </xf>
    <xf numFmtId="0" fontId="0" fillId="0" borderId="0" xfId="0" applyFill="1"/>
    <xf numFmtId="0" fontId="4" fillId="0" borderId="0" xfId="0" applyFont="1" applyAlignment="1">
      <alignment horizontal="right" wrapText="1"/>
    </xf>
    <xf numFmtId="165" fontId="4" fillId="0" borderId="0" xfId="0" applyNumberFormat="1" applyFont="1" applyAlignment="1">
      <alignment horizontal="left" wrapText="1"/>
    </xf>
    <xf numFmtId="165" fontId="4" fillId="0" borderId="0" xfId="0" applyNumberFormat="1" applyFont="1" applyAlignment="1">
      <alignment horizontal="right" wrapText="1"/>
    </xf>
    <xf numFmtId="164" fontId="4" fillId="3" borderId="3" xfId="0" applyNumberFormat="1" applyFont="1" applyFill="1" applyBorder="1" applyAlignment="1">
      <alignment horizontal="left" wrapText="1"/>
    </xf>
    <xf numFmtId="164" fontId="4" fillId="3" borderId="2" xfId="0" applyNumberFormat="1" applyFont="1" applyFill="1" applyBorder="1" applyAlignment="1">
      <alignment horizontal="right" wrapText="1"/>
    </xf>
    <xf numFmtId="164" fontId="4" fillId="3" borderId="1" xfId="0" applyNumberFormat="1" applyFont="1" applyFill="1" applyBorder="1" applyAlignment="1">
      <alignment horizontal="right" wrapText="1"/>
    </xf>
    <xf numFmtId="0" fontId="0" fillId="0" borderId="1" xfId="0" applyFill="1" applyBorder="1" applyAlignment="1">
      <alignment wrapText="1"/>
    </xf>
    <xf numFmtId="0" fontId="3" fillId="0" borderId="1" xfId="0" applyFont="1" applyBorder="1" applyAlignment="1">
      <alignment wrapText="1"/>
    </xf>
    <xf numFmtId="14" fontId="3" fillId="3" borderId="1" xfId="0" applyNumberFormat="1" applyFont="1" applyFill="1" applyBorder="1" applyAlignment="1">
      <alignment horizontal="center" wrapText="1"/>
    </xf>
    <xf numFmtId="0" fontId="3" fillId="0" borderId="1" xfId="0" applyFont="1" applyFill="1" applyBorder="1" applyAlignment="1">
      <alignment wrapText="1"/>
    </xf>
    <xf numFmtId="0" fontId="7" fillId="2" borderId="1" xfId="3" applyFont="1" applyFill="1" applyBorder="1" applyAlignment="1">
      <alignment horizontal="center" wrapText="1"/>
    </xf>
    <xf numFmtId="0" fontId="8" fillId="0" borderId="0" xfId="0" applyFont="1" applyAlignment="1">
      <alignment vertical="center"/>
    </xf>
    <xf numFmtId="0" fontId="3" fillId="2" borderId="1" xfId="5" applyFont="1" applyFill="1" applyBorder="1" applyAlignment="1">
      <alignment horizontal="left" vertical="center"/>
    </xf>
    <xf numFmtId="0" fontId="3" fillId="2" borderId="1" xfId="5" applyFont="1" applyFill="1" applyBorder="1" applyAlignment="1">
      <alignment horizontal="left" vertical="center" wrapText="1"/>
    </xf>
    <xf numFmtId="164" fontId="3" fillId="2" borderId="1" xfId="5" applyNumberFormat="1" applyFont="1" applyFill="1" applyBorder="1" applyAlignment="1">
      <alignment horizontal="center" vertical="center" wrapText="1"/>
    </xf>
    <xf numFmtId="44" fontId="3" fillId="2" borderId="1" xfId="5" applyNumberFormat="1" applyFont="1" applyFill="1" applyBorder="1" applyAlignment="1">
      <alignment horizontal="center" vertical="center" wrapText="1"/>
    </xf>
    <xf numFmtId="0" fontId="10" fillId="0" borderId="0" xfId="5" applyFont="1" applyAlignment="1">
      <alignment horizontal="center" vertical="center"/>
    </xf>
    <xf numFmtId="164" fontId="3"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10" fillId="0" borderId="0" xfId="0" applyFont="1" applyAlignment="1">
      <alignment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164" fontId="3" fillId="2" borderId="1" xfId="0" applyNumberFormat="1" applyFont="1" applyFill="1" applyBorder="1" applyAlignment="1">
      <alignment horizontal="center" vertical="center"/>
    </xf>
    <xf numFmtId="164" fontId="3" fillId="2" borderId="1" xfId="7"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5" applyFont="1" applyAlignment="1">
      <alignment horizontal="left" vertical="center"/>
    </xf>
    <xf numFmtId="0" fontId="3" fillId="0" borderId="0" xfId="5" applyFont="1" applyAlignment="1">
      <alignment horizontal="left" vertical="center" wrapText="1"/>
    </xf>
    <xf numFmtId="164" fontId="3" fillId="0" borderId="0" xfId="5" applyNumberFormat="1" applyFont="1" applyAlignment="1">
      <alignment horizontal="center" vertical="center"/>
    </xf>
    <xf numFmtId="164" fontId="3" fillId="0" borderId="0" xfId="5" applyNumberFormat="1" applyFont="1" applyAlignment="1">
      <alignment horizontal="center" vertical="center" wrapText="1"/>
    </xf>
    <xf numFmtId="44" fontId="3" fillId="0" borderId="0" xfId="5" applyNumberFormat="1" applyFont="1" applyAlignment="1">
      <alignment horizontal="center" vertical="center" wrapText="1"/>
    </xf>
    <xf numFmtId="0" fontId="3" fillId="0" borderId="0" xfId="5" applyFont="1" applyAlignment="1">
      <alignment horizontal="center" vertical="center"/>
    </xf>
    <xf numFmtId="0" fontId="3" fillId="0" borderId="1" xfId="0" applyFont="1" applyFill="1" applyBorder="1" applyAlignment="1">
      <alignment vertical="center" wrapText="1"/>
    </xf>
    <xf numFmtId="44" fontId="3" fillId="0" borderId="1" xfId="0" applyNumberFormat="1" applyFont="1" applyBorder="1" applyAlignment="1">
      <alignment horizontal="center" vertical="center" wrapText="1"/>
    </xf>
    <xf numFmtId="0" fontId="3" fillId="2" borderId="1" xfId="5" applyFont="1" applyFill="1" applyBorder="1" applyAlignment="1">
      <alignment horizontal="center" vertical="center"/>
    </xf>
    <xf numFmtId="164" fontId="3" fillId="0" borderId="1" xfId="0" applyNumberFormat="1" applyFont="1" applyBorder="1" applyAlignment="1">
      <alignment horizontal="center" vertical="center" wrapText="1"/>
    </xf>
    <xf numFmtId="164" fontId="3" fillId="2" borderId="1" xfId="5" applyNumberFormat="1" applyFont="1" applyFill="1" applyBorder="1" applyAlignment="1">
      <alignment horizontal="center" vertical="center"/>
    </xf>
    <xf numFmtId="164" fontId="3" fillId="2" borderId="1" xfId="5" applyNumberFormat="1" applyFont="1" applyFill="1" applyBorder="1" applyAlignment="1">
      <alignment horizontal="right" vertical="center"/>
    </xf>
    <xf numFmtId="44" fontId="3" fillId="2" borderId="1" xfId="5" applyNumberFormat="1" applyFont="1" applyFill="1" applyBorder="1" applyAlignment="1">
      <alignment horizontal="left" vertical="center" wrapText="1"/>
    </xf>
    <xf numFmtId="164" fontId="10" fillId="2" borderId="1" xfId="5" applyNumberFormat="1" applyFont="1" applyFill="1" applyBorder="1" applyAlignment="1">
      <alignment horizontal="center" vertical="center" wrapText="1"/>
    </xf>
    <xf numFmtId="44" fontId="10" fillId="2" borderId="1" xfId="5"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64" fontId="9" fillId="0" borderId="1" xfId="0" applyNumberFormat="1" applyFont="1" applyBorder="1" applyAlignment="1">
      <alignment vertical="center"/>
    </xf>
    <xf numFmtId="164" fontId="10" fillId="0" borderId="1" xfId="0" applyNumberFormat="1" applyFont="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xf>
    <xf numFmtId="164" fontId="10" fillId="0" borderId="1" xfId="2" applyNumberFormat="1" applyFont="1" applyBorder="1" applyAlignment="1">
      <alignment vertical="center"/>
    </xf>
    <xf numFmtId="6" fontId="10" fillId="0" borderId="1" xfId="0" applyNumberFormat="1" applyFont="1" applyFill="1" applyBorder="1" applyAlignment="1">
      <alignment horizontal="center" vertical="center" wrapText="1"/>
    </xf>
    <xf numFmtId="6" fontId="10" fillId="0" borderId="1" xfId="2" applyNumberFormat="1" applyFont="1" applyBorder="1" applyAlignment="1">
      <alignment vertical="center"/>
    </xf>
    <xf numFmtId="6" fontId="10" fillId="0" borderId="1" xfId="0" applyNumberFormat="1" applyFont="1" applyBorder="1" applyAlignment="1">
      <alignment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vertical="center"/>
    </xf>
    <xf numFmtId="0" fontId="10" fillId="0" borderId="1" xfId="0" applyFont="1" applyFill="1" applyBorder="1" applyAlignment="1">
      <alignment vertical="center"/>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Border="1" applyAlignment="1">
      <alignment vertical="center" wrapText="1"/>
    </xf>
    <xf numFmtId="6"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0" fontId="10" fillId="6" borderId="0" xfId="0" applyFont="1" applyFill="1" applyAlignment="1">
      <alignment horizontal="center" vertical="center" wrapText="1"/>
    </xf>
    <xf numFmtId="0" fontId="10" fillId="6" borderId="0" xfId="0" applyFont="1" applyFill="1" applyAlignment="1">
      <alignment horizontal="center" vertical="center"/>
    </xf>
    <xf numFmtId="164" fontId="10" fillId="6" borderId="0" xfId="0" applyNumberFormat="1" applyFont="1" applyFill="1" applyAlignment="1">
      <alignment vertical="center"/>
    </xf>
    <xf numFmtId="0" fontId="10" fillId="6" borderId="1" xfId="0" applyFont="1" applyFill="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164" fontId="10" fillId="0" borderId="0" xfId="0" applyNumberFormat="1" applyFont="1" applyBorder="1" applyAlignment="1">
      <alignment vertical="center"/>
    </xf>
    <xf numFmtId="164" fontId="10" fillId="0" borderId="0" xfId="0" applyNumberFormat="1" applyFont="1" applyBorder="1"/>
    <xf numFmtId="0" fontId="10" fillId="0" borderId="0"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left" vertical="center"/>
    </xf>
    <xf numFmtId="164" fontId="10" fillId="0" borderId="1" xfId="0" applyNumberFormat="1" applyFont="1" applyBorder="1"/>
    <xf numFmtId="0" fontId="10" fillId="0" borderId="1" xfId="0" applyFont="1" applyBorder="1" applyAlignment="1">
      <alignment horizontal="center" wrapText="1"/>
    </xf>
    <xf numFmtId="0" fontId="9" fillId="0" borderId="1" xfId="0" applyFont="1" applyBorder="1" applyAlignment="1">
      <alignment vertical="center" wrapText="1"/>
    </xf>
    <xf numFmtId="0" fontId="10" fillId="0" borderId="1" xfId="0" applyFont="1" applyBorder="1" applyAlignment="1">
      <alignment wrapText="1"/>
    </xf>
    <xf numFmtId="6" fontId="10" fillId="0" borderId="5" xfId="0" applyNumberFormat="1" applyFont="1" applyFill="1" applyBorder="1" applyAlignment="1">
      <alignment horizontal="center" vertical="center" wrapText="1"/>
    </xf>
    <xf numFmtId="164" fontId="10" fillId="0" borderId="5" xfId="0" applyNumberFormat="1" applyFont="1" applyFill="1" applyBorder="1" applyAlignment="1">
      <alignment vertical="center"/>
    </xf>
    <xf numFmtId="0" fontId="10" fillId="0" borderId="1" xfId="8" applyFont="1" applyFill="1" applyBorder="1" applyAlignment="1">
      <alignment vertical="center" wrapText="1"/>
    </xf>
    <xf numFmtId="0" fontId="10" fillId="0" borderId="1" xfId="8" applyFont="1" applyFill="1" applyBorder="1" applyAlignment="1">
      <alignment horizontal="left" vertical="center"/>
    </xf>
    <xf numFmtId="0" fontId="10" fillId="0" borderId="5" xfId="0" applyFont="1" applyFill="1" applyBorder="1" applyAlignment="1">
      <alignment horizontal="left" vertical="center" wrapText="1"/>
    </xf>
    <xf numFmtId="14" fontId="10" fillId="0" borderId="1" xfId="0" applyNumberFormat="1" applyFont="1" applyFill="1" applyBorder="1" applyAlignment="1">
      <alignment horizontal="right" vertical="center" wrapText="1"/>
    </xf>
    <xf numFmtId="14" fontId="10" fillId="0" borderId="1" xfId="0" applyNumberFormat="1" applyFont="1" applyFill="1" applyBorder="1" applyAlignment="1">
      <alignment horizontal="right" vertical="center"/>
    </xf>
    <xf numFmtId="6" fontId="10" fillId="0" borderId="1" xfId="0" applyNumberFormat="1" applyFont="1" applyFill="1" applyBorder="1" applyAlignment="1">
      <alignment vertical="center"/>
    </xf>
    <xf numFmtId="49" fontId="14" fillId="0" borderId="1" xfId="0" applyNumberFormat="1" applyFont="1" applyFill="1" applyBorder="1" applyAlignment="1">
      <alignment horizontal="right" vertical="center"/>
    </xf>
    <xf numFmtId="0" fontId="14" fillId="0" borderId="1" xfId="0" applyFont="1" applyFill="1" applyBorder="1" applyAlignment="1">
      <alignment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164" fontId="9" fillId="6" borderId="0" xfId="0" applyNumberFormat="1" applyFont="1" applyFill="1" applyAlignment="1">
      <alignment horizontal="center" vertical="center" wrapText="1"/>
    </xf>
    <xf numFmtId="14" fontId="10" fillId="0" borderId="0" xfId="0" applyNumberFormat="1" applyFont="1" applyFill="1" applyBorder="1" applyAlignment="1">
      <alignment horizontal="center" vertical="center"/>
    </xf>
    <xf numFmtId="6" fontId="10" fillId="0" borderId="0" xfId="0" applyNumberFormat="1" applyFont="1" applyFill="1" applyBorder="1" applyAlignment="1">
      <alignment horizontal="center" vertical="center" wrapText="1"/>
    </xf>
    <xf numFmtId="6" fontId="10" fillId="0" borderId="0" xfId="0" applyNumberFormat="1" applyFont="1" applyBorder="1" applyAlignment="1">
      <alignment vertical="center"/>
    </xf>
    <xf numFmtId="0" fontId="10" fillId="0" borderId="0" xfId="0" applyFont="1" applyBorder="1" applyAlignment="1">
      <alignment vertical="center" wrapText="1"/>
    </xf>
    <xf numFmtId="6" fontId="9" fillId="0" borderId="1" xfId="0" applyNumberFormat="1" applyFont="1" applyBorder="1" applyAlignment="1">
      <alignment vertical="center"/>
    </xf>
    <xf numFmtId="0" fontId="10" fillId="0" borderId="5" xfId="0" applyFont="1" applyFill="1" applyBorder="1" applyAlignment="1">
      <alignment vertical="center" wrapText="1"/>
    </xf>
    <xf numFmtId="0" fontId="10" fillId="0" borderId="5" xfId="0" applyFont="1" applyFill="1" applyBorder="1" applyAlignment="1">
      <alignment horizontal="left" vertical="center"/>
    </xf>
    <xf numFmtId="6" fontId="10" fillId="0" borderId="5" xfId="0" applyNumberFormat="1" applyFont="1" applyFill="1" applyBorder="1" applyAlignment="1">
      <alignment vertical="center"/>
    </xf>
    <xf numFmtId="0" fontId="10" fillId="0" borderId="0" xfId="8" applyFont="1" applyFill="1" applyAlignment="1">
      <alignment vertical="center" wrapText="1"/>
    </xf>
    <xf numFmtId="164" fontId="10" fillId="6" borderId="0" xfId="0" applyNumberFormat="1" applyFont="1" applyFill="1"/>
    <xf numFmtId="0" fontId="10" fillId="6" borderId="6" xfId="0" applyFont="1" applyFill="1" applyBorder="1" applyAlignment="1">
      <alignment horizontal="center" vertical="center" wrapText="1"/>
    </xf>
    <xf numFmtId="0" fontId="10" fillId="6" borderId="6" xfId="0" applyFont="1" applyFill="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center"/>
    </xf>
    <xf numFmtId="0" fontId="9" fillId="0" borderId="1" xfId="0" applyFont="1" applyBorder="1"/>
    <xf numFmtId="0" fontId="9" fillId="0" borderId="1" xfId="0" applyFont="1" applyBorder="1" applyAlignment="1">
      <alignment horizontal="center" wrapText="1"/>
    </xf>
    <xf numFmtId="6" fontId="10" fillId="0" borderId="1" xfId="0" applyNumberFormat="1" applyFont="1" applyFill="1" applyBorder="1" applyAlignment="1">
      <alignment horizontal="center" wrapText="1"/>
    </xf>
    <xf numFmtId="0" fontId="9" fillId="5" borderId="1" xfId="0" applyFont="1" applyFill="1" applyBorder="1" applyAlignment="1">
      <alignment horizontal="center" wrapText="1"/>
    </xf>
    <xf numFmtId="164" fontId="10" fillId="0" borderId="1" xfId="8" applyNumberFormat="1" applyFont="1" applyFill="1" applyBorder="1" applyAlignment="1">
      <alignment horizontal="right" vertical="center"/>
    </xf>
    <xf numFmtId="6" fontId="10" fillId="0" borderId="1" xfId="2" applyNumberFormat="1" applyFont="1" applyFill="1" applyBorder="1" applyAlignment="1">
      <alignment horizontal="right" vertical="center"/>
    </xf>
    <xf numFmtId="6" fontId="3" fillId="0" borderId="1" xfId="0" applyNumberFormat="1" applyFont="1" applyFill="1" applyBorder="1" applyAlignment="1">
      <alignment horizontal="center" wrapText="1"/>
    </xf>
    <xf numFmtId="6" fontId="3" fillId="0" borderId="1" xfId="0" applyNumberFormat="1" applyFont="1" applyFill="1" applyBorder="1" applyAlignment="1">
      <alignment horizontal="center" vertical="center" wrapText="1"/>
    </xf>
    <xf numFmtId="0" fontId="10" fillId="0" borderId="1" xfId="8" applyFont="1" applyFill="1" applyBorder="1" applyAlignment="1">
      <alignment vertical="center"/>
    </xf>
    <xf numFmtId="0" fontId="10" fillId="2" borderId="6" xfId="5" applyFont="1" applyFill="1" applyBorder="1" applyAlignment="1">
      <alignment horizontal="center" vertical="center"/>
    </xf>
    <xf numFmtId="0" fontId="10" fillId="2" borderId="6" xfId="5" applyFont="1" applyFill="1" applyBorder="1" applyAlignment="1">
      <alignment horizontal="center" vertical="center" wrapText="1"/>
    </xf>
    <xf numFmtId="164" fontId="10" fillId="2" borderId="6" xfId="5" applyNumberFormat="1" applyFont="1" applyFill="1" applyBorder="1" applyAlignment="1">
      <alignment horizontal="center" vertical="center" wrapText="1"/>
    </xf>
    <xf numFmtId="44" fontId="10" fillId="2" borderId="6" xfId="5" applyNumberFormat="1" applyFont="1" applyFill="1" applyBorder="1" applyAlignment="1">
      <alignment horizontal="center" vertical="center" wrapText="1"/>
    </xf>
    <xf numFmtId="0" fontId="0" fillId="0" borderId="1" xfId="0" applyBorder="1"/>
    <xf numFmtId="6" fontId="0" fillId="0" borderId="1" xfId="0" applyNumberFormat="1" applyBorder="1"/>
    <xf numFmtId="14" fontId="0" fillId="0" borderId="1" xfId="0" applyNumberFormat="1" applyBorder="1"/>
    <xf numFmtId="0" fontId="0" fillId="7" borderId="1" xfId="0" applyFill="1" applyBorder="1"/>
    <xf numFmtId="165" fontId="0" fillId="7" borderId="1" xfId="0" applyNumberFormat="1" applyFill="1" applyBorder="1"/>
    <xf numFmtId="0" fontId="3" fillId="0" borderId="0" xfId="0" applyFont="1"/>
    <xf numFmtId="0" fontId="0" fillId="0" borderId="0" xfId="0" applyAlignment="1">
      <alignment horizontal="center" vertical="center"/>
    </xf>
    <xf numFmtId="0" fontId="10" fillId="2" borderId="1" xfId="5" applyFont="1" applyFill="1" applyBorder="1" applyAlignment="1">
      <alignment horizontal="center" vertical="center" wrapText="1"/>
    </xf>
    <xf numFmtId="166" fontId="0" fillId="0" borderId="1" xfId="7" applyNumberFormat="1" applyFont="1" applyBorder="1"/>
    <xf numFmtId="166" fontId="3" fillId="0" borderId="1" xfId="7" applyNumberFormat="1" applyFont="1" applyBorder="1"/>
    <xf numFmtId="14" fontId="0" fillId="0" borderId="1" xfId="0" applyNumberFormat="1" applyBorder="1" applyAlignment="1">
      <alignment horizontal="center"/>
    </xf>
    <xf numFmtId="14" fontId="3" fillId="0" borderId="1" xfId="0" applyNumberFormat="1" applyFont="1" applyBorder="1" applyAlignment="1">
      <alignment horizontal="center"/>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3" fillId="0" borderId="1" xfId="7" applyNumberFormat="1" applyFont="1" applyBorder="1"/>
    <xf numFmtId="164" fontId="0" fillId="7" borderId="1" xfId="0" applyNumberFormat="1" applyFill="1" applyBorder="1"/>
    <xf numFmtId="5" fontId="0" fillId="0" borderId="1" xfId="7" applyNumberFormat="1" applyFont="1" applyBorder="1"/>
    <xf numFmtId="6" fontId="3" fillId="0" borderId="1" xfId="0" applyNumberFormat="1" applyFont="1" applyBorder="1"/>
    <xf numFmtId="165" fontId="3" fillId="7" borderId="1" xfId="7" applyNumberFormat="1" applyFont="1" applyFill="1" applyBorder="1"/>
    <xf numFmtId="0" fontId="10" fillId="2" borderId="1" xfId="5" applyFont="1" applyFill="1" applyBorder="1" applyAlignment="1">
      <alignment horizontal="center" vertical="center"/>
    </xf>
    <xf numFmtId="0" fontId="10" fillId="2" borderId="0" xfId="5" applyFont="1" applyFill="1" applyAlignment="1">
      <alignment horizontal="center" vertical="center"/>
    </xf>
    <xf numFmtId="164" fontId="10" fillId="2" borderId="1" xfId="5" applyNumberFormat="1" applyFont="1" applyFill="1" applyBorder="1" applyAlignment="1">
      <alignment vertical="center"/>
    </xf>
    <xf numFmtId="164" fontId="10" fillId="2" borderId="1" xfId="5" applyNumberFormat="1" applyFont="1" applyFill="1" applyBorder="1" applyAlignment="1">
      <alignment horizontal="right" vertical="center"/>
    </xf>
    <xf numFmtId="44" fontId="10" fillId="2" borderId="1" xfId="5" applyNumberFormat="1" applyFont="1" applyFill="1" applyBorder="1" applyAlignment="1">
      <alignment horizontal="left" vertical="center" wrapText="1"/>
    </xf>
    <xf numFmtId="164" fontId="10" fillId="2" borderId="1" xfId="5" applyNumberFormat="1" applyFont="1" applyFill="1" applyBorder="1" applyAlignment="1">
      <alignment vertical="center" wrapText="1"/>
    </xf>
    <xf numFmtId="164" fontId="3" fillId="0" borderId="0" xfId="5" applyNumberFormat="1" applyFont="1" applyAlignment="1">
      <alignment vertical="center"/>
    </xf>
    <xf numFmtId="164" fontId="3" fillId="0" borderId="0" xfId="5" applyNumberFormat="1" applyFont="1" applyAlignment="1">
      <alignment horizontal="right" vertical="center"/>
    </xf>
    <xf numFmtId="44" fontId="3" fillId="0" borderId="0" xfId="5" applyNumberFormat="1" applyFont="1" applyAlignment="1">
      <alignment horizontal="lef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3" fillId="0" borderId="1" xfId="0" applyNumberFormat="1" applyFont="1" applyBorder="1" applyAlignment="1">
      <alignment vertical="center"/>
    </xf>
    <xf numFmtId="0" fontId="3" fillId="0" borderId="1" xfId="0" applyFont="1" applyFill="1" applyBorder="1" applyAlignment="1">
      <alignment vertical="center"/>
    </xf>
    <xf numFmtId="164" fontId="3" fillId="0" borderId="1" xfId="0" applyNumberFormat="1" applyFont="1" applyFill="1" applyBorder="1" applyAlignment="1">
      <alignment horizontal="right" vertical="center" wrapText="1"/>
    </xf>
    <xf numFmtId="164" fontId="0" fillId="0" borderId="1" xfId="0" applyNumberFormat="1" applyFill="1" applyBorder="1" applyAlignment="1">
      <alignment vertical="center"/>
    </xf>
    <xf numFmtId="164" fontId="3" fillId="2" borderId="1" xfId="5" applyNumberFormat="1" applyFont="1" applyFill="1" applyBorder="1" applyAlignment="1">
      <alignment vertical="center"/>
    </xf>
    <xf numFmtId="164" fontId="0" fillId="0" borderId="0" xfId="0" applyNumberFormat="1" applyAlignment="1">
      <alignment horizontal="center" wrapText="1"/>
    </xf>
    <xf numFmtId="14" fontId="0" fillId="0" borderId="0" xfId="0" applyNumberFormat="1"/>
    <xf numFmtId="14" fontId="0" fillId="0" borderId="10" xfId="0" applyNumberFormat="1" applyBorder="1" applyAlignment="1">
      <alignment horizontal="center" vertical="center"/>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14" fontId="0" fillId="2" borderId="1" xfId="0" applyNumberFormat="1" applyFill="1" applyBorder="1" applyAlignment="1">
      <alignment vertical="center"/>
    </xf>
    <xf numFmtId="0" fontId="10" fillId="2" borderId="1" xfId="9" applyFont="1" applyFill="1" applyBorder="1" applyAlignment="1">
      <alignment horizontal="center" vertical="center" wrapText="1"/>
    </xf>
    <xf numFmtId="164" fontId="10" fillId="2" borderId="1" xfId="9" applyNumberFormat="1" applyFont="1" applyFill="1" applyBorder="1" applyAlignment="1">
      <alignment horizontal="center" vertical="center" wrapText="1"/>
    </xf>
    <xf numFmtId="44" fontId="10" fillId="2" borderId="1" xfId="9" applyNumberFormat="1" applyFont="1" applyFill="1" applyBorder="1" applyAlignment="1">
      <alignment horizontal="center" vertical="center" wrapText="1"/>
    </xf>
    <xf numFmtId="0" fontId="10" fillId="2" borderId="1" xfId="9" applyFont="1" applyFill="1" applyBorder="1" applyAlignment="1">
      <alignment horizontal="center" vertical="center"/>
    </xf>
    <xf numFmtId="42" fontId="10" fillId="2" borderId="1" xfId="9" applyNumberFormat="1" applyFont="1" applyFill="1" applyBorder="1" applyAlignment="1">
      <alignment vertical="center"/>
    </xf>
    <xf numFmtId="42" fontId="10" fillId="2" borderId="1" xfId="9" applyNumberFormat="1" applyFont="1" applyFill="1" applyBorder="1" applyAlignment="1">
      <alignment horizontal="right" vertical="center"/>
    </xf>
    <xf numFmtId="44" fontId="10" fillId="2" borderId="1" xfId="9" applyNumberFormat="1" applyFont="1" applyFill="1" applyBorder="1" applyAlignment="1">
      <alignment horizontal="left" vertical="center" wrapText="1"/>
    </xf>
    <xf numFmtId="0" fontId="10" fillId="4" borderId="4" xfId="9" applyFont="1" applyFill="1" applyBorder="1" applyAlignment="1">
      <alignment horizontal="center" vertical="center"/>
    </xf>
    <xf numFmtId="42" fontId="10" fillId="4" borderId="4" xfId="9" applyNumberFormat="1" applyFont="1" applyFill="1" applyBorder="1" applyAlignment="1">
      <alignment vertical="center"/>
    </xf>
    <xf numFmtId="164" fontId="10" fillId="4" borderId="4" xfId="9" applyNumberFormat="1" applyFont="1" applyFill="1" applyBorder="1" applyAlignment="1">
      <alignment horizontal="center" vertical="center" wrapText="1"/>
    </xf>
    <xf numFmtId="42" fontId="10" fillId="4" borderId="4" xfId="9" applyNumberFormat="1" applyFont="1" applyFill="1" applyBorder="1" applyAlignment="1">
      <alignment horizontal="right" vertical="center"/>
    </xf>
    <xf numFmtId="44" fontId="10" fillId="4" borderId="4" xfId="9" applyNumberFormat="1" applyFont="1" applyFill="1" applyBorder="1" applyAlignment="1">
      <alignment horizontal="left" vertical="center" wrapText="1"/>
    </xf>
    <xf numFmtId="44" fontId="10" fillId="4" borderId="4" xfId="9" applyNumberFormat="1"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6" xfId="0" applyFont="1" applyFill="1" applyBorder="1" applyAlignment="1">
      <alignment horizontal="right" vertical="center" wrapText="1"/>
    </xf>
    <xf numFmtId="164" fontId="3" fillId="2" borderId="6" xfId="0" applyNumberFormat="1"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wrapText="1"/>
    </xf>
    <xf numFmtId="0" fontId="3" fillId="0" borderId="0" xfId="0" applyFont="1" applyAlignment="1">
      <alignment horizontal="left"/>
    </xf>
    <xf numFmtId="164" fontId="10" fillId="7" borderId="1" xfId="5" applyNumberFormat="1" applyFont="1" applyFill="1" applyBorder="1" applyAlignment="1">
      <alignment horizontal="center" vertical="center" wrapText="1"/>
    </xf>
    <xf numFmtId="44" fontId="10" fillId="7" borderId="1" xfId="5" applyNumberFormat="1" applyFont="1" applyFill="1" applyBorder="1" applyAlignment="1">
      <alignment horizontal="center" vertical="center" wrapText="1"/>
    </xf>
    <xf numFmtId="0" fontId="0" fillId="0" borderId="1" xfId="0" applyFill="1" applyBorder="1"/>
    <xf numFmtId="14" fontId="0" fillId="0" borderId="1" xfId="0" applyNumberFormat="1" applyFill="1" applyBorder="1"/>
    <xf numFmtId="0" fontId="3" fillId="0" borderId="1" xfId="0" applyFont="1" applyFill="1" applyBorder="1"/>
    <xf numFmtId="14" fontId="3" fillId="0" borderId="1" xfId="0" applyNumberFormat="1" applyFont="1" applyFill="1" applyBorder="1"/>
    <xf numFmtId="14" fontId="3" fillId="0" borderId="1" xfId="0" applyNumberFormat="1" applyFont="1" applyBorder="1"/>
    <xf numFmtId="164" fontId="10"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0" fontId="10" fillId="0" borderId="1" xfId="8" applyFont="1" applyFill="1" applyBorder="1" applyAlignment="1">
      <alignment horizontal="left" vertical="center" wrapText="1"/>
    </xf>
    <xf numFmtId="164" fontId="10" fillId="0" borderId="1" xfId="0" applyNumberFormat="1" applyFont="1" applyBorder="1" applyAlignment="1">
      <alignment horizontal="center" wrapText="1"/>
    </xf>
    <xf numFmtId="6" fontId="9" fillId="0" borderId="1" xfId="0" applyNumberFormat="1" applyFont="1" applyBorder="1" applyAlignment="1"/>
    <xf numFmtId="164" fontId="10" fillId="0" borderId="1" xfId="0" applyNumberFormat="1" applyFont="1" applyFill="1" applyBorder="1" applyAlignment="1">
      <alignment horizontal="right" vertical="center"/>
    </xf>
    <xf numFmtId="164" fontId="10" fillId="0" borderId="6" xfId="0" applyNumberFormat="1" applyFont="1" applyFill="1" applyBorder="1" applyAlignment="1">
      <alignment horizontal="right" vertical="center"/>
    </xf>
    <xf numFmtId="164" fontId="10" fillId="0" borderId="0" xfId="0" applyNumberFormat="1" applyFont="1" applyFill="1" applyAlignment="1">
      <alignment horizontal="right"/>
    </xf>
    <xf numFmtId="164" fontId="10" fillId="0" borderId="1" xfId="2" applyNumberFormat="1" applyFont="1" applyFill="1" applyBorder="1" applyAlignment="1">
      <alignment vertical="center"/>
    </xf>
    <xf numFmtId="164" fontId="3" fillId="0" borderId="1" xfId="7" applyNumberFormat="1" applyFont="1" applyFill="1" applyBorder="1"/>
    <xf numFmtId="164" fontId="0" fillId="0" borderId="1" xfId="7" applyNumberFormat="1" applyFont="1" applyFill="1" applyBorder="1"/>
    <xf numFmtId="6" fontId="0" fillId="0" borderId="1" xfId="0" applyNumberFormat="1" applyFill="1" applyBorder="1"/>
    <xf numFmtId="14" fontId="3" fillId="0" borderId="1" xfId="0" applyNumberFormat="1" applyFont="1" applyFill="1" applyBorder="1" applyAlignment="1">
      <alignment horizontal="right"/>
    </xf>
    <xf numFmtId="14" fontId="3" fillId="0" borderId="1" xfId="0" applyNumberFormat="1" applyFont="1" applyBorder="1" applyAlignment="1">
      <alignment horizontal="right"/>
    </xf>
    <xf numFmtId="165" fontId="0" fillId="0" borderId="1" xfId="7" applyNumberFormat="1" applyFont="1" applyFill="1" applyBorder="1"/>
    <xf numFmtId="14" fontId="0" fillId="0" borderId="1" xfId="0" applyNumberFormat="1" applyFill="1" applyBorder="1" applyAlignment="1">
      <alignment horizontal="center"/>
    </xf>
    <xf numFmtId="167" fontId="0" fillId="0" borderId="1" xfId="7" applyNumberFormat="1" applyFont="1" applyFill="1" applyBorder="1"/>
    <xf numFmtId="167" fontId="3" fillId="0" borderId="1" xfId="7" applyNumberFormat="1" applyFont="1" applyFill="1" applyBorder="1"/>
    <xf numFmtId="42" fontId="0" fillId="0" borderId="1" xfId="7" applyNumberFormat="1" applyFont="1" applyBorder="1"/>
    <xf numFmtId="14" fontId="0" fillId="0" borderId="1" xfId="0" applyNumberFormat="1" applyFill="1" applyBorder="1" applyAlignment="1">
      <alignment horizontal="center" vertical="center"/>
    </xf>
    <xf numFmtId="0" fontId="10" fillId="4" borderId="1" xfId="11" applyFont="1" applyFill="1" applyBorder="1" applyAlignment="1">
      <alignment horizontal="left" vertical="center" wrapText="1"/>
    </xf>
    <xf numFmtId="166" fontId="10" fillId="4" borderId="1" xfId="11" applyNumberFormat="1" applyFont="1" applyFill="1" applyBorder="1" applyAlignment="1">
      <alignment vertical="center"/>
    </xf>
    <xf numFmtId="164" fontId="10" fillId="4" borderId="1" xfId="11" applyNumberFormat="1" applyFont="1" applyFill="1" applyBorder="1" applyAlignment="1">
      <alignment horizontal="center" vertical="center" wrapText="1"/>
    </xf>
    <xf numFmtId="42" fontId="10" fillId="4" borderId="1" xfId="11" applyNumberFormat="1" applyFont="1" applyFill="1" applyBorder="1" applyAlignment="1">
      <alignment horizontal="right" vertical="center" wrapText="1"/>
    </xf>
    <xf numFmtId="44" fontId="10" fillId="4" borderId="1" xfId="11" applyNumberFormat="1" applyFont="1" applyFill="1" applyBorder="1" applyAlignment="1">
      <alignment horizontal="center" vertical="center" wrapText="1"/>
    </xf>
    <xf numFmtId="14" fontId="10" fillId="4" borderId="1" xfId="11" applyNumberFormat="1" applyFont="1" applyFill="1" applyBorder="1" applyAlignment="1">
      <alignment horizontal="center" vertical="center" wrapText="1"/>
    </xf>
    <xf numFmtId="169" fontId="10" fillId="2" borderId="1" xfId="9" applyNumberFormat="1" applyFont="1" applyFill="1" applyBorder="1" applyAlignment="1">
      <alignment horizontal="right" vertical="center"/>
    </xf>
    <xf numFmtId="0" fontId="10" fillId="0" borderId="1" xfId="11" applyFont="1" applyFill="1" applyBorder="1" applyAlignment="1">
      <alignment horizontal="left" vertical="center" wrapText="1"/>
    </xf>
    <xf numFmtId="42" fontId="10" fillId="0" borderId="1" xfId="11" applyNumberFormat="1" applyFont="1" applyBorder="1" applyAlignment="1">
      <alignment vertical="center"/>
    </xf>
    <xf numFmtId="164" fontId="10" fillId="0" borderId="1" xfId="11" applyNumberFormat="1" applyFont="1" applyBorder="1" applyAlignment="1">
      <alignment horizontal="center" vertical="center" wrapText="1"/>
    </xf>
    <xf numFmtId="42" fontId="10" fillId="0" borderId="1" xfId="11" applyNumberFormat="1" applyFont="1" applyBorder="1" applyAlignment="1">
      <alignment horizontal="right" vertical="center" wrapText="1"/>
    </xf>
    <xf numFmtId="44" fontId="10" fillId="0" borderId="1" xfId="11" applyNumberFormat="1" applyFont="1" applyBorder="1" applyAlignment="1">
      <alignment horizontal="center" vertical="center" wrapText="1"/>
    </xf>
    <xf numFmtId="14" fontId="10" fillId="0" borderId="1" xfId="11" applyNumberFormat="1" applyFont="1" applyBorder="1" applyAlignment="1">
      <alignment horizontal="center" vertical="center" wrapText="1"/>
    </xf>
    <xf numFmtId="0" fontId="10" fillId="0" borderId="1" xfId="12" applyFont="1" applyFill="1" applyBorder="1" applyAlignment="1">
      <alignment vertical="center" wrapText="1"/>
    </xf>
    <xf numFmtId="164" fontId="10" fillId="0" borderId="1" xfId="12" applyNumberFormat="1" applyFont="1" applyFill="1" applyBorder="1" applyAlignment="1">
      <alignment vertical="center"/>
    </xf>
    <xf numFmtId="164" fontId="10" fillId="0" borderId="1" xfId="0" applyNumberFormat="1" applyFont="1" applyFill="1" applyBorder="1" applyAlignment="1">
      <alignment horizontal="center" vertical="center" wrapText="1"/>
    </xf>
    <xf numFmtId="0" fontId="17" fillId="0" borderId="0" xfId="0" applyFont="1"/>
    <xf numFmtId="0" fontId="17" fillId="7" borderId="1" xfId="0" applyFont="1" applyFill="1" applyBorder="1" applyAlignment="1">
      <alignment vertical="center"/>
    </xf>
    <xf numFmtId="0" fontId="17" fillId="7" borderId="1" xfId="0" applyFont="1" applyFill="1" applyBorder="1" applyAlignment="1">
      <alignment horizontal="center" vertical="center" wrapText="1"/>
    </xf>
    <xf numFmtId="0" fontId="17" fillId="0" borderId="0" xfId="0" applyFont="1" applyFill="1" applyAlignment="1">
      <alignment vertical="center"/>
    </xf>
    <xf numFmtId="0" fontId="17" fillId="7" borderId="1" xfId="0" applyFont="1" applyFill="1" applyBorder="1" applyAlignment="1">
      <alignment horizontal="right"/>
    </xf>
    <xf numFmtId="164" fontId="0" fillId="7" borderId="1" xfId="0" applyNumberFormat="1" applyFill="1" applyBorder="1" applyAlignment="1">
      <alignment horizontal="center"/>
    </xf>
    <xf numFmtId="164" fontId="0" fillId="7" borderId="1" xfId="10" applyNumberFormat="1" applyFont="1" applyFill="1" applyBorder="1" applyAlignment="1">
      <alignment horizontal="center"/>
    </xf>
    <xf numFmtId="164" fontId="0" fillId="0" borderId="0" xfId="0" applyNumberFormat="1" applyFill="1" applyBorder="1"/>
    <xf numFmtId="164" fontId="3" fillId="0" borderId="1" xfId="0" applyNumberFormat="1" applyFont="1" applyFill="1" applyBorder="1" applyAlignment="1">
      <alignment horizontal="center"/>
    </xf>
    <xf numFmtId="0" fontId="18" fillId="0" borderId="0" xfId="0" applyFont="1" applyAlignment="1">
      <alignment wrapText="1"/>
    </xf>
    <xf numFmtId="0" fontId="7" fillId="2" borderId="3" xfId="3" applyFont="1" applyFill="1" applyBorder="1" applyAlignment="1">
      <alignment horizontal="center" wrapText="1"/>
    </xf>
    <xf numFmtId="0" fontId="11" fillId="2" borderId="1" xfId="3" applyFont="1" applyFill="1" applyBorder="1" applyAlignment="1">
      <alignment horizontal="center" wrapText="1"/>
    </xf>
    <xf numFmtId="0" fontId="3" fillId="0" borderId="0" xfId="0" applyFont="1" applyAlignment="1">
      <alignment wrapText="1"/>
    </xf>
    <xf numFmtId="0" fontId="11" fillId="0" borderId="3" xfId="3" applyFont="1" applyFill="1" applyBorder="1" applyAlignment="1">
      <alignment horizontal="left" vertical="top" wrapText="1"/>
    </xf>
    <xf numFmtId="0" fontId="11" fillId="0" borderId="1" xfId="3" applyFont="1" applyFill="1" applyBorder="1" applyAlignment="1">
      <alignment horizontal="center" vertical="top" wrapText="1"/>
    </xf>
    <xf numFmtId="0" fontId="11" fillId="0" borderId="1" xfId="3"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14" fontId="11" fillId="0" borderId="1" xfId="3" applyNumberFormat="1" applyFont="1" applyFill="1" applyBorder="1" applyAlignment="1">
      <alignment horizontal="center" vertical="top" wrapText="1"/>
    </xf>
    <xf numFmtId="0" fontId="3" fillId="0" borderId="0" xfId="0" applyFont="1" applyAlignment="1">
      <alignment vertical="top" wrapText="1"/>
    </xf>
    <xf numFmtId="0" fontId="7" fillId="3" borderId="3" xfId="3" applyFont="1" applyFill="1" applyBorder="1" applyAlignment="1">
      <alignment horizontal="center" vertical="top" wrapText="1"/>
    </xf>
    <xf numFmtId="0" fontId="7" fillId="3" borderId="1" xfId="3" applyFont="1" applyFill="1" applyBorder="1" applyAlignment="1">
      <alignment horizontal="center" vertical="top" wrapText="1"/>
    </xf>
    <xf numFmtId="0" fontId="11" fillId="3" borderId="1" xfId="3" applyFont="1" applyFill="1" applyBorder="1" applyAlignment="1">
      <alignment horizontal="center" vertical="top" wrapText="1"/>
    </xf>
    <xf numFmtId="0" fontId="11" fillId="3" borderId="2" xfId="3" applyFont="1" applyFill="1" applyBorder="1" applyAlignment="1">
      <alignment horizontal="center" vertical="top" wrapText="1"/>
    </xf>
    <xf numFmtId="0" fontId="11" fillId="3" borderId="3" xfId="3" applyFont="1" applyFill="1" applyBorder="1" applyAlignment="1">
      <alignment horizontal="center" vertical="top" wrapText="1"/>
    </xf>
    <xf numFmtId="0" fontId="3" fillId="0" borderId="3" xfId="0" applyFont="1" applyFill="1" applyBorder="1" applyAlignment="1">
      <alignment vertical="top" wrapText="1"/>
    </xf>
    <xf numFmtId="14" fontId="3" fillId="0" borderId="1" xfId="0" quotePrefix="1" applyNumberFormat="1" applyFont="1" applyFill="1" applyBorder="1" applyAlignment="1">
      <alignment horizontal="center" vertical="top" wrapText="1"/>
    </xf>
    <xf numFmtId="0" fontId="3" fillId="0" borderId="0" xfId="0" applyFont="1" applyFill="1" applyAlignment="1">
      <alignment vertical="top" wrapText="1"/>
    </xf>
    <xf numFmtId="0" fontId="11" fillId="3" borderId="1" xfId="3" applyFont="1" applyFill="1" applyBorder="1" applyAlignment="1">
      <alignment horizontal="right" vertical="top" wrapText="1"/>
    </xf>
    <xf numFmtId="0" fontId="3" fillId="3" borderId="0" xfId="0" applyFont="1" applyFill="1" applyAlignment="1">
      <alignment vertical="top" wrapText="1"/>
    </xf>
    <xf numFmtId="165" fontId="4" fillId="3" borderId="0" xfId="0" applyNumberFormat="1" applyFont="1" applyFill="1" applyAlignment="1">
      <alignment horizontal="right" vertical="top" wrapText="1"/>
    </xf>
    <xf numFmtId="0" fontId="3" fillId="8" borderId="0" xfId="0" applyFont="1" applyFill="1" applyAlignment="1">
      <alignment vertical="top" wrapText="1"/>
    </xf>
    <xf numFmtId="165" fontId="4" fillId="0" borderId="0" xfId="0" applyNumberFormat="1" applyFont="1" applyFill="1" applyAlignment="1">
      <alignment horizontal="left" vertical="top" wrapText="1"/>
    </xf>
    <xf numFmtId="0" fontId="3" fillId="0" borderId="3" xfId="0" applyFont="1" applyFill="1" applyBorder="1" applyAlignment="1">
      <alignment horizontal="left" vertical="top" wrapText="1"/>
    </xf>
    <xf numFmtId="0" fontId="11" fillId="0" borderId="0" xfId="3" applyFont="1" applyFill="1" applyAlignment="1">
      <alignment horizontal="center" vertical="top" wrapText="1"/>
    </xf>
    <xf numFmtId="0" fontId="11" fillId="0" borderId="0" xfId="3" applyFont="1" applyFill="1" applyAlignment="1">
      <alignment vertical="top" wrapText="1"/>
    </xf>
    <xf numFmtId="0" fontId="3" fillId="0" borderId="1" xfId="0" applyFont="1" applyFill="1" applyBorder="1" applyAlignment="1">
      <alignment horizontal="center" vertical="top" wrapText="1"/>
    </xf>
    <xf numFmtId="165" fontId="4" fillId="3" borderId="0" xfId="0" applyNumberFormat="1" applyFont="1" applyFill="1" applyAlignment="1">
      <alignment horizontal="left" vertical="top" wrapText="1"/>
    </xf>
    <xf numFmtId="0" fontId="3" fillId="0" borderId="1" xfId="4" applyFont="1" applyFill="1" applyBorder="1" applyAlignment="1">
      <alignment vertical="top" wrapText="1"/>
    </xf>
    <xf numFmtId="164" fontId="3" fillId="0" borderId="1" xfId="4" applyNumberFormat="1" applyFont="1" applyFill="1" applyBorder="1" applyAlignment="1">
      <alignment vertical="top"/>
    </xf>
    <xf numFmtId="164" fontId="3" fillId="0" borderId="2" xfId="4" applyNumberFormat="1" applyFont="1" applyFill="1" applyBorder="1" applyAlignment="1">
      <alignment horizontal="right" vertical="top"/>
    </xf>
    <xf numFmtId="0" fontId="3" fillId="0" borderId="0" xfId="3" applyFont="1" applyFill="1" applyAlignment="1">
      <alignment vertical="top" wrapText="1"/>
    </xf>
    <xf numFmtId="165" fontId="4" fillId="3" borderId="0" xfId="0" applyNumberFormat="1" applyFont="1" applyFill="1" applyAlignment="1">
      <alignment horizontal="center" vertical="top" wrapText="1"/>
    </xf>
    <xf numFmtId="164" fontId="3" fillId="0" borderId="1" xfId="0" applyNumberFormat="1" applyFont="1" applyFill="1" applyBorder="1" applyAlignment="1">
      <alignment horizontal="right" vertical="top" wrapText="1"/>
    </xf>
    <xf numFmtId="14" fontId="3" fillId="0" borderId="1" xfId="0" applyNumberFormat="1" applyFont="1" applyFill="1" applyBorder="1" applyAlignment="1">
      <alignment horizontal="center" vertical="top" wrapText="1"/>
    </xf>
    <xf numFmtId="0" fontId="3" fillId="3" borderId="3" xfId="0" applyFont="1" applyFill="1" applyBorder="1" applyAlignment="1">
      <alignment vertical="top" wrapText="1"/>
    </xf>
    <xf numFmtId="0" fontId="3" fillId="3" borderId="1" xfId="0" applyFont="1" applyFill="1" applyBorder="1" applyAlignment="1">
      <alignment vertical="top" wrapText="1"/>
    </xf>
    <xf numFmtId="14" fontId="3" fillId="3" borderId="1" xfId="0" applyNumberFormat="1" applyFont="1" applyFill="1" applyBorder="1" applyAlignment="1">
      <alignment horizontal="left" vertical="top" wrapText="1"/>
    </xf>
    <xf numFmtId="164" fontId="4" fillId="3" borderId="1" xfId="0" applyNumberFormat="1" applyFont="1" applyFill="1" applyBorder="1" applyAlignment="1">
      <alignment horizontal="center" vertical="top" wrapText="1"/>
    </xf>
    <xf numFmtId="164" fontId="4" fillId="3" borderId="2" xfId="0" applyNumberFormat="1" applyFont="1" applyFill="1" applyBorder="1" applyAlignment="1">
      <alignment horizontal="right" vertical="top" wrapText="1"/>
    </xf>
    <xf numFmtId="164" fontId="4" fillId="3" borderId="3" xfId="0" applyNumberFormat="1" applyFont="1" applyFill="1" applyBorder="1" applyAlignment="1">
      <alignment horizontal="left" vertical="top" wrapText="1"/>
    </xf>
    <xf numFmtId="16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wrapText="1"/>
    </xf>
    <xf numFmtId="0" fontId="3" fillId="3" borderId="1" xfId="0" applyFont="1" applyFill="1" applyBorder="1" applyAlignment="1">
      <alignment wrapText="1"/>
    </xf>
    <xf numFmtId="14" fontId="3" fillId="3" borderId="1" xfId="0" applyNumberFormat="1" applyFont="1" applyFill="1" applyBorder="1" applyAlignment="1">
      <alignment horizontal="left" wrapText="1"/>
    </xf>
    <xf numFmtId="164" fontId="3" fillId="3" borderId="1" xfId="0" applyNumberFormat="1" applyFont="1" applyFill="1" applyBorder="1" applyAlignment="1">
      <alignment horizontal="center" wrapText="1"/>
    </xf>
    <xf numFmtId="0" fontId="3" fillId="0" borderId="0" xfId="0" applyFont="1" applyAlignment="1">
      <alignment horizontal="right" wrapText="1"/>
    </xf>
    <xf numFmtId="0" fontId="10" fillId="0" borderId="0" xfId="0" applyFont="1" applyAlignment="1">
      <alignment horizontal="left" vertical="center"/>
    </xf>
    <xf numFmtId="0" fontId="10" fillId="0" borderId="0" xfId="0" applyFont="1" applyAlignment="1">
      <alignment wrapText="1"/>
    </xf>
    <xf numFmtId="0" fontId="10" fillId="0" borderId="0" xfId="0" applyFont="1"/>
    <xf numFmtId="164" fontId="10" fillId="0" borderId="0" xfId="0" applyNumberFormat="1" applyFont="1"/>
    <xf numFmtId="0" fontId="10" fillId="0" borderId="0" xfId="0" applyFont="1" applyAlignment="1">
      <alignment horizontal="center" wrapText="1"/>
    </xf>
    <xf numFmtId="0" fontId="10" fillId="0" borderId="0" xfId="0" applyFont="1" applyAlignment="1">
      <alignment horizontal="center" vertical="center" wrapText="1"/>
    </xf>
    <xf numFmtId="0" fontId="10" fillId="0" borderId="0" xfId="0" applyFont="1" applyAlignment="1">
      <alignment horizontal="center" vertical="center"/>
    </xf>
    <xf numFmtId="164" fontId="9" fillId="0" borderId="1" xfId="0" applyNumberFormat="1" applyFont="1" applyFill="1" applyBorder="1" applyAlignment="1">
      <alignment horizont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20" fillId="0" borderId="0" xfId="0" applyFont="1" applyAlignment="1">
      <alignment horizontal="left" vertical="center"/>
    </xf>
    <xf numFmtId="0" fontId="21" fillId="0" borderId="0" xfId="0" applyFont="1" applyAlignment="1">
      <alignment wrapText="1"/>
    </xf>
    <xf numFmtId="0" fontId="10" fillId="0" borderId="1" xfId="0" applyFont="1" applyFill="1" applyBorder="1" applyAlignment="1">
      <alignment wrapText="1"/>
    </xf>
    <xf numFmtId="6" fontId="10" fillId="0" borderId="1" xfId="2" applyNumberFormat="1" applyFont="1" applyFill="1" applyBorder="1" applyAlignment="1">
      <alignment vertical="center"/>
    </xf>
    <xf numFmtId="0" fontId="10" fillId="0" borderId="1" xfId="2" applyFont="1" applyFill="1" applyBorder="1" applyAlignment="1">
      <alignment vertical="center" wrapText="1"/>
    </xf>
    <xf numFmtId="0" fontId="10" fillId="4" borderId="0" xfId="0" applyFont="1" applyFill="1" applyBorder="1"/>
    <xf numFmtId="0" fontId="10" fillId="4" borderId="0" xfId="0" applyFont="1" applyFill="1" applyBorder="1" applyAlignment="1">
      <alignment vertical="center" wrapText="1"/>
    </xf>
    <xf numFmtId="0" fontId="9" fillId="4" borderId="0" xfId="0" applyFont="1" applyFill="1" applyBorder="1" applyAlignment="1">
      <alignment vertical="center"/>
    </xf>
    <xf numFmtId="6" fontId="10" fillId="4" borderId="0" xfId="0" applyNumberFormat="1" applyFont="1" applyFill="1" applyBorder="1" applyAlignment="1">
      <alignment vertical="center"/>
    </xf>
    <xf numFmtId="164" fontId="10" fillId="4" borderId="0" xfId="0" applyNumberFormat="1" applyFont="1" applyFill="1" applyBorder="1" applyAlignment="1">
      <alignment vertical="center"/>
    </xf>
    <xf numFmtId="0" fontId="10" fillId="4" borderId="0" xfId="0" applyFont="1" applyFill="1" applyBorder="1" applyAlignment="1">
      <alignment horizontal="center" wrapText="1"/>
    </xf>
    <xf numFmtId="164" fontId="10" fillId="4" borderId="0" xfId="0" applyNumberFormat="1" applyFont="1" applyFill="1" applyBorder="1" applyAlignment="1">
      <alignment horizontal="center"/>
    </xf>
    <xf numFmtId="0" fontId="10" fillId="4" borderId="0" xfId="0" applyFont="1" applyFill="1" applyBorder="1" applyAlignment="1">
      <alignment horizontal="left" vertical="center" wrapText="1"/>
    </xf>
    <xf numFmtId="0" fontId="10" fillId="4" borderId="0" xfId="0" applyFont="1" applyFill="1" applyBorder="1" applyAlignment="1">
      <alignment horizontal="center" vertical="center"/>
    </xf>
    <xf numFmtId="6" fontId="10" fillId="0" borderId="1" xfId="0" applyNumberFormat="1" applyFont="1" applyFill="1" applyBorder="1" applyAlignment="1">
      <alignment horizontal="right" vertical="center"/>
    </xf>
    <xf numFmtId="0" fontId="10" fillId="0" borderId="6" xfId="0" applyFont="1" applyFill="1" applyBorder="1" applyAlignment="1">
      <alignment vertical="center" wrapText="1"/>
    </xf>
    <xf numFmtId="164" fontId="10" fillId="0" borderId="1" xfId="0" applyNumberFormat="1" applyFont="1" applyFill="1" applyBorder="1" applyAlignment="1">
      <alignment horizontal="right"/>
    </xf>
    <xf numFmtId="0" fontId="10" fillId="0" borderId="0" xfId="0" applyFont="1" applyFill="1"/>
    <xf numFmtId="6" fontId="9" fillId="0" borderId="6" xfId="0" applyNumberFormat="1" applyFont="1" applyBorder="1" applyAlignment="1">
      <alignment vertical="center"/>
    </xf>
    <xf numFmtId="0" fontId="9" fillId="0" borderId="0" xfId="0" applyFont="1"/>
    <xf numFmtId="6" fontId="10" fillId="0" borderId="4" xfId="0" applyNumberFormat="1" applyFont="1" applyBorder="1" applyAlignment="1">
      <alignment vertical="center"/>
    </xf>
    <xf numFmtId="0" fontId="10" fillId="0" borderId="0" xfId="0" applyFont="1" applyFill="1" applyAlignment="1">
      <alignment vertical="center" wrapText="1"/>
    </xf>
    <xf numFmtId="164" fontId="14" fillId="0" borderId="1" xfId="0" applyNumberFormat="1" applyFont="1" applyFill="1" applyBorder="1" applyAlignment="1">
      <alignment vertical="center"/>
    </xf>
    <xf numFmtId="6" fontId="14" fillId="0" borderId="1" xfId="0" applyNumberFormat="1" applyFont="1" applyFill="1" applyBorder="1" applyAlignment="1">
      <alignment vertical="center"/>
    </xf>
    <xf numFmtId="0" fontId="10" fillId="0" borderId="0" xfId="0" applyFont="1" applyBorder="1"/>
    <xf numFmtId="164" fontId="10" fillId="6" borderId="0" xfId="0" applyNumberFormat="1" applyFont="1" applyFill="1" applyBorder="1" applyAlignment="1">
      <alignment vertical="center"/>
    </xf>
    <xf numFmtId="0" fontId="10" fillId="6" borderId="0" xfId="0" applyFont="1" applyFill="1" applyBorder="1" applyAlignment="1">
      <alignment horizontal="center" vertical="center" wrapText="1"/>
    </xf>
    <xf numFmtId="0" fontId="10" fillId="0" borderId="1" xfId="0" quotePrefix="1" applyFont="1" applyFill="1" applyBorder="1" applyAlignment="1">
      <alignment horizontal="left" vertical="center"/>
    </xf>
    <xf numFmtId="164" fontId="10" fillId="0" borderId="1" xfId="0" applyNumberFormat="1" applyFont="1" applyFill="1" applyBorder="1" applyAlignment="1">
      <alignment vertical="center" wrapText="1"/>
    </xf>
    <xf numFmtId="0" fontId="10" fillId="0" borderId="1" xfId="0" quotePrefix="1" applyFont="1" applyBorder="1" applyAlignment="1">
      <alignment horizontal="left" vertical="center"/>
    </xf>
    <xf numFmtId="164" fontId="9" fillId="0" borderId="1" xfId="0" applyNumberFormat="1" applyFont="1" applyFill="1" applyBorder="1" applyAlignment="1">
      <alignment vertical="center"/>
    </xf>
    <xf numFmtId="0" fontId="10" fillId="0" borderId="0" xfId="0" applyFont="1" applyFill="1" applyAlignment="1">
      <alignment horizontal="left" vertical="center"/>
    </xf>
    <xf numFmtId="6" fontId="10" fillId="0" borderId="0" xfId="0" applyNumberFormat="1" applyFont="1" applyFill="1" applyAlignment="1">
      <alignment vertical="center" wrapText="1"/>
    </xf>
    <xf numFmtId="0" fontId="10" fillId="0" borderId="0" xfId="0" applyFont="1" applyFill="1" applyAlignment="1">
      <alignment vertical="center"/>
    </xf>
    <xf numFmtId="164" fontId="10" fillId="0" borderId="0" xfId="0" applyNumberFormat="1" applyFont="1" applyFill="1" applyAlignment="1">
      <alignment vertical="center"/>
    </xf>
    <xf numFmtId="6"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4" fillId="0" borderId="1" xfId="0" quotePrefix="1" applyFont="1" applyFill="1" applyBorder="1" applyAlignment="1">
      <alignment horizontal="left" vertical="center"/>
    </xf>
    <xf numFmtId="0" fontId="14" fillId="0" borderId="1" xfId="0" applyFont="1" applyFill="1" applyBorder="1" applyAlignment="1">
      <alignment vertical="center" wrapText="1"/>
    </xf>
    <xf numFmtId="0" fontId="10" fillId="0" borderId="6" xfId="0" quotePrefix="1" applyFont="1" applyBorder="1" applyAlignment="1">
      <alignment horizontal="left" vertical="center"/>
    </xf>
    <xf numFmtId="0" fontId="10" fillId="0" borderId="6" xfId="0" applyFont="1" applyBorder="1" applyAlignment="1">
      <alignment horizontal="left" vertical="center" wrapText="1"/>
    </xf>
    <xf numFmtId="164" fontId="10" fillId="0" borderId="6" xfId="0" applyNumberFormat="1" applyFont="1" applyBorder="1" applyAlignment="1">
      <alignment vertical="center"/>
    </xf>
    <xf numFmtId="6" fontId="10" fillId="0"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0" xfId="0" applyFill="1" applyBorder="1" applyAlignment="1">
      <alignment wrapText="1"/>
    </xf>
    <xf numFmtId="166" fontId="0" fillId="0" borderId="0" xfId="0" applyNumberFormat="1" applyFill="1" applyBorder="1"/>
    <xf numFmtId="0" fontId="3" fillId="0" borderId="0" xfId="0" applyFont="1" applyFill="1"/>
    <xf numFmtId="166" fontId="10" fillId="4" borderId="1" xfId="11" applyNumberFormat="1" applyFont="1" applyFill="1" applyBorder="1" applyAlignment="1">
      <alignment horizontal="right" vertical="center" wrapText="1"/>
    </xf>
    <xf numFmtId="44" fontId="0" fillId="0" borderId="0" xfId="0" applyNumberFormat="1"/>
    <xf numFmtId="166" fontId="10" fillId="2" borderId="1" xfId="9" applyNumberFormat="1" applyFont="1" applyFill="1" applyBorder="1" applyAlignment="1">
      <alignment vertical="center"/>
    </xf>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3" fillId="4" borderId="1" xfId="7" applyNumberFormat="1" applyFont="1" applyFill="1" applyBorder="1" applyAlignment="1">
      <alignment horizontal="center" vertical="center" wrapText="1"/>
    </xf>
    <xf numFmtId="164" fontId="3" fillId="4" borderId="1" xfId="0" applyNumberFormat="1" applyFont="1" applyFill="1" applyBorder="1" applyAlignment="1">
      <alignment horizont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4" borderId="0" xfId="5" applyFont="1" applyFill="1" applyAlignment="1">
      <alignment horizontal="center" vertical="center"/>
    </xf>
    <xf numFmtId="0" fontId="11" fillId="4" borderId="1" xfId="2" applyFont="1" applyFill="1" applyBorder="1" applyAlignment="1">
      <alignment horizontal="left"/>
    </xf>
    <xf numFmtId="0" fontId="3" fillId="4" borderId="1" xfId="0" applyFont="1" applyFill="1" applyBorder="1"/>
    <xf numFmtId="164" fontId="3" fillId="4" borderId="1" xfId="10" applyNumberFormat="1" applyFont="1" applyFill="1" applyBorder="1" applyAlignment="1">
      <alignment horizontal="center"/>
    </xf>
    <xf numFmtId="164" fontId="3" fillId="4" borderId="1" xfId="10" applyNumberFormat="1" applyFont="1" applyFill="1" applyBorder="1" applyAlignment="1">
      <alignment horizontal="center" wrapText="1"/>
    </xf>
    <xf numFmtId="164" fontId="3" fillId="4" borderId="1" xfId="10" applyNumberFormat="1" applyFont="1" applyFill="1" applyBorder="1" applyAlignment="1">
      <alignment horizontal="center" vertical="center" wrapText="1"/>
    </xf>
    <xf numFmtId="0" fontId="3" fillId="4" borderId="3" xfId="0" applyFont="1" applyFill="1" applyBorder="1" applyAlignment="1">
      <alignment wrapText="1"/>
    </xf>
    <xf numFmtId="164" fontId="0" fillId="7" borderId="1" xfId="13" applyNumberFormat="1" applyFont="1" applyFill="1" applyBorder="1" applyAlignment="1">
      <alignment horizontal="center"/>
    </xf>
    <xf numFmtId="164" fontId="3" fillId="0" borderId="1" xfId="13" applyNumberFormat="1" applyFont="1" applyFill="1" applyBorder="1" applyAlignment="1">
      <alignment horizontal="center" vertical="center"/>
    </xf>
    <xf numFmtId="164" fontId="0" fillId="7" borderId="1" xfId="13" applyNumberFormat="1" applyFont="1" applyFill="1" applyBorder="1" applyAlignment="1">
      <alignment horizontal="center" vertical="center"/>
    </xf>
    <xf numFmtId="0" fontId="0" fillId="4" borderId="2" xfId="0" applyFill="1" applyBorder="1" applyAlignment="1">
      <alignment wrapText="1"/>
    </xf>
    <xf numFmtId="9" fontId="3" fillId="4" borderId="7" xfId="0" applyNumberFormat="1" applyFont="1" applyFill="1" applyBorder="1" applyAlignment="1">
      <alignment horizontal="center" vertical="center" wrapText="1"/>
    </xf>
    <xf numFmtId="0" fontId="3" fillId="4" borderId="1" xfId="0" applyFont="1" applyFill="1" applyBorder="1" applyAlignment="1">
      <alignment wrapText="1"/>
    </xf>
    <xf numFmtId="164" fontId="3" fillId="4" borderId="1" xfId="10" applyNumberFormat="1" applyFont="1" applyFill="1" applyBorder="1" applyAlignment="1">
      <alignment horizontal="center" vertical="center"/>
    </xf>
    <xf numFmtId="0" fontId="3" fillId="4" borderId="3" xfId="2" applyFont="1" applyFill="1" applyBorder="1" applyAlignment="1">
      <alignment wrapText="1"/>
    </xf>
    <xf numFmtId="168" fontId="3" fillId="4" borderId="1" xfId="7" applyNumberFormat="1" applyFont="1" applyFill="1" applyBorder="1" applyAlignment="1">
      <alignment horizontal="center" vertical="center"/>
    </xf>
    <xf numFmtId="164" fontId="3" fillId="4" borderId="1" xfId="2"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0" fillId="4" borderId="0" xfId="0" applyFont="1" applyFill="1" applyAlignment="1">
      <alignment vertical="center"/>
    </xf>
    <xf numFmtId="0" fontId="3" fillId="4" borderId="1" xfId="2" applyFont="1" applyFill="1" applyBorder="1"/>
    <xf numFmtId="3" fontId="3" fillId="4" borderId="1" xfId="2" applyNumberFormat="1" applyFont="1" applyFill="1" applyBorder="1" applyAlignment="1">
      <alignment horizontal="center" vertical="center"/>
    </xf>
    <xf numFmtId="3" fontId="3" fillId="4" borderId="1" xfId="2"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0" fontId="3" fillId="4" borderId="1" xfId="2" applyFont="1" applyFill="1" applyBorder="1" applyAlignment="1">
      <alignment wrapText="1"/>
    </xf>
    <xf numFmtId="0" fontId="3" fillId="4" borderId="0" xfId="0" applyFont="1" applyFill="1" applyAlignment="1">
      <alignment horizontal="center" vertical="center" wrapText="1"/>
    </xf>
    <xf numFmtId="0" fontId="11" fillId="4" borderId="1" xfId="10" applyNumberFormat="1" applyFont="1" applyFill="1" applyBorder="1" applyAlignment="1">
      <alignment horizontal="left"/>
    </xf>
    <xf numFmtId="0" fontId="3" fillId="4" borderId="1" xfId="10" applyNumberFormat="1" applyFont="1" applyFill="1" applyBorder="1" applyAlignment="1">
      <alignment wrapText="1"/>
    </xf>
    <xf numFmtId="37" fontId="3" fillId="4" borderId="1" xfId="10" applyNumberFormat="1" applyFont="1" applyFill="1" applyBorder="1" applyAlignment="1">
      <alignment horizontal="center" vertical="center"/>
    </xf>
    <xf numFmtId="37" fontId="3" fillId="4" borderId="1" xfId="10" applyNumberFormat="1" applyFont="1" applyFill="1" applyBorder="1" applyAlignment="1">
      <alignment horizontal="center" vertical="center" wrapText="1"/>
    </xf>
    <xf numFmtId="0" fontId="11" fillId="4" borderId="1" xfId="6" applyFont="1" applyFill="1" applyBorder="1" applyAlignment="1">
      <alignment horizontal="left" vertical="center" wrapText="1"/>
    </xf>
    <xf numFmtId="0" fontId="3" fillId="4" borderId="1" xfId="0" applyFont="1" applyFill="1" applyBorder="1" applyAlignment="1">
      <alignment horizontal="left" vertical="center" wrapText="1"/>
    </xf>
    <xf numFmtId="3" fontId="3" fillId="4" borderId="0" xfId="0" applyNumberFormat="1" applyFont="1" applyFill="1" applyAlignment="1">
      <alignment horizontal="center" vertical="center"/>
    </xf>
    <xf numFmtId="0" fontId="3" fillId="4" borderId="0" xfId="0" applyFont="1" applyFill="1" applyAlignment="1">
      <alignment horizontal="center" vertical="center"/>
    </xf>
    <xf numFmtId="14" fontId="0" fillId="4" borderId="1" xfId="0" applyNumberFormat="1" applyFill="1" applyBorder="1" applyAlignment="1">
      <alignment horizontal="center" vertical="center"/>
    </xf>
    <xf numFmtId="0" fontId="11" fillId="4" borderId="6" xfId="6" applyFont="1" applyFill="1" applyBorder="1" applyAlignment="1">
      <alignment horizontal="left" vertical="center" wrapText="1"/>
    </xf>
    <xf numFmtId="0" fontId="3" fillId="4" borderId="6" xfId="0" applyFont="1" applyFill="1" applyBorder="1" applyAlignment="1">
      <alignment horizontal="left" vertical="center" wrapText="1"/>
    </xf>
    <xf numFmtId="0" fontId="12" fillId="4" borderId="6" xfId="0" applyFont="1" applyFill="1" applyBorder="1" applyAlignment="1">
      <alignment horizontal="center" vertical="center" wrapText="1"/>
    </xf>
    <xf numFmtId="14" fontId="12" fillId="4" borderId="6"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4" borderId="0" xfId="0" applyFill="1"/>
    <xf numFmtId="164" fontId="3" fillId="0" borderId="1" xfId="13" applyNumberFormat="1" applyFont="1" applyFill="1" applyBorder="1" applyAlignment="1">
      <alignment horizontal="center"/>
    </xf>
    <xf numFmtId="0" fontId="3" fillId="0" borderId="1" xfId="0" applyFont="1" applyFill="1" applyBorder="1" applyAlignment="1">
      <alignment horizontal="center" vertical="center"/>
    </xf>
    <xf numFmtId="164" fontId="3" fillId="4" borderId="1" xfId="13" applyNumberFormat="1" applyFont="1" applyFill="1" applyBorder="1" applyAlignment="1">
      <alignment horizontal="center" vertical="center"/>
    </xf>
    <xf numFmtId="0" fontId="0" fillId="4" borderId="4" xfId="0" applyFill="1" applyBorder="1"/>
    <xf numFmtId="0" fontId="17" fillId="4" borderId="0" xfId="0" applyFont="1" applyFill="1" applyBorder="1" applyAlignment="1">
      <alignment horizontal="right"/>
    </xf>
    <xf numFmtId="164" fontId="0" fillId="4" borderId="0" xfId="13" applyNumberFormat="1" applyFont="1" applyFill="1" applyBorder="1" applyAlignment="1">
      <alignment horizontal="center"/>
    </xf>
    <xf numFmtId="164" fontId="0" fillId="4" borderId="0" xfId="0" applyNumberFormat="1" applyFill="1" applyBorder="1" applyAlignment="1">
      <alignment horizontal="center"/>
    </xf>
    <xf numFmtId="0" fontId="0" fillId="4" borderId="0" xfId="0" applyFill="1" applyBorder="1"/>
    <xf numFmtId="164" fontId="3" fillId="0" borderId="1" xfId="2" applyNumberFormat="1" applyFont="1" applyFill="1" applyBorder="1" applyAlignment="1">
      <alignment horizontal="center"/>
    </xf>
    <xf numFmtId="0" fontId="17" fillId="4" borderId="0" xfId="0" applyFont="1" applyFill="1" applyAlignment="1">
      <alignment vertical="center"/>
    </xf>
    <xf numFmtId="0" fontId="3" fillId="0" borderId="1" xfId="0" applyFont="1" applyFill="1" applyBorder="1" applyAlignment="1">
      <alignment horizontal="left"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4" borderId="1" xfId="0" applyFill="1" applyBorder="1" applyAlignment="1">
      <alignment vertical="center"/>
    </xf>
    <xf numFmtId="0" fontId="3" fillId="4" borderId="3" xfId="0" applyFont="1" applyFill="1" applyBorder="1" applyAlignment="1">
      <alignment vertical="center" wrapText="1"/>
    </xf>
    <xf numFmtId="164" fontId="0" fillId="4" borderId="1" xfId="10" applyNumberFormat="1" applyFont="1" applyFill="1" applyBorder="1" applyAlignment="1">
      <alignment horizontal="center" vertical="center"/>
    </xf>
    <xf numFmtId="164" fontId="0" fillId="4" borderId="0" xfId="10" applyNumberFormat="1" applyFont="1" applyFill="1" applyBorder="1"/>
    <xf numFmtId="164" fontId="0" fillId="4" borderId="0" xfId="0" applyNumberFormat="1" applyFill="1" applyBorder="1"/>
    <xf numFmtId="170" fontId="0" fillId="4" borderId="0" xfId="10" applyNumberFormat="1" applyFont="1" applyFill="1" applyBorder="1"/>
    <xf numFmtId="0" fontId="17" fillId="4" borderId="4" xfId="0" applyFont="1" applyFill="1" applyBorder="1" applyAlignment="1">
      <alignment horizontal="right"/>
    </xf>
    <xf numFmtId="164" fontId="0" fillId="4" borderId="4" xfId="10" applyNumberFormat="1" applyFont="1" applyFill="1" applyBorder="1"/>
    <xf numFmtId="164" fontId="0" fillId="4" borderId="4" xfId="0" applyNumberFormat="1" applyFill="1" applyBorder="1"/>
    <xf numFmtId="170" fontId="0" fillId="4" borderId="4" xfId="10" applyNumberFormat="1" applyFont="1" applyFill="1" applyBorder="1"/>
    <xf numFmtId="0" fontId="3" fillId="4" borderId="7" xfId="0" applyFont="1" applyFill="1" applyBorder="1" applyAlignment="1">
      <alignment horizontal="left" vertical="center"/>
    </xf>
    <xf numFmtId="0" fontId="3" fillId="4" borderId="7" xfId="0" applyFont="1" applyFill="1" applyBorder="1" applyAlignment="1">
      <alignment horizontal="right" vertical="center" wrapText="1"/>
    </xf>
    <xf numFmtId="164" fontId="3" fillId="4" borderId="7" xfId="0" applyNumberFormat="1" applyFont="1" applyFill="1" applyBorder="1" applyAlignment="1">
      <alignment horizontal="center" vertical="center"/>
    </xf>
    <xf numFmtId="164" fontId="3" fillId="4" borderId="7" xfId="7" applyNumberFormat="1" applyFont="1" applyFill="1" applyBorder="1" applyAlignment="1">
      <alignment horizontal="center" vertical="center" wrapText="1"/>
    </xf>
    <xf numFmtId="9" fontId="3" fillId="4" borderId="7" xfId="0" applyNumberFormat="1" applyFont="1" applyFill="1" applyBorder="1" applyAlignment="1">
      <alignment horizontal="center" vertical="center"/>
    </xf>
    <xf numFmtId="0" fontId="3" fillId="4" borderId="0" xfId="5" applyFont="1" applyFill="1" applyBorder="1" applyAlignment="1">
      <alignment horizontal="center" vertical="center"/>
    </xf>
    <xf numFmtId="5" fontId="3" fillId="0" borderId="1" xfId="13" applyNumberFormat="1" applyFont="1" applyFill="1" applyBorder="1" applyAlignment="1">
      <alignment horizontal="right" vertical="top" wrapText="1"/>
    </xf>
    <xf numFmtId="5" fontId="3" fillId="0" borderId="2" xfId="13" applyNumberFormat="1" applyFont="1" applyFill="1" applyBorder="1" applyAlignment="1">
      <alignment horizontal="right" vertical="top" wrapText="1"/>
    </xf>
    <xf numFmtId="5" fontId="3" fillId="0" borderId="1" xfId="13" applyNumberFormat="1" applyFont="1" applyFill="1" applyBorder="1" applyAlignment="1">
      <alignment vertical="top" wrapText="1"/>
    </xf>
    <xf numFmtId="0" fontId="23" fillId="0" borderId="0" xfId="0" applyFont="1" applyFill="1" applyAlignment="1">
      <alignment vertical="top" wrapText="1"/>
    </xf>
    <xf numFmtId="0" fontId="24" fillId="0" borderId="0" xfId="3" applyFont="1" applyFill="1" applyAlignment="1">
      <alignment horizontal="center" vertical="top" wrapText="1"/>
    </xf>
    <xf numFmtId="165" fontId="3" fillId="3" borderId="1" xfId="13" applyNumberFormat="1" applyFont="1" applyFill="1" applyBorder="1" applyAlignment="1">
      <alignment vertical="top" wrapText="1"/>
    </xf>
    <xf numFmtId="0" fontId="23" fillId="0" borderId="0" xfId="0" applyFont="1" applyAlignment="1">
      <alignment vertical="top" wrapText="1"/>
    </xf>
    <xf numFmtId="6" fontId="3" fillId="0" borderId="1" xfId="0" applyNumberFormat="1" applyFont="1" applyFill="1" applyBorder="1"/>
    <xf numFmtId="14" fontId="0" fillId="0" borderId="1" xfId="0" applyNumberFormat="1" applyFill="1" applyBorder="1" applyAlignment="1">
      <alignment horizontal="right"/>
    </xf>
    <xf numFmtId="165" fontId="3" fillId="0" borderId="1" xfId="7" applyNumberFormat="1" applyFont="1" applyFill="1" applyBorder="1"/>
    <xf numFmtId="14" fontId="3" fillId="0" borderId="1" xfId="0" applyNumberFormat="1" applyFont="1" applyFill="1" applyBorder="1" applyAlignment="1">
      <alignment horizontal="center"/>
    </xf>
    <xf numFmtId="0" fontId="3" fillId="0" borderId="1" xfId="5" applyFont="1" applyBorder="1" applyAlignment="1">
      <alignment horizontal="center" vertical="center" wrapText="1"/>
    </xf>
    <xf numFmtId="164" fontId="3" fillId="0" borderId="1" xfId="7" applyNumberFormat="1" applyFont="1" applyFill="1" applyBorder="1" applyAlignment="1">
      <alignment vertical="center"/>
    </xf>
    <xf numFmtId="164" fontId="3" fillId="0" borderId="1" xfId="7" applyNumberFormat="1" applyFont="1" applyBorder="1" applyAlignment="1">
      <alignment horizontal="right" vertical="center" wrapText="1"/>
    </xf>
    <xf numFmtId="164" fontId="3" fillId="0" borderId="1" xfId="0" applyNumberFormat="1" applyFont="1" applyBorder="1" applyAlignment="1">
      <alignment horizontal="right" vertical="center" wrapText="1"/>
    </xf>
    <xf numFmtId="0" fontId="3" fillId="0" borderId="5" xfId="0" applyFont="1" applyBorder="1" applyAlignment="1">
      <alignment horizontal="center" vertical="center" wrapText="1"/>
    </xf>
    <xf numFmtId="164" fontId="3" fillId="0" borderId="1" xfId="0" applyNumberFormat="1" applyFont="1" applyBorder="1" applyAlignment="1">
      <alignment horizontal="right" vertical="center"/>
    </xf>
    <xf numFmtId="0" fontId="3" fillId="0" borderId="0" xfId="5" applyFont="1" applyAlignment="1">
      <alignment horizontal="center" vertical="center" wrapText="1"/>
    </xf>
    <xf numFmtId="0" fontId="3" fillId="2" borderId="0" xfId="5" applyFont="1" applyFill="1" applyAlignment="1">
      <alignment horizontal="center" vertical="center"/>
    </xf>
    <xf numFmtId="0" fontId="13" fillId="0" borderId="0" xfId="0" applyFont="1" applyBorder="1" applyAlignment="1">
      <alignment horizontal="center" wrapText="1"/>
    </xf>
    <xf numFmtId="0" fontId="13" fillId="0" borderId="0" xfId="0" applyFont="1" applyBorder="1" applyAlignment="1">
      <alignment horizontal="center"/>
    </xf>
    <xf numFmtId="42" fontId="10" fillId="4" borderId="1" xfId="13" applyNumberFormat="1" applyFont="1" applyFill="1" applyBorder="1" applyAlignment="1">
      <alignment horizontal="right" vertical="center"/>
    </xf>
    <xf numFmtId="169" fontId="10" fillId="4" borderId="1" xfId="13" applyNumberFormat="1" applyFont="1" applyFill="1" applyBorder="1" applyAlignment="1">
      <alignment horizontal="right" vertical="center" wrapText="1"/>
    </xf>
    <xf numFmtId="42" fontId="10" fillId="0" borderId="1" xfId="13" applyNumberFormat="1" applyFont="1" applyFill="1" applyBorder="1" applyAlignment="1">
      <alignment horizontal="right" vertical="center"/>
    </xf>
    <xf numFmtId="166" fontId="10" fillId="0" borderId="1" xfId="11" applyNumberFormat="1" applyFont="1" applyFill="1" applyBorder="1" applyAlignment="1">
      <alignment vertical="center"/>
    </xf>
    <xf numFmtId="14" fontId="10" fillId="0" borderId="1" xfId="11" applyNumberFormat="1" applyFont="1" applyFill="1" applyBorder="1" applyAlignment="1">
      <alignment horizontal="center" vertical="center" wrapText="1"/>
    </xf>
    <xf numFmtId="42" fontId="10" fillId="0" borderId="1" xfId="13" applyNumberFormat="1" applyFont="1" applyBorder="1" applyAlignment="1">
      <alignment horizontal="right" vertical="center" wrapText="1"/>
    </xf>
    <xf numFmtId="0" fontId="10" fillId="0" borderId="1" xfId="0" applyFont="1" applyFill="1" applyBorder="1" applyAlignment="1">
      <alignment horizontal="right" vertical="center"/>
    </xf>
    <xf numFmtId="164" fontId="9" fillId="0" borderId="1" xfId="0" applyNumberFormat="1" applyFont="1" applyBorder="1"/>
    <xf numFmtId="164" fontId="10" fillId="0" borderId="0" xfId="0" applyNumberFormat="1" applyFont="1" applyFill="1"/>
    <xf numFmtId="0" fontId="10" fillId="0" borderId="1" xfId="12" applyFont="1" applyFill="1" applyBorder="1" applyAlignment="1">
      <alignment horizontal="left" vertical="center"/>
    </xf>
    <xf numFmtId="0" fontId="9" fillId="0" borderId="0" xfId="0" applyFont="1" applyAlignment="1">
      <alignment horizontal="center" vertical="center" wrapText="1"/>
    </xf>
    <xf numFmtId="0" fontId="10" fillId="4" borderId="0" xfId="0" applyFont="1" applyFill="1" applyBorder="1" applyAlignment="1">
      <alignment horizontal="center" vertical="center" wrapText="1"/>
    </xf>
    <xf numFmtId="6" fontId="10" fillId="0" borderId="0" xfId="0" applyNumberFormat="1" applyFont="1"/>
    <xf numFmtId="0" fontId="10" fillId="0" borderId="0" xfId="8" applyFont="1" applyFill="1" applyAlignment="1">
      <alignment horizontal="left" vertical="center"/>
    </xf>
    <xf numFmtId="0" fontId="10" fillId="0" borderId="1" xfId="2" applyFont="1" applyFill="1" applyBorder="1" applyAlignment="1">
      <alignment horizontal="left" vertical="center"/>
    </xf>
    <xf numFmtId="0" fontId="10" fillId="0" borderId="0" xfId="0" applyFont="1" applyFill="1" applyBorder="1" applyAlignment="1">
      <alignment vertical="center"/>
    </xf>
    <xf numFmtId="0" fontId="25" fillId="0" borderId="0" xfId="0" applyFont="1" applyFill="1" applyAlignment="1">
      <alignment vertical="center" wrapText="1"/>
    </xf>
    <xf numFmtId="164" fontId="9" fillId="0" borderId="0" xfId="0" applyNumberFormat="1" applyFont="1" applyFill="1" applyAlignment="1">
      <alignment vertical="center" wrapText="1"/>
    </xf>
    <xf numFmtId="0" fontId="9" fillId="0" borderId="0" xfId="0" applyFont="1" applyFill="1" applyAlignment="1">
      <alignment vertical="center" wrapText="1"/>
    </xf>
    <xf numFmtId="0" fontId="10" fillId="0" borderId="0" xfId="0" applyFont="1" applyBorder="1" applyAlignment="1">
      <alignment vertical="center"/>
    </xf>
    <xf numFmtId="0" fontId="9" fillId="0" borderId="0" xfId="0" applyFont="1" applyFill="1" applyBorder="1" applyAlignment="1">
      <alignment vertical="center" wrapText="1"/>
    </xf>
    <xf numFmtId="0" fontId="10" fillId="0" borderId="0" xfId="0" applyFont="1" applyAlignment="1">
      <alignment vertical="center" wrapText="1"/>
    </xf>
    <xf numFmtId="164" fontId="10" fillId="0" borderId="0" xfId="0" applyNumberFormat="1" applyFont="1" applyAlignment="1">
      <alignment vertical="center"/>
    </xf>
    <xf numFmtId="0" fontId="9" fillId="0" borderId="4" xfId="0" applyFont="1" applyBorder="1" applyAlignment="1">
      <alignment horizontal="center" vertical="center"/>
    </xf>
    <xf numFmtId="0" fontId="3" fillId="0" borderId="0" xfId="0" applyFont="1" applyAlignment="1">
      <alignment horizontal="left" wrapText="1"/>
    </xf>
    <xf numFmtId="0" fontId="22" fillId="4" borderId="1" xfId="0" applyFont="1" applyFill="1" applyBorder="1" applyAlignment="1">
      <alignment horizontal="left"/>
    </xf>
    <xf numFmtId="164" fontId="22" fillId="4" borderId="1" xfId="0" applyNumberFormat="1" applyFont="1" applyFill="1" applyBorder="1" applyAlignment="1">
      <alignment horizontal="left"/>
    </xf>
    <xf numFmtId="164" fontId="22" fillId="4" borderId="1" xfId="7" applyNumberFormat="1" applyFont="1" applyFill="1" applyBorder="1" applyAlignment="1">
      <alignment horizontal="center" vertical="center" wrapText="1"/>
    </xf>
    <xf numFmtId="164" fontId="22" fillId="4" borderId="1" xfId="0" applyNumberFormat="1" applyFont="1" applyFill="1" applyBorder="1" applyAlignment="1">
      <alignment horizontal="center"/>
    </xf>
    <xf numFmtId="164" fontId="22" fillId="2" borderId="6"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2" fillId="2" borderId="6" xfId="0" applyFont="1" applyFill="1" applyBorder="1" applyAlignment="1">
      <alignment horizontal="left" vertical="center"/>
    </xf>
    <xf numFmtId="0" fontId="22" fillId="2" borderId="6" xfId="0" applyFont="1" applyFill="1" applyBorder="1" applyAlignment="1">
      <alignment horizontal="right" vertical="center" wrapText="1"/>
    </xf>
    <xf numFmtId="164" fontId="22" fillId="2" borderId="6" xfId="7" applyNumberFormat="1" applyFont="1" applyFill="1" applyBorder="1" applyAlignment="1">
      <alignment horizontal="center" vertical="center" wrapText="1"/>
    </xf>
    <xf numFmtId="9" fontId="22" fillId="2" borderId="6" xfId="0" applyNumberFormat="1" applyFont="1" applyFill="1" applyBorder="1" applyAlignment="1">
      <alignment horizontal="center" vertical="center" wrapText="1"/>
    </xf>
    <xf numFmtId="9" fontId="22" fillId="2" borderId="6" xfId="0" applyNumberFormat="1" applyFont="1" applyFill="1" applyBorder="1" applyAlignment="1">
      <alignment horizontal="center" vertical="center"/>
    </xf>
    <xf numFmtId="0" fontId="3" fillId="4" borderId="1" xfId="14" applyFont="1" applyFill="1" applyBorder="1" applyAlignment="1">
      <alignment horizontal="left"/>
    </xf>
    <xf numFmtId="164" fontId="3" fillId="4" borderId="1" xfId="14" applyNumberFormat="1" applyFont="1" applyFill="1" applyBorder="1" applyAlignment="1">
      <alignment horizontal="left" wrapText="1"/>
    </xf>
    <xf numFmtId="164" fontId="3" fillId="4" borderId="1" xfId="14" applyNumberFormat="1" applyFont="1" applyFill="1" applyBorder="1" applyAlignment="1">
      <alignment horizontal="center"/>
    </xf>
    <xf numFmtId="0" fontId="3" fillId="0" borderId="1" xfId="0" applyFont="1" applyFill="1" applyBorder="1" applyAlignment="1">
      <alignment horizontal="center" vertical="center" wrapText="1"/>
    </xf>
    <xf numFmtId="0" fontId="3" fillId="4" borderId="0" xfId="0" applyFont="1" applyFill="1" applyBorder="1" applyAlignment="1">
      <alignment horizontal="left" vertical="center"/>
    </xf>
    <xf numFmtId="0" fontId="3" fillId="4" borderId="0" xfId="0" applyFont="1" applyFill="1" applyBorder="1" applyAlignment="1">
      <alignment horizontal="right" vertical="center" wrapText="1"/>
    </xf>
    <xf numFmtId="164" fontId="3" fillId="4" borderId="0" xfId="0" applyNumberFormat="1" applyFont="1" applyFill="1" applyBorder="1" applyAlignment="1">
      <alignment horizontal="center" vertical="center"/>
    </xf>
    <xf numFmtId="164" fontId="3" fillId="4" borderId="0" xfId="7" applyNumberFormat="1" applyFont="1" applyFill="1" applyBorder="1" applyAlignment="1">
      <alignment horizontal="center" vertical="center" wrapText="1"/>
    </xf>
    <xf numFmtId="9" fontId="3" fillId="4" borderId="0" xfId="0" applyNumberFormat="1" applyFont="1" applyFill="1" applyBorder="1" applyAlignment="1">
      <alignment horizontal="center" vertical="center" wrapText="1"/>
    </xf>
    <xf numFmtId="9" fontId="3" fillId="4" borderId="0" xfId="0" applyNumberFormat="1" applyFont="1" applyFill="1" applyBorder="1" applyAlignment="1">
      <alignment horizontal="center" vertical="center"/>
    </xf>
    <xf numFmtId="0" fontId="11" fillId="0" borderId="5" xfId="6"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1" xfId="7" applyNumberFormat="1" applyFont="1" applyFill="1" applyBorder="1" applyAlignment="1">
      <alignment horizontal="center" vertical="center"/>
    </xf>
    <xf numFmtId="164" fontId="3" fillId="0" borderId="1" xfId="7"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0" xfId="5" applyFont="1" applyFill="1" applyAlignment="1">
      <alignment horizontal="center" vertical="center"/>
    </xf>
    <xf numFmtId="164" fontId="22" fillId="4" borderId="6" xfId="0" applyNumberFormat="1" applyFont="1" applyFill="1" applyBorder="1" applyAlignment="1">
      <alignment horizontal="center" vertical="center"/>
    </xf>
    <xf numFmtId="0" fontId="0" fillId="0" borderId="0" xfId="0" applyFill="1" applyBorder="1"/>
    <xf numFmtId="164" fontId="3" fillId="0" borderId="5" xfId="13" applyNumberFormat="1" applyFont="1" applyFill="1" applyBorder="1" applyAlignment="1">
      <alignment horizontal="center" vertical="center"/>
    </xf>
    <xf numFmtId="0" fontId="0" fillId="4" borderId="1" xfId="0" applyFill="1" applyBorder="1" applyAlignment="1">
      <alignment vertical="center" wrapText="1"/>
    </xf>
    <xf numFmtId="164" fontId="3" fillId="4" borderId="1" xfId="13" applyNumberFormat="1" applyFont="1" applyFill="1" applyBorder="1" applyAlignment="1">
      <alignment horizontal="center" vertical="center" wrapText="1"/>
    </xf>
    <xf numFmtId="0" fontId="3" fillId="4" borderId="8" xfId="0" applyFont="1" applyFill="1" applyBorder="1" applyAlignment="1">
      <alignment wrapText="1"/>
    </xf>
    <xf numFmtId="164" fontId="3" fillId="4" borderId="1" xfId="0" applyNumberFormat="1" applyFont="1" applyFill="1" applyBorder="1" applyAlignment="1">
      <alignment horizontal="center" wrapText="1"/>
    </xf>
    <xf numFmtId="14" fontId="0" fillId="4" borderId="1" xfId="0" applyNumberFormat="1" applyFill="1" applyBorder="1" applyAlignment="1">
      <alignment horizontal="center"/>
    </xf>
    <xf numFmtId="0" fontId="3" fillId="4" borderId="1" xfId="0" applyFont="1" applyFill="1" applyBorder="1" applyAlignment="1">
      <alignment horizontal="left" wrapText="1"/>
    </xf>
    <xf numFmtId="164" fontId="3" fillId="4" borderId="1" xfId="13" applyNumberFormat="1" applyFont="1" applyFill="1" applyBorder="1" applyAlignment="1">
      <alignment horizontal="center" wrapText="1"/>
    </xf>
    <xf numFmtId="164" fontId="11" fillId="0" borderId="1" xfId="3" applyNumberFormat="1" applyFont="1" applyFill="1" applyBorder="1" applyAlignment="1">
      <alignment horizontal="right" vertical="top" wrapText="1"/>
    </xf>
    <xf numFmtId="164" fontId="11" fillId="0" borderId="2" xfId="3" applyNumberFormat="1" applyFont="1" applyFill="1" applyBorder="1" applyAlignment="1">
      <alignment horizontal="right" vertical="top" wrapText="1"/>
    </xf>
    <xf numFmtId="0" fontId="11" fillId="0" borderId="3" xfId="3" applyFont="1" applyFill="1" applyBorder="1" applyAlignment="1">
      <alignment horizontal="center" wrapText="1"/>
    </xf>
    <xf numFmtId="14" fontId="3" fillId="0" borderId="1" xfId="3" applyNumberFormat="1" applyFont="1" applyFill="1" applyBorder="1" applyAlignment="1">
      <alignment horizontal="center" vertical="top" wrapText="1"/>
    </xf>
    <xf numFmtId="44" fontId="0" fillId="0" borderId="1" xfId="13" applyFont="1" applyBorder="1"/>
    <xf numFmtId="49" fontId="3" fillId="0" borderId="1" xfId="13" applyNumberFormat="1" applyFont="1" applyBorder="1" applyAlignment="1">
      <alignment horizontal="right"/>
    </xf>
    <xf numFmtId="0" fontId="0" fillId="0" borderId="1" xfId="0" applyBorder="1" applyAlignment="1">
      <alignment horizontal="right"/>
    </xf>
    <xf numFmtId="0" fontId="28" fillId="7" borderId="0" xfId="0" applyFont="1" applyFill="1"/>
    <xf numFmtId="49" fontId="3" fillId="0" borderId="1" xfId="0" applyNumberFormat="1" applyFont="1" applyFill="1" applyBorder="1" applyAlignment="1">
      <alignment horizontal="right"/>
    </xf>
    <xf numFmtId="0" fontId="9" fillId="5" borderId="2" xfId="0" applyFont="1" applyFill="1" applyBorder="1" applyAlignment="1">
      <alignment horizontal="center" vertical="center" wrapText="1"/>
    </xf>
    <xf numFmtId="164" fontId="29" fillId="0" borderId="1" xfId="0" applyNumberFormat="1" applyFont="1" applyFill="1" applyBorder="1"/>
    <xf numFmtId="164" fontId="10" fillId="0" borderId="1" xfId="0" applyNumberFormat="1" applyFont="1" applyFill="1" applyBorder="1" applyAlignment="1">
      <alignment horizontal="center" vertical="center"/>
    </xf>
    <xf numFmtId="0" fontId="9" fillId="0" borderId="2" xfId="0" applyFont="1" applyBorder="1" applyAlignment="1">
      <alignment vertical="center" wrapText="1"/>
    </xf>
    <xf numFmtId="164" fontId="30" fillId="0" borderId="0" xfId="0" applyNumberFormat="1" applyFont="1" applyFill="1" applyBorder="1"/>
    <xf numFmtId="14" fontId="10" fillId="0" borderId="6" xfId="0" applyNumberFormat="1" applyFont="1" applyBorder="1" applyAlignment="1">
      <alignment horizontal="right" vertical="center"/>
    </xf>
    <xf numFmtId="14" fontId="10" fillId="0" borderId="6" xfId="0" applyNumberFormat="1" applyFont="1" applyBorder="1" applyAlignment="1">
      <alignment horizontal="right" vertical="center" wrapText="1"/>
    </xf>
    <xf numFmtId="14" fontId="10" fillId="0" borderId="1" xfId="0" applyNumberFormat="1" applyFont="1" applyBorder="1" applyAlignment="1">
      <alignment horizontal="right" vertical="center" wrapText="1"/>
    </xf>
    <xf numFmtId="0" fontId="22" fillId="4" borderId="1" xfId="0" applyFont="1" applyFill="1" applyBorder="1"/>
    <xf numFmtId="164" fontId="22" fillId="4" borderId="1" xfId="15" applyNumberFormat="1" applyFont="1" applyFill="1" applyBorder="1" applyAlignment="1">
      <alignment horizontal="center"/>
    </xf>
    <xf numFmtId="164" fontId="31" fillId="4" borderId="1" xfId="0" applyNumberFormat="1" applyFont="1" applyFill="1" applyBorder="1" applyAlignment="1">
      <alignment horizontal="center"/>
    </xf>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0" fontId="31" fillId="4" borderId="1" xfId="0" applyFont="1" applyFill="1" applyBorder="1"/>
    <xf numFmtId="164" fontId="3" fillId="4" borderId="1" xfId="16" applyNumberFormat="1" applyFont="1" applyFill="1" applyBorder="1"/>
    <xf numFmtId="164" fontId="12" fillId="4" borderId="11" xfId="16" applyNumberFormat="1" applyFont="1" applyFill="1" applyBorder="1" applyAlignment="1">
      <alignment horizontal="center" wrapText="1" readingOrder="1"/>
    </xf>
    <xf numFmtId="6" fontId="12" fillId="4" borderId="11" xfId="16" applyNumberFormat="1" applyFont="1" applyFill="1" applyBorder="1" applyAlignment="1">
      <alignment horizontal="center" wrapText="1" readingOrder="1"/>
    </xf>
    <xf numFmtId="0" fontId="3" fillId="4" borderId="1" xfId="0" applyFont="1" applyFill="1" applyBorder="1" applyAlignment="1">
      <alignment horizontal="left" vertical="center"/>
    </xf>
    <xf numFmtId="164" fontId="3" fillId="4" borderId="1" xfId="16" applyNumberFormat="1" applyFont="1" applyFill="1" applyBorder="1" applyAlignment="1">
      <alignment horizontal="left" wrapText="1"/>
    </xf>
    <xf numFmtId="164" fontId="3" fillId="4" borderId="1" xfId="13" applyNumberFormat="1" applyFont="1" applyFill="1" applyBorder="1" applyAlignment="1">
      <alignment horizontal="center"/>
    </xf>
    <xf numFmtId="44" fontId="0" fillId="0" borderId="1" xfId="13" applyFont="1" applyFill="1" applyBorder="1"/>
    <xf numFmtId="44" fontId="3" fillId="0" borderId="1" xfId="13" applyFont="1" applyBorder="1" applyAlignment="1">
      <alignment horizontal="right"/>
    </xf>
    <xf numFmtId="0" fontId="12" fillId="0" borderId="1" xfId="0" applyFont="1" applyBorder="1" applyAlignment="1">
      <alignment wrapText="1"/>
    </xf>
    <xf numFmtId="0" fontId="3" fillId="0" borderId="1" xfId="0" applyFont="1" applyBorder="1"/>
    <xf numFmtId="44" fontId="3" fillId="7" borderId="0" xfId="13" applyFont="1" applyFill="1"/>
    <xf numFmtId="0" fontId="28" fillId="4" borderId="0" xfId="0" applyFont="1" applyFill="1"/>
    <xf numFmtId="44" fontId="28" fillId="4" borderId="0" xfId="13" applyFont="1" applyFill="1"/>
    <xf numFmtId="6" fontId="3" fillId="0" borderId="1" xfId="13" applyNumberFormat="1" applyFont="1" applyBorder="1" applyAlignment="1">
      <alignment horizontal="right"/>
    </xf>
    <xf numFmtId="0" fontId="3" fillId="0" borderId="1" xfId="0" applyFont="1" applyBorder="1" applyAlignment="1">
      <alignment horizontal="right"/>
    </xf>
    <xf numFmtId="8" fontId="3" fillId="0" borderId="1" xfId="13" applyNumberFormat="1" applyFont="1" applyBorder="1" applyAlignment="1">
      <alignment horizontal="right"/>
    </xf>
    <xf numFmtId="0" fontId="11" fillId="0" borderId="1" xfId="3" applyFont="1" applyFill="1" applyBorder="1" applyAlignment="1">
      <alignment horizontal="center" wrapText="1"/>
    </xf>
    <xf numFmtId="0" fontId="26" fillId="0" borderId="1" xfId="3" applyFont="1" applyFill="1" applyBorder="1" applyAlignment="1">
      <alignment horizontal="left" vertical="top" wrapText="1"/>
    </xf>
    <xf numFmtId="0" fontId="3" fillId="0" borderId="1" xfId="3" applyFont="1" applyFill="1" applyBorder="1" applyAlignment="1">
      <alignment horizontal="center" vertical="top" wrapText="1"/>
    </xf>
    <xf numFmtId="165" fontId="3" fillId="0" borderId="1" xfId="13" applyNumberFormat="1" applyFont="1" applyFill="1" applyBorder="1" applyAlignment="1">
      <alignment horizontal="left" vertical="top" wrapText="1"/>
    </xf>
    <xf numFmtId="165" fontId="27" fillId="0" borderId="1" xfId="13" applyNumberFormat="1" applyFont="1" applyFill="1" applyBorder="1" applyAlignment="1">
      <alignment horizontal="left" vertical="top" wrapText="1"/>
    </xf>
    <xf numFmtId="0" fontId="3" fillId="0" borderId="0" xfId="0" applyFont="1" applyFill="1" applyAlignment="1">
      <alignment wrapText="1"/>
    </xf>
    <xf numFmtId="0" fontId="3" fillId="4" borderId="1" xfId="0" applyFont="1" applyFill="1" applyBorder="1" applyAlignment="1">
      <alignment vertical="top" wrapText="1"/>
    </xf>
    <xf numFmtId="14" fontId="3" fillId="4" borderId="1" xfId="0" applyNumberFormat="1" applyFont="1" applyFill="1" applyBorder="1" applyAlignment="1">
      <alignment horizontal="left" vertical="top" wrapText="1"/>
    </xf>
    <xf numFmtId="5" fontId="3" fillId="4" borderId="1" xfId="13" applyNumberFormat="1" applyFont="1" applyFill="1" applyBorder="1" applyAlignment="1">
      <alignment horizontal="right" vertical="top" wrapText="1"/>
    </xf>
    <xf numFmtId="5" fontId="3" fillId="4" borderId="2" xfId="13" applyNumberFormat="1" applyFont="1" applyFill="1" applyBorder="1" applyAlignment="1">
      <alignment horizontal="right" vertical="top" wrapText="1"/>
    </xf>
    <xf numFmtId="165" fontId="32" fillId="4" borderId="1" xfId="13" applyNumberFormat="1" applyFont="1" applyFill="1" applyBorder="1" applyAlignment="1">
      <alignment horizontal="left" vertical="top" wrapText="1"/>
    </xf>
    <xf numFmtId="14" fontId="11" fillId="4" borderId="1" xfId="3" applyNumberFormat="1" applyFont="1" applyFill="1" applyBorder="1" applyAlignment="1">
      <alignment horizontal="center" vertical="top" wrapText="1"/>
    </xf>
    <xf numFmtId="0" fontId="3" fillId="4" borderId="0" xfId="0" applyFont="1" applyFill="1" applyAlignment="1">
      <alignment horizontal="left"/>
    </xf>
    <xf numFmtId="0" fontId="3" fillId="4" borderId="0" xfId="0" applyFont="1" applyFill="1" applyAlignment="1">
      <alignment horizontal="left" wrapText="1"/>
    </xf>
    <xf numFmtId="0" fontId="3" fillId="4" borderId="0" xfId="0" applyFont="1" applyFill="1" applyAlignment="1">
      <alignment wrapText="1"/>
    </xf>
    <xf numFmtId="14" fontId="10" fillId="0" borderId="1" xfId="0" applyNumberFormat="1" applyFont="1" applyFill="1" applyBorder="1" applyAlignment="1">
      <alignment vertical="center" wrapText="1"/>
    </xf>
    <xf numFmtId="164" fontId="33" fillId="0" borderId="1" xfId="0" applyNumberFormat="1" applyFont="1" applyFill="1" applyBorder="1"/>
    <xf numFmtId="164" fontId="34" fillId="0" borderId="1" xfId="0" applyNumberFormat="1" applyFont="1" applyFill="1" applyBorder="1"/>
    <xf numFmtId="0" fontId="9" fillId="0" borderId="0" xfId="0" applyFont="1" applyBorder="1"/>
    <xf numFmtId="0" fontId="9" fillId="0" borderId="0" xfId="0" applyFont="1" applyBorder="1" applyAlignment="1">
      <alignment vertical="center" wrapText="1"/>
    </xf>
    <xf numFmtId="0" fontId="9" fillId="0" borderId="0" xfId="0" applyFont="1" applyBorder="1" applyAlignment="1">
      <alignment vertical="center"/>
    </xf>
    <xf numFmtId="6" fontId="9" fillId="0" borderId="0" xfId="0" applyNumberFormat="1" applyFont="1" applyBorder="1" applyAlignment="1">
      <alignment vertical="center"/>
    </xf>
    <xf numFmtId="164" fontId="9" fillId="0" borderId="0" xfId="0" applyNumberFormat="1" applyFont="1" applyBorder="1" applyAlignment="1">
      <alignment vertical="center"/>
    </xf>
    <xf numFmtId="164" fontId="10" fillId="0" borderId="0" xfId="0" applyNumberFormat="1" applyFont="1" applyBorder="1" applyAlignment="1">
      <alignment horizontal="center" wrapText="1"/>
    </xf>
    <xf numFmtId="6" fontId="9" fillId="0" borderId="0" xfId="0" applyNumberFormat="1" applyFont="1" applyBorder="1" applyAlignment="1"/>
    <xf numFmtId="164" fontId="9" fillId="0" borderId="0" xfId="0" applyNumberFormat="1" applyFont="1" applyBorder="1" applyAlignment="1">
      <alignment horizont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164" fontId="30" fillId="0" borderId="1" xfId="0" applyNumberFormat="1" applyFont="1" applyFill="1" applyBorder="1"/>
    <xf numFmtId="0" fontId="10" fillId="0" borderId="3" xfId="0" applyFont="1" applyFill="1" applyBorder="1" applyAlignment="1">
      <alignment vertical="center"/>
    </xf>
    <xf numFmtId="0" fontId="9" fillId="0" borderId="1" xfId="0" applyFont="1" applyFill="1" applyBorder="1" applyAlignment="1">
      <alignment vertical="center" wrapText="1"/>
    </xf>
    <xf numFmtId="14" fontId="10" fillId="0" borderId="1" xfId="2" applyNumberFormat="1" applyFont="1" applyFill="1" applyBorder="1" applyAlignment="1">
      <alignment vertical="center" wrapText="1"/>
    </xf>
    <xf numFmtId="14" fontId="10" fillId="0" borderId="1" xfId="0" applyNumberFormat="1" applyFont="1" applyFill="1" applyBorder="1" applyAlignment="1">
      <alignment vertical="center"/>
    </xf>
    <xf numFmtId="164" fontId="10" fillId="0" borderId="0" xfId="0" applyNumberFormat="1" applyFont="1" applyFill="1" applyAlignment="1">
      <alignment horizontal="center" vertical="center" wrapText="1"/>
    </xf>
    <xf numFmtId="14" fontId="10" fillId="0" borderId="5" xfId="0" applyNumberFormat="1" applyFont="1" applyFill="1" applyBorder="1" applyAlignment="1">
      <alignment vertical="center"/>
    </xf>
    <xf numFmtId="14" fontId="10" fillId="0" borderId="5" xfId="0" applyNumberFormat="1" applyFont="1" applyFill="1" applyBorder="1" applyAlignment="1">
      <alignment vertical="center" wrapText="1"/>
    </xf>
    <xf numFmtId="14" fontId="14" fillId="0" borderId="1" xfId="0" applyNumberFormat="1" applyFont="1" applyFill="1" applyBorder="1" applyAlignment="1">
      <alignment vertical="center" wrapText="1"/>
    </xf>
    <xf numFmtId="164" fontId="10" fillId="0" borderId="0" xfId="12" applyNumberFormat="1" applyFont="1" applyFill="1" applyBorder="1" applyAlignment="1">
      <alignment vertical="center"/>
    </xf>
    <xf numFmtId="164" fontId="10" fillId="0" borderId="0" xfId="0" applyNumberFormat="1" applyFont="1" applyFill="1" applyBorder="1" applyAlignment="1">
      <alignment horizontal="right" vertical="center" wrapText="1"/>
    </xf>
    <xf numFmtId="0" fontId="3" fillId="0" borderId="0" xfId="0" applyFont="1" applyFill="1" applyBorder="1" applyAlignment="1">
      <alignment horizontal="center" wrapText="1"/>
    </xf>
    <xf numFmtId="164" fontId="10" fillId="0" borderId="0" xfId="0" applyNumberFormat="1" applyFont="1" applyFill="1" applyBorder="1" applyAlignment="1">
      <alignment horizontal="center" vertical="center" wrapText="1"/>
    </xf>
    <xf numFmtId="6" fontId="10" fillId="0" borderId="0" xfId="2" applyNumberFormat="1" applyFont="1" applyFill="1" applyBorder="1" applyAlignment="1">
      <alignment horizontal="right" vertical="center"/>
    </xf>
    <xf numFmtId="164" fontId="10" fillId="0" borderId="0" xfId="8" applyNumberFormat="1" applyFont="1" applyFill="1" applyBorder="1" applyAlignment="1">
      <alignment horizontal="right" vertical="center"/>
    </xf>
    <xf numFmtId="164" fontId="10" fillId="0" borderId="0" xfId="0" applyNumberFormat="1" applyFont="1" applyFill="1" applyBorder="1" applyAlignment="1">
      <alignment vertical="center"/>
    </xf>
    <xf numFmtId="6" fontId="10" fillId="0" borderId="0" xfId="2" applyNumberFormat="1" applyFont="1" applyFill="1" applyBorder="1" applyAlignment="1">
      <alignment vertical="center"/>
    </xf>
    <xf numFmtId="164" fontId="10" fillId="0" borderId="0" xfId="2" applyNumberFormat="1" applyFont="1" applyFill="1" applyBorder="1" applyAlignment="1">
      <alignment vertical="center"/>
    </xf>
    <xf numFmtId="164" fontId="10" fillId="0" borderId="0" xfId="0" applyNumberFormat="1" applyFont="1" applyFill="1" applyBorder="1" applyAlignment="1">
      <alignment horizontal="right" vertical="center"/>
    </xf>
    <xf numFmtId="164" fontId="10" fillId="0" borderId="0" xfId="0" applyNumberFormat="1" applyFont="1" applyBorder="1" applyAlignment="1">
      <alignment horizontal="center" vertical="center" wrapText="1"/>
    </xf>
    <xf numFmtId="0" fontId="10" fillId="0" borderId="0" xfId="0" applyFont="1" applyFill="1" applyAlignment="1">
      <alignment horizontal="center" wrapText="1"/>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0" fillId="0" borderId="0" xfId="0" applyFont="1" applyFill="1" applyAlignment="1">
      <alignment horizontal="left" wrapText="1"/>
    </xf>
    <xf numFmtId="0" fontId="3" fillId="0" borderId="0" xfId="0" applyFont="1" applyAlignment="1">
      <alignment horizontal="left" wrapText="1"/>
    </xf>
    <xf numFmtId="0" fontId="3" fillId="0" borderId="0" xfId="0" applyFont="1" applyFill="1" applyBorder="1" applyAlignment="1">
      <alignment horizontal="left" wrapText="1"/>
    </xf>
    <xf numFmtId="0" fontId="8" fillId="0" borderId="4" xfId="0" applyFont="1" applyFill="1" applyBorder="1" applyAlignment="1">
      <alignment horizontal="center" wrapText="1"/>
    </xf>
    <xf numFmtId="0" fontId="11" fillId="2" borderId="2" xfId="3" applyFont="1" applyFill="1" applyBorder="1" applyAlignment="1">
      <alignment horizontal="center" wrapText="1"/>
    </xf>
    <xf numFmtId="0" fontId="11" fillId="2" borderId="3" xfId="3" applyFont="1" applyFill="1" applyBorder="1" applyAlignment="1">
      <alignment horizontal="center" wrapText="1"/>
    </xf>
    <xf numFmtId="0" fontId="13" fillId="0" borderId="4" xfId="0" applyFont="1" applyBorder="1" applyAlignment="1">
      <alignment horizontal="center" wrapText="1"/>
    </xf>
    <xf numFmtId="0" fontId="13" fillId="0" borderId="4" xfId="0" applyFont="1" applyBorder="1" applyAlignment="1">
      <alignment horizontal="center"/>
    </xf>
    <xf numFmtId="0" fontId="9" fillId="0" borderId="0" xfId="0" applyFont="1" applyFill="1" applyAlignment="1">
      <alignment horizontal="center" vertical="center" wrapText="1"/>
    </xf>
    <xf numFmtId="0" fontId="15" fillId="0" borderId="4" xfId="0" applyFont="1" applyBorder="1" applyAlignment="1">
      <alignment horizontal="center"/>
    </xf>
    <xf numFmtId="0" fontId="13" fillId="0" borderId="4" xfId="5" applyFont="1" applyBorder="1" applyAlignment="1">
      <alignment horizontal="center" vertical="center" wrapText="1"/>
    </xf>
    <xf numFmtId="0" fontId="4" fillId="0" borderId="4" xfId="0" applyFont="1" applyBorder="1" applyAlignment="1">
      <alignment horizontal="center" vertical="center" wrapText="1"/>
    </xf>
    <xf numFmtId="0" fontId="9" fillId="0" borderId="9" xfId="0" applyFont="1" applyFill="1" applyBorder="1" applyAlignment="1">
      <alignment horizontal="center" vertical="center" wrapText="1"/>
    </xf>
    <xf numFmtId="0" fontId="15" fillId="0" borderId="4" xfId="11" applyFont="1" applyBorder="1" applyAlignment="1">
      <alignment horizontal="center" vertical="center" wrapText="1"/>
    </xf>
    <xf numFmtId="0" fontId="9" fillId="6" borderId="2"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0" fillId="6" borderId="9" xfId="0" applyFont="1" applyFill="1" applyBorder="1" applyAlignment="1">
      <alignment vertical="center" wrapText="1"/>
    </xf>
    <xf numFmtId="0" fontId="10" fillId="6" borderId="3" xfId="0" applyFont="1" applyFill="1" applyBorder="1" applyAlignment="1">
      <alignment vertical="center" wrapText="1"/>
    </xf>
    <xf numFmtId="0" fontId="9" fillId="6" borderId="1" xfId="0" applyFont="1" applyFill="1" applyBorder="1" applyAlignment="1">
      <alignment horizontal="center" vertical="center" wrapText="1"/>
    </xf>
    <xf numFmtId="0" fontId="9" fillId="6" borderId="6" xfId="0" applyFont="1" applyFill="1" applyBorder="1" applyAlignment="1">
      <alignment horizontal="center" vertical="center" wrapText="1"/>
    </xf>
  </cellXfs>
  <cellStyles count="17">
    <cellStyle name="Comma" xfId="10" builtinId="3"/>
    <cellStyle name="Currency" xfId="15" builtinId="4"/>
    <cellStyle name="Currency 2" xfId="1" xr:uid="{00000000-0005-0000-0000-000001000000}"/>
    <cellStyle name="Currency 2 2" xfId="13" xr:uid="{00000000-0005-0000-0000-000002000000}"/>
    <cellStyle name="Currency 3" xfId="7" xr:uid="{00000000-0005-0000-0000-000003000000}"/>
    <cellStyle name="Normal" xfId="0" builtinId="0"/>
    <cellStyle name="Normal 2" xfId="2" xr:uid="{00000000-0005-0000-0000-000005000000}"/>
    <cellStyle name="Normal 3" xfId="8" xr:uid="{00000000-0005-0000-0000-000006000000}"/>
    <cellStyle name="Normal 3 2" xfId="14" xr:uid="{00000000-0005-0000-0000-000007000000}"/>
    <cellStyle name="Normal 3 2 2" xfId="16" xr:uid="{1AD2CA95-D516-410F-9278-29E09DB79AAA}"/>
    <cellStyle name="Normal 4" xfId="11" xr:uid="{00000000-0005-0000-0000-000008000000}"/>
    <cellStyle name="Normal 7" xfId="12" xr:uid="{00000000-0005-0000-0000-000009000000}"/>
    <cellStyle name="Normal_FY 2002 Project Summary" xfId="5" xr:uid="{00000000-0005-0000-0000-00000A000000}"/>
    <cellStyle name="Normal_FY 2002 Project Summary 2" xfId="9" xr:uid="{00000000-0005-0000-0000-00000B000000}"/>
    <cellStyle name="Normal_Sheet1" xfId="6" xr:uid="{00000000-0005-0000-0000-00000C000000}"/>
    <cellStyle name="Normal_Sheet1 2" xfId="3" xr:uid="{00000000-0005-0000-0000-00000D000000}"/>
    <cellStyle name="Normal_Sheet1_SRT" xfId="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4"/>
  <sheetViews>
    <sheetView tabSelected="1" zoomScaleNormal="100" workbookViewId="0">
      <selection sqref="A1:I1"/>
    </sheetView>
  </sheetViews>
  <sheetFormatPr defaultRowHeight="12.75" x14ac:dyDescent="0.2"/>
  <cols>
    <col min="1" max="1" width="30.5703125" style="35" customWidth="1"/>
    <col min="2" max="2" width="39.140625" style="36" customWidth="1"/>
    <col min="3" max="3" width="14.7109375" style="37" customWidth="1"/>
    <col min="4" max="4" width="14.28515625" style="37" customWidth="1"/>
    <col min="5" max="5" width="22.7109375" style="38" customWidth="1"/>
    <col min="6" max="6" width="12.5703125" style="37" customWidth="1"/>
    <col min="7" max="7" width="15" style="37" customWidth="1"/>
    <col min="8" max="8" width="24" style="39" customWidth="1"/>
    <col min="9" max="9" width="17.28515625" style="39" customWidth="1"/>
    <col min="10" max="10" width="10.85546875" style="40" customWidth="1"/>
    <col min="11" max="256" width="9.140625" style="40"/>
    <col min="257" max="257" width="18.28515625" style="40" customWidth="1"/>
    <col min="258" max="258" width="48.5703125" style="40" customWidth="1"/>
    <col min="259" max="259" width="14.7109375" style="40" customWidth="1"/>
    <col min="260" max="260" width="14.28515625" style="40" customWidth="1"/>
    <col min="261" max="261" width="30.7109375" style="40" customWidth="1"/>
    <col min="262" max="262" width="12.5703125" style="40" customWidth="1"/>
    <col min="263" max="263" width="15" style="40" customWidth="1"/>
    <col min="264" max="264" width="17.85546875" style="40" customWidth="1"/>
    <col min="265" max="265" width="17.28515625" style="40" customWidth="1"/>
    <col min="266" max="266" width="10.85546875" style="40" customWidth="1"/>
    <col min="267" max="512" width="9.140625" style="40"/>
    <col min="513" max="513" width="18.28515625" style="40" customWidth="1"/>
    <col min="514" max="514" width="48.5703125" style="40" customWidth="1"/>
    <col min="515" max="515" width="14.7109375" style="40" customWidth="1"/>
    <col min="516" max="516" width="14.28515625" style="40" customWidth="1"/>
    <col min="517" max="517" width="30.7109375" style="40" customWidth="1"/>
    <col min="518" max="518" width="12.5703125" style="40" customWidth="1"/>
    <col min="519" max="519" width="15" style="40" customWidth="1"/>
    <col min="520" max="520" width="17.85546875" style="40" customWidth="1"/>
    <col min="521" max="521" width="17.28515625" style="40" customWidth="1"/>
    <col min="522" max="522" width="10.85546875" style="40" customWidth="1"/>
    <col min="523" max="768" width="9.140625" style="40"/>
    <col min="769" max="769" width="18.28515625" style="40" customWidth="1"/>
    <col min="770" max="770" width="48.5703125" style="40" customWidth="1"/>
    <col min="771" max="771" width="14.7109375" style="40" customWidth="1"/>
    <col min="772" max="772" width="14.28515625" style="40" customWidth="1"/>
    <col min="773" max="773" width="30.7109375" style="40" customWidth="1"/>
    <col min="774" max="774" width="12.5703125" style="40" customWidth="1"/>
    <col min="775" max="775" width="15" style="40" customWidth="1"/>
    <col min="776" max="776" width="17.85546875" style="40" customWidth="1"/>
    <col min="777" max="777" width="17.28515625" style="40" customWidth="1"/>
    <col min="778" max="778" width="10.85546875" style="40" customWidth="1"/>
    <col min="779" max="1024" width="9.140625" style="40"/>
    <col min="1025" max="1025" width="18.28515625" style="40" customWidth="1"/>
    <col min="1026" max="1026" width="48.5703125" style="40" customWidth="1"/>
    <col min="1027" max="1027" width="14.7109375" style="40" customWidth="1"/>
    <col min="1028" max="1028" width="14.28515625" style="40" customWidth="1"/>
    <col min="1029" max="1029" width="30.7109375" style="40" customWidth="1"/>
    <col min="1030" max="1030" width="12.5703125" style="40" customWidth="1"/>
    <col min="1031" max="1031" width="15" style="40" customWidth="1"/>
    <col min="1032" max="1032" width="17.85546875" style="40" customWidth="1"/>
    <col min="1033" max="1033" width="17.28515625" style="40" customWidth="1"/>
    <col min="1034" max="1034" width="10.85546875" style="40" customWidth="1"/>
    <col min="1035" max="1280" width="9.140625" style="40"/>
    <col min="1281" max="1281" width="18.28515625" style="40" customWidth="1"/>
    <col min="1282" max="1282" width="48.5703125" style="40" customWidth="1"/>
    <col min="1283" max="1283" width="14.7109375" style="40" customWidth="1"/>
    <col min="1284" max="1284" width="14.28515625" style="40" customWidth="1"/>
    <col min="1285" max="1285" width="30.7109375" style="40" customWidth="1"/>
    <col min="1286" max="1286" width="12.5703125" style="40" customWidth="1"/>
    <col min="1287" max="1287" width="15" style="40" customWidth="1"/>
    <col min="1288" max="1288" width="17.85546875" style="40" customWidth="1"/>
    <col min="1289" max="1289" width="17.28515625" style="40" customWidth="1"/>
    <col min="1290" max="1290" width="10.85546875" style="40" customWidth="1"/>
    <col min="1291" max="1536" width="9.140625" style="40"/>
    <col min="1537" max="1537" width="18.28515625" style="40" customWidth="1"/>
    <col min="1538" max="1538" width="48.5703125" style="40" customWidth="1"/>
    <col min="1539" max="1539" width="14.7109375" style="40" customWidth="1"/>
    <col min="1540" max="1540" width="14.28515625" style="40" customWidth="1"/>
    <col min="1541" max="1541" width="30.7109375" style="40" customWidth="1"/>
    <col min="1542" max="1542" width="12.5703125" style="40" customWidth="1"/>
    <col min="1543" max="1543" width="15" style="40" customWidth="1"/>
    <col min="1544" max="1544" width="17.85546875" style="40" customWidth="1"/>
    <col min="1545" max="1545" width="17.28515625" style="40" customWidth="1"/>
    <col min="1546" max="1546" width="10.85546875" style="40" customWidth="1"/>
    <col min="1547" max="1792" width="9.140625" style="40"/>
    <col min="1793" max="1793" width="18.28515625" style="40" customWidth="1"/>
    <col min="1794" max="1794" width="48.5703125" style="40" customWidth="1"/>
    <col min="1795" max="1795" width="14.7109375" style="40" customWidth="1"/>
    <col min="1796" max="1796" width="14.28515625" style="40" customWidth="1"/>
    <col min="1797" max="1797" width="30.7109375" style="40" customWidth="1"/>
    <col min="1798" max="1798" width="12.5703125" style="40" customWidth="1"/>
    <col min="1799" max="1799" width="15" style="40" customWidth="1"/>
    <col min="1800" max="1800" width="17.85546875" style="40" customWidth="1"/>
    <col min="1801" max="1801" width="17.28515625" style="40" customWidth="1"/>
    <col min="1802" max="1802" width="10.85546875" style="40" customWidth="1"/>
    <col min="1803" max="2048" width="9.140625" style="40"/>
    <col min="2049" max="2049" width="18.28515625" style="40" customWidth="1"/>
    <col min="2050" max="2050" width="48.5703125" style="40" customWidth="1"/>
    <col min="2051" max="2051" width="14.7109375" style="40" customWidth="1"/>
    <col min="2052" max="2052" width="14.28515625" style="40" customWidth="1"/>
    <col min="2053" max="2053" width="30.7109375" style="40" customWidth="1"/>
    <col min="2054" max="2054" width="12.5703125" style="40" customWidth="1"/>
    <col min="2055" max="2055" width="15" style="40" customWidth="1"/>
    <col min="2056" max="2056" width="17.85546875" style="40" customWidth="1"/>
    <col min="2057" max="2057" width="17.28515625" style="40" customWidth="1"/>
    <col min="2058" max="2058" width="10.85546875" style="40" customWidth="1"/>
    <col min="2059" max="2304" width="9.140625" style="40"/>
    <col min="2305" max="2305" width="18.28515625" style="40" customWidth="1"/>
    <col min="2306" max="2306" width="48.5703125" style="40" customWidth="1"/>
    <col min="2307" max="2307" width="14.7109375" style="40" customWidth="1"/>
    <col min="2308" max="2308" width="14.28515625" style="40" customWidth="1"/>
    <col min="2309" max="2309" width="30.7109375" style="40" customWidth="1"/>
    <col min="2310" max="2310" width="12.5703125" style="40" customWidth="1"/>
    <col min="2311" max="2311" width="15" style="40" customWidth="1"/>
    <col min="2312" max="2312" width="17.85546875" style="40" customWidth="1"/>
    <col min="2313" max="2313" width="17.28515625" style="40" customWidth="1"/>
    <col min="2314" max="2314" width="10.85546875" style="40" customWidth="1"/>
    <col min="2315" max="2560" width="9.140625" style="40"/>
    <col min="2561" max="2561" width="18.28515625" style="40" customWidth="1"/>
    <col min="2562" max="2562" width="48.5703125" style="40" customWidth="1"/>
    <col min="2563" max="2563" width="14.7109375" style="40" customWidth="1"/>
    <col min="2564" max="2564" width="14.28515625" style="40" customWidth="1"/>
    <col min="2565" max="2565" width="30.7109375" style="40" customWidth="1"/>
    <col min="2566" max="2566" width="12.5703125" style="40" customWidth="1"/>
    <col min="2567" max="2567" width="15" style="40" customWidth="1"/>
    <col min="2568" max="2568" width="17.85546875" style="40" customWidth="1"/>
    <col min="2569" max="2569" width="17.28515625" style="40" customWidth="1"/>
    <col min="2570" max="2570" width="10.85546875" style="40" customWidth="1"/>
    <col min="2571" max="2816" width="9.140625" style="40"/>
    <col min="2817" max="2817" width="18.28515625" style="40" customWidth="1"/>
    <col min="2818" max="2818" width="48.5703125" style="40" customWidth="1"/>
    <col min="2819" max="2819" width="14.7109375" style="40" customWidth="1"/>
    <col min="2820" max="2820" width="14.28515625" style="40" customWidth="1"/>
    <col min="2821" max="2821" width="30.7109375" style="40" customWidth="1"/>
    <col min="2822" max="2822" width="12.5703125" style="40" customWidth="1"/>
    <col min="2823" max="2823" width="15" style="40" customWidth="1"/>
    <col min="2824" max="2824" width="17.85546875" style="40" customWidth="1"/>
    <col min="2825" max="2825" width="17.28515625" style="40" customWidth="1"/>
    <col min="2826" max="2826" width="10.85546875" style="40" customWidth="1"/>
    <col min="2827" max="3072" width="9.140625" style="40"/>
    <col min="3073" max="3073" width="18.28515625" style="40" customWidth="1"/>
    <col min="3074" max="3074" width="48.5703125" style="40" customWidth="1"/>
    <col min="3075" max="3075" width="14.7109375" style="40" customWidth="1"/>
    <col min="3076" max="3076" width="14.28515625" style="40" customWidth="1"/>
    <col min="3077" max="3077" width="30.7109375" style="40" customWidth="1"/>
    <col min="3078" max="3078" width="12.5703125" style="40" customWidth="1"/>
    <col min="3079" max="3079" width="15" style="40" customWidth="1"/>
    <col min="3080" max="3080" width="17.85546875" style="40" customWidth="1"/>
    <col min="3081" max="3081" width="17.28515625" style="40" customWidth="1"/>
    <col min="3082" max="3082" width="10.85546875" style="40" customWidth="1"/>
    <col min="3083" max="3328" width="9.140625" style="40"/>
    <col min="3329" max="3329" width="18.28515625" style="40" customWidth="1"/>
    <col min="3330" max="3330" width="48.5703125" style="40" customWidth="1"/>
    <col min="3331" max="3331" width="14.7109375" style="40" customWidth="1"/>
    <col min="3332" max="3332" width="14.28515625" style="40" customWidth="1"/>
    <col min="3333" max="3333" width="30.7109375" style="40" customWidth="1"/>
    <col min="3334" max="3334" width="12.5703125" style="40" customWidth="1"/>
    <col min="3335" max="3335" width="15" style="40" customWidth="1"/>
    <col min="3336" max="3336" width="17.85546875" style="40" customWidth="1"/>
    <col min="3337" max="3337" width="17.28515625" style="40" customWidth="1"/>
    <col min="3338" max="3338" width="10.85546875" style="40" customWidth="1"/>
    <col min="3339" max="3584" width="9.140625" style="40"/>
    <col min="3585" max="3585" width="18.28515625" style="40" customWidth="1"/>
    <col min="3586" max="3586" width="48.5703125" style="40" customWidth="1"/>
    <col min="3587" max="3587" width="14.7109375" style="40" customWidth="1"/>
    <col min="3588" max="3588" width="14.28515625" style="40" customWidth="1"/>
    <col min="3589" max="3589" width="30.7109375" style="40" customWidth="1"/>
    <col min="3590" max="3590" width="12.5703125" style="40" customWidth="1"/>
    <col min="3591" max="3591" width="15" style="40" customWidth="1"/>
    <col min="3592" max="3592" width="17.85546875" style="40" customWidth="1"/>
    <col min="3593" max="3593" width="17.28515625" style="40" customWidth="1"/>
    <col min="3594" max="3594" width="10.85546875" style="40" customWidth="1"/>
    <col min="3595" max="3840" width="9.140625" style="40"/>
    <col min="3841" max="3841" width="18.28515625" style="40" customWidth="1"/>
    <col min="3842" max="3842" width="48.5703125" style="40" customWidth="1"/>
    <col min="3843" max="3843" width="14.7109375" style="40" customWidth="1"/>
    <col min="3844" max="3844" width="14.28515625" style="40" customWidth="1"/>
    <col min="3845" max="3845" width="30.7109375" style="40" customWidth="1"/>
    <col min="3846" max="3846" width="12.5703125" style="40" customWidth="1"/>
    <col min="3847" max="3847" width="15" style="40" customWidth="1"/>
    <col min="3848" max="3848" width="17.85546875" style="40" customWidth="1"/>
    <col min="3849" max="3849" width="17.28515625" style="40" customWidth="1"/>
    <col min="3850" max="3850" width="10.85546875" style="40" customWidth="1"/>
    <col min="3851" max="4096" width="9.140625" style="40"/>
    <col min="4097" max="4097" width="18.28515625" style="40" customWidth="1"/>
    <col min="4098" max="4098" width="48.5703125" style="40" customWidth="1"/>
    <col min="4099" max="4099" width="14.7109375" style="40" customWidth="1"/>
    <col min="4100" max="4100" width="14.28515625" style="40" customWidth="1"/>
    <col min="4101" max="4101" width="30.7109375" style="40" customWidth="1"/>
    <col min="4102" max="4102" width="12.5703125" style="40" customWidth="1"/>
    <col min="4103" max="4103" width="15" style="40" customWidth="1"/>
    <col min="4104" max="4104" width="17.85546875" style="40" customWidth="1"/>
    <col min="4105" max="4105" width="17.28515625" style="40" customWidth="1"/>
    <col min="4106" max="4106" width="10.85546875" style="40" customWidth="1"/>
    <col min="4107" max="4352" width="9.140625" style="40"/>
    <col min="4353" max="4353" width="18.28515625" style="40" customWidth="1"/>
    <col min="4354" max="4354" width="48.5703125" style="40" customWidth="1"/>
    <col min="4355" max="4355" width="14.7109375" style="40" customWidth="1"/>
    <col min="4356" max="4356" width="14.28515625" style="40" customWidth="1"/>
    <col min="4357" max="4357" width="30.7109375" style="40" customWidth="1"/>
    <col min="4358" max="4358" width="12.5703125" style="40" customWidth="1"/>
    <col min="4359" max="4359" width="15" style="40" customWidth="1"/>
    <col min="4360" max="4360" width="17.85546875" style="40" customWidth="1"/>
    <col min="4361" max="4361" width="17.28515625" style="40" customWidth="1"/>
    <col min="4362" max="4362" width="10.85546875" style="40" customWidth="1"/>
    <col min="4363" max="4608" width="9.140625" style="40"/>
    <col min="4609" max="4609" width="18.28515625" style="40" customWidth="1"/>
    <col min="4610" max="4610" width="48.5703125" style="40" customWidth="1"/>
    <col min="4611" max="4611" width="14.7109375" style="40" customWidth="1"/>
    <col min="4612" max="4612" width="14.28515625" style="40" customWidth="1"/>
    <col min="4613" max="4613" width="30.7109375" style="40" customWidth="1"/>
    <col min="4614" max="4614" width="12.5703125" style="40" customWidth="1"/>
    <col min="4615" max="4615" width="15" style="40" customWidth="1"/>
    <col min="4616" max="4616" width="17.85546875" style="40" customWidth="1"/>
    <col min="4617" max="4617" width="17.28515625" style="40" customWidth="1"/>
    <col min="4618" max="4618" width="10.85546875" style="40" customWidth="1"/>
    <col min="4619" max="4864" width="9.140625" style="40"/>
    <col min="4865" max="4865" width="18.28515625" style="40" customWidth="1"/>
    <col min="4866" max="4866" width="48.5703125" style="40" customWidth="1"/>
    <col min="4867" max="4867" width="14.7109375" style="40" customWidth="1"/>
    <col min="4868" max="4868" width="14.28515625" style="40" customWidth="1"/>
    <col min="4869" max="4869" width="30.7109375" style="40" customWidth="1"/>
    <col min="4870" max="4870" width="12.5703125" style="40" customWidth="1"/>
    <col min="4871" max="4871" width="15" style="40" customWidth="1"/>
    <col min="4872" max="4872" width="17.85546875" style="40" customWidth="1"/>
    <col min="4873" max="4873" width="17.28515625" style="40" customWidth="1"/>
    <col min="4874" max="4874" width="10.85546875" style="40" customWidth="1"/>
    <col min="4875" max="5120" width="9.140625" style="40"/>
    <col min="5121" max="5121" width="18.28515625" style="40" customWidth="1"/>
    <col min="5122" max="5122" width="48.5703125" style="40" customWidth="1"/>
    <col min="5123" max="5123" width="14.7109375" style="40" customWidth="1"/>
    <col min="5124" max="5124" width="14.28515625" style="40" customWidth="1"/>
    <col min="5125" max="5125" width="30.7109375" style="40" customWidth="1"/>
    <col min="5126" max="5126" width="12.5703125" style="40" customWidth="1"/>
    <col min="5127" max="5127" width="15" style="40" customWidth="1"/>
    <col min="5128" max="5128" width="17.85546875" style="40" customWidth="1"/>
    <col min="5129" max="5129" width="17.28515625" style="40" customWidth="1"/>
    <col min="5130" max="5130" width="10.85546875" style="40" customWidth="1"/>
    <col min="5131" max="5376" width="9.140625" style="40"/>
    <col min="5377" max="5377" width="18.28515625" style="40" customWidth="1"/>
    <col min="5378" max="5378" width="48.5703125" style="40" customWidth="1"/>
    <col min="5379" max="5379" width="14.7109375" style="40" customWidth="1"/>
    <col min="5380" max="5380" width="14.28515625" style="40" customWidth="1"/>
    <col min="5381" max="5381" width="30.7109375" style="40" customWidth="1"/>
    <col min="5382" max="5382" width="12.5703125" style="40" customWidth="1"/>
    <col min="5383" max="5383" width="15" style="40" customWidth="1"/>
    <col min="5384" max="5384" width="17.85546875" style="40" customWidth="1"/>
    <col min="5385" max="5385" width="17.28515625" style="40" customWidth="1"/>
    <col min="5386" max="5386" width="10.85546875" style="40" customWidth="1"/>
    <col min="5387" max="5632" width="9.140625" style="40"/>
    <col min="5633" max="5633" width="18.28515625" style="40" customWidth="1"/>
    <col min="5634" max="5634" width="48.5703125" style="40" customWidth="1"/>
    <col min="5635" max="5635" width="14.7109375" style="40" customWidth="1"/>
    <col min="5636" max="5636" width="14.28515625" style="40" customWidth="1"/>
    <col min="5637" max="5637" width="30.7109375" style="40" customWidth="1"/>
    <col min="5638" max="5638" width="12.5703125" style="40" customWidth="1"/>
    <col min="5639" max="5639" width="15" style="40" customWidth="1"/>
    <col min="5640" max="5640" width="17.85546875" style="40" customWidth="1"/>
    <col min="5641" max="5641" width="17.28515625" style="40" customWidth="1"/>
    <col min="5642" max="5642" width="10.85546875" style="40" customWidth="1"/>
    <col min="5643" max="5888" width="9.140625" style="40"/>
    <col min="5889" max="5889" width="18.28515625" style="40" customWidth="1"/>
    <col min="5890" max="5890" width="48.5703125" style="40" customWidth="1"/>
    <col min="5891" max="5891" width="14.7109375" style="40" customWidth="1"/>
    <col min="5892" max="5892" width="14.28515625" style="40" customWidth="1"/>
    <col min="5893" max="5893" width="30.7109375" style="40" customWidth="1"/>
    <col min="5894" max="5894" width="12.5703125" style="40" customWidth="1"/>
    <col min="5895" max="5895" width="15" style="40" customWidth="1"/>
    <col min="5896" max="5896" width="17.85546875" style="40" customWidth="1"/>
    <col min="5897" max="5897" width="17.28515625" style="40" customWidth="1"/>
    <col min="5898" max="5898" width="10.85546875" style="40" customWidth="1"/>
    <col min="5899" max="6144" width="9.140625" style="40"/>
    <col min="6145" max="6145" width="18.28515625" style="40" customWidth="1"/>
    <col min="6146" max="6146" width="48.5703125" style="40" customWidth="1"/>
    <col min="6147" max="6147" width="14.7109375" style="40" customWidth="1"/>
    <col min="6148" max="6148" width="14.28515625" style="40" customWidth="1"/>
    <col min="6149" max="6149" width="30.7109375" style="40" customWidth="1"/>
    <col min="6150" max="6150" width="12.5703125" style="40" customWidth="1"/>
    <col min="6151" max="6151" width="15" style="40" customWidth="1"/>
    <col min="6152" max="6152" width="17.85546875" style="40" customWidth="1"/>
    <col min="6153" max="6153" width="17.28515625" style="40" customWidth="1"/>
    <col min="6154" max="6154" width="10.85546875" style="40" customWidth="1"/>
    <col min="6155" max="6400" width="9.140625" style="40"/>
    <col min="6401" max="6401" width="18.28515625" style="40" customWidth="1"/>
    <col min="6402" max="6402" width="48.5703125" style="40" customWidth="1"/>
    <col min="6403" max="6403" width="14.7109375" style="40" customWidth="1"/>
    <col min="6404" max="6404" width="14.28515625" style="40" customWidth="1"/>
    <col min="6405" max="6405" width="30.7109375" style="40" customWidth="1"/>
    <col min="6406" max="6406" width="12.5703125" style="40" customWidth="1"/>
    <col min="6407" max="6407" width="15" style="40" customWidth="1"/>
    <col min="6408" max="6408" width="17.85546875" style="40" customWidth="1"/>
    <col min="6409" max="6409" width="17.28515625" style="40" customWidth="1"/>
    <col min="6410" max="6410" width="10.85546875" style="40" customWidth="1"/>
    <col min="6411" max="6656" width="9.140625" style="40"/>
    <col min="6657" max="6657" width="18.28515625" style="40" customWidth="1"/>
    <col min="6658" max="6658" width="48.5703125" style="40" customWidth="1"/>
    <col min="6659" max="6659" width="14.7109375" style="40" customWidth="1"/>
    <col min="6660" max="6660" width="14.28515625" style="40" customWidth="1"/>
    <col min="6661" max="6661" width="30.7109375" style="40" customWidth="1"/>
    <col min="6662" max="6662" width="12.5703125" style="40" customWidth="1"/>
    <col min="6663" max="6663" width="15" style="40" customWidth="1"/>
    <col min="6664" max="6664" width="17.85546875" style="40" customWidth="1"/>
    <col min="6665" max="6665" width="17.28515625" style="40" customWidth="1"/>
    <col min="6666" max="6666" width="10.85546875" style="40" customWidth="1"/>
    <col min="6667" max="6912" width="9.140625" style="40"/>
    <col min="6913" max="6913" width="18.28515625" style="40" customWidth="1"/>
    <col min="6914" max="6914" width="48.5703125" style="40" customWidth="1"/>
    <col min="6915" max="6915" width="14.7109375" style="40" customWidth="1"/>
    <col min="6916" max="6916" width="14.28515625" style="40" customWidth="1"/>
    <col min="6917" max="6917" width="30.7109375" style="40" customWidth="1"/>
    <col min="6918" max="6918" width="12.5703125" style="40" customWidth="1"/>
    <col min="6919" max="6919" width="15" style="40" customWidth="1"/>
    <col min="6920" max="6920" width="17.85546875" style="40" customWidth="1"/>
    <col min="6921" max="6921" width="17.28515625" style="40" customWidth="1"/>
    <col min="6922" max="6922" width="10.85546875" style="40" customWidth="1"/>
    <col min="6923" max="7168" width="9.140625" style="40"/>
    <col min="7169" max="7169" width="18.28515625" style="40" customWidth="1"/>
    <col min="7170" max="7170" width="48.5703125" style="40" customWidth="1"/>
    <col min="7171" max="7171" width="14.7109375" style="40" customWidth="1"/>
    <col min="7172" max="7172" width="14.28515625" style="40" customWidth="1"/>
    <col min="7173" max="7173" width="30.7109375" style="40" customWidth="1"/>
    <col min="7174" max="7174" width="12.5703125" style="40" customWidth="1"/>
    <col min="7175" max="7175" width="15" style="40" customWidth="1"/>
    <col min="7176" max="7176" width="17.85546875" style="40" customWidth="1"/>
    <col min="7177" max="7177" width="17.28515625" style="40" customWidth="1"/>
    <col min="7178" max="7178" width="10.85546875" style="40" customWidth="1"/>
    <col min="7179" max="7424" width="9.140625" style="40"/>
    <col min="7425" max="7425" width="18.28515625" style="40" customWidth="1"/>
    <col min="7426" max="7426" width="48.5703125" style="40" customWidth="1"/>
    <col min="7427" max="7427" width="14.7109375" style="40" customWidth="1"/>
    <col min="7428" max="7428" width="14.28515625" style="40" customWidth="1"/>
    <col min="7429" max="7429" width="30.7109375" style="40" customWidth="1"/>
    <col min="7430" max="7430" width="12.5703125" style="40" customWidth="1"/>
    <col min="7431" max="7431" width="15" style="40" customWidth="1"/>
    <col min="7432" max="7432" width="17.85546875" style="40" customWidth="1"/>
    <col min="7433" max="7433" width="17.28515625" style="40" customWidth="1"/>
    <col min="7434" max="7434" width="10.85546875" style="40" customWidth="1"/>
    <col min="7435" max="7680" width="9.140625" style="40"/>
    <col min="7681" max="7681" width="18.28515625" style="40" customWidth="1"/>
    <col min="7682" max="7682" width="48.5703125" style="40" customWidth="1"/>
    <col min="7683" max="7683" width="14.7109375" style="40" customWidth="1"/>
    <col min="7684" max="7684" width="14.28515625" style="40" customWidth="1"/>
    <col min="7685" max="7685" width="30.7109375" style="40" customWidth="1"/>
    <col min="7686" max="7686" width="12.5703125" style="40" customWidth="1"/>
    <col min="7687" max="7687" width="15" style="40" customWidth="1"/>
    <col min="7688" max="7688" width="17.85546875" style="40" customWidth="1"/>
    <col min="7689" max="7689" width="17.28515625" style="40" customWidth="1"/>
    <col min="7690" max="7690" width="10.85546875" style="40" customWidth="1"/>
    <col min="7691" max="7936" width="9.140625" style="40"/>
    <col min="7937" max="7937" width="18.28515625" style="40" customWidth="1"/>
    <col min="7938" max="7938" width="48.5703125" style="40" customWidth="1"/>
    <col min="7939" max="7939" width="14.7109375" style="40" customWidth="1"/>
    <col min="7940" max="7940" width="14.28515625" style="40" customWidth="1"/>
    <col min="7941" max="7941" width="30.7109375" style="40" customWidth="1"/>
    <col min="7942" max="7942" width="12.5703125" style="40" customWidth="1"/>
    <col min="7943" max="7943" width="15" style="40" customWidth="1"/>
    <col min="7944" max="7944" width="17.85546875" style="40" customWidth="1"/>
    <col min="7945" max="7945" width="17.28515625" style="40" customWidth="1"/>
    <col min="7946" max="7946" width="10.85546875" style="40" customWidth="1"/>
    <col min="7947" max="8192" width="9.140625" style="40"/>
    <col min="8193" max="8193" width="18.28515625" style="40" customWidth="1"/>
    <col min="8194" max="8194" width="48.5703125" style="40" customWidth="1"/>
    <col min="8195" max="8195" width="14.7109375" style="40" customWidth="1"/>
    <col min="8196" max="8196" width="14.28515625" style="40" customWidth="1"/>
    <col min="8197" max="8197" width="30.7109375" style="40" customWidth="1"/>
    <col min="8198" max="8198" width="12.5703125" style="40" customWidth="1"/>
    <col min="8199" max="8199" width="15" style="40" customWidth="1"/>
    <col min="8200" max="8200" width="17.85546875" style="40" customWidth="1"/>
    <col min="8201" max="8201" width="17.28515625" style="40" customWidth="1"/>
    <col min="8202" max="8202" width="10.85546875" style="40" customWidth="1"/>
    <col min="8203" max="8448" width="9.140625" style="40"/>
    <col min="8449" max="8449" width="18.28515625" style="40" customWidth="1"/>
    <col min="8450" max="8450" width="48.5703125" style="40" customWidth="1"/>
    <col min="8451" max="8451" width="14.7109375" style="40" customWidth="1"/>
    <col min="8452" max="8452" width="14.28515625" style="40" customWidth="1"/>
    <col min="8453" max="8453" width="30.7109375" style="40" customWidth="1"/>
    <col min="8454" max="8454" width="12.5703125" style="40" customWidth="1"/>
    <col min="8455" max="8455" width="15" style="40" customWidth="1"/>
    <col min="8456" max="8456" width="17.85546875" style="40" customWidth="1"/>
    <col min="8457" max="8457" width="17.28515625" style="40" customWidth="1"/>
    <col min="8458" max="8458" width="10.85546875" style="40" customWidth="1"/>
    <col min="8459" max="8704" width="9.140625" style="40"/>
    <col min="8705" max="8705" width="18.28515625" style="40" customWidth="1"/>
    <col min="8706" max="8706" width="48.5703125" style="40" customWidth="1"/>
    <col min="8707" max="8707" width="14.7109375" style="40" customWidth="1"/>
    <col min="8708" max="8708" width="14.28515625" style="40" customWidth="1"/>
    <col min="8709" max="8709" width="30.7109375" style="40" customWidth="1"/>
    <col min="8710" max="8710" width="12.5703125" style="40" customWidth="1"/>
    <col min="8711" max="8711" width="15" style="40" customWidth="1"/>
    <col min="8712" max="8712" width="17.85546875" style="40" customWidth="1"/>
    <col min="8713" max="8713" width="17.28515625" style="40" customWidth="1"/>
    <col min="8714" max="8714" width="10.85546875" style="40" customWidth="1"/>
    <col min="8715" max="8960" width="9.140625" style="40"/>
    <col min="8961" max="8961" width="18.28515625" style="40" customWidth="1"/>
    <col min="8962" max="8962" width="48.5703125" style="40" customWidth="1"/>
    <col min="8963" max="8963" width="14.7109375" style="40" customWidth="1"/>
    <col min="8964" max="8964" width="14.28515625" style="40" customWidth="1"/>
    <col min="8965" max="8965" width="30.7109375" style="40" customWidth="1"/>
    <col min="8966" max="8966" width="12.5703125" style="40" customWidth="1"/>
    <col min="8967" max="8967" width="15" style="40" customWidth="1"/>
    <col min="8968" max="8968" width="17.85546875" style="40" customWidth="1"/>
    <col min="8969" max="8969" width="17.28515625" style="40" customWidth="1"/>
    <col min="8970" max="8970" width="10.85546875" style="40" customWidth="1"/>
    <col min="8971" max="9216" width="9.140625" style="40"/>
    <col min="9217" max="9217" width="18.28515625" style="40" customWidth="1"/>
    <col min="9218" max="9218" width="48.5703125" style="40" customWidth="1"/>
    <col min="9219" max="9219" width="14.7109375" style="40" customWidth="1"/>
    <col min="9220" max="9220" width="14.28515625" style="40" customWidth="1"/>
    <col min="9221" max="9221" width="30.7109375" style="40" customWidth="1"/>
    <col min="9222" max="9222" width="12.5703125" style="40" customWidth="1"/>
    <col min="9223" max="9223" width="15" style="40" customWidth="1"/>
    <col min="9224" max="9224" width="17.85546875" style="40" customWidth="1"/>
    <col min="9225" max="9225" width="17.28515625" style="40" customWidth="1"/>
    <col min="9226" max="9226" width="10.85546875" style="40" customWidth="1"/>
    <col min="9227" max="9472" width="9.140625" style="40"/>
    <col min="9473" max="9473" width="18.28515625" style="40" customWidth="1"/>
    <col min="9474" max="9474" width="48.5703125" style="40" customWidth="1"/>
    <col min="9475" max="9475" width="14.7109375" style="40" customWidth="1"/>
    <col min="9476" max="9476" width="14.28515625" style="40" customWidth="1"/>
    <col min="9477" max="9477" width="30.7109375" style="40" customWidth="1"/>
    <col min="9478" max="9478" width="12.5703125" style="40" customWidth="1"/>
    <col min="9479" max="9479" width="15" style="40" customWidth="1"/>
    <col min="9480" max="9480" width="17.85546875" style="40" customWidth="1"/>
    <col min="9481" max="9481" width="17.28515625" style="40" customWidth="1"/>
    <col min="9482" max="9482" width="10.85546875" style="40" customWidth="1"/>
    <col min="9483" max="9728" width="9.140625" style="40"/>
    <col min="9729" max="9729" width="18.28515625" style="40" customWidth="1"/>
    <col min="9730" max="9730" width="48.5703125" style="40" customWidth="1"/>
    <col min="9731" max="9731" width="14.7109375" style="40" customWidth="1"/>
    <col min="9732" max="9732" width="14.28515625" style="40" customWidth="1"/>
    <col min="9733" max="9733" width="30.7109375" style="40" customWidth="1"/>
    <col min="9734" max="9734" width="12.5703125" style="40" customWidth="1"/>
    <col min="9735" max="9735" width="15" style="40" customWidth="1"/>
    <col min="9736" max="9736" width="17.85546875" style="40" customWidth="1"/>
    <col min="9737" max="9737" width="17.28515625" style="40" customWidth="1"/>
    <col min="9738" max="9738" width="10.85546875" style="40" customWidth="1"/>
    <col min="9739" max="9984" width="9.140625" style="40"/>
    <col min="9985" max="9985" width="18.28515625" style="40" customWidth="1"/>
    <col min="9986" max="9986" width="48.5703125" style="40" customWidth="1"/>
    <col min="9987" max="9987" width="14.7109375" style="40" customWidth="1"/>
    <col min="9988" max="9988" width="14.28515625" style="40" customWidth="1"/>
    <col min="9989" max="9989" width="30.7109375" style="40" customWidth="1"/>
    <col min="9990" max="9990" width="12.5703125" style="40" customWidth="1"/>
    <col min="9991" max="9991" width="15" style="40" customWidth="1"/>
    <col min="9992" max="9992" width="17.85546875" style="40" customWidth="1"/>
    <col min="9993" max="9993" width="17.28515625" style="40" customWidth="1"/>
    <col min="9994" max="9994" width="10.85546875" style="40" customWidth="1"/>
    <col min="9995" max="10240" width="9.140625" style="40"/>
    <col min="10241" max="10241" width="18.28515625" style="40" customWidth="1"/>
    <col min="10242" max="10242" width="48.5703125" style="40" customWidth="1"/>
    <col min="10243" max="10243" width="14.7109375" style="40" customWidth="1"/>
    <col min="10244" max="10244" width="14.28515625" style="40" customWidth="1"/>
    <col min="10245" max="10245" width="30.7109375" style="40" customWidth="1"/>
    <col min="10246" max="10246" width="12.5703125" style="40" customWidth="1"/>
    <col min="10247" max="10247" width="15" style="40" customWidth="1"/>
    <col min="10248" max="10248" width="17.85546875" style="40" customWidth="1"/>
    <col min="10249" max="10249" width="17.28515625" style="40" customWidth="1"/>
    <col min="10250" max="10250" width="10.85546875" style="40" customWidth="1"/>
    <col min="10251" max="10496" width="9.140625" style="40"/>
    <col min="10497" max="10497" width="18.28515625" style="40" customWidth="1"/>
    <col min="10498" max="10498" width="48.5703125" style="40" customWidth="1"/>
    <col min="10499" max="10499" width="14.7109375" style="40" customWidth="1"/>
    <col min="10500" max="10500" width="14.28515625" style="40" customWidth="1"/>
    <col min="10501" max="10501" width="30.7109375" style="40" customWidth="1"/>
    <col min="10502" max="10502" width="12.5703125" style="40" customWidth="1"/>
    <col min="10503" max="10503" width="15" style="40" customWidth="1"/>
    <col min="10504" max="10504" width="17.85546875" style="40" customWidth="1"/>
    <col min="10505" max="10505" width="17.28515625" style="40" customWidth="1"/>
    <col min="10506" max="10506" width="10.85546875" style="40" customWidth="1"/>
    <col min="10507" max="10752" width="9.140625" style="40"/>
    <col min="10753" max="10753" width="18.28515625" style="40" customWidth="1"/>
    <col min="10754" max="10754" width="48.5703125" style="40" customWidth="1"/>
    <col min="10755" max="10755" width="14.7109375" style="40" customWidth="1"/>
    <col min="10756" max="10756" width="14.28515625" style="40" customWidth="1"/>
    <col min="10757" max="10757" width="30.7109375" style="40" customWidth="1"/>
    <col min="10758" max="10758" width="12.5703125" style="40" customWidth="1"/>
    <col min="10759" max="10759" width="15" style="40" customWidth="1"/>
    <col min="10760" max="10760" width="17.85546875" style="40" customWidth="1"/>
    <col min="10761" max="10761" width="17.28515625" style="40" customWidth="1"/>
    <col min="10762" max="10762" width="10.85546875" style="40" customWidth="1"/>
    <col min="10763" max="11008" width="9.140625" style="40"/>
    <col min="11009" max="11009" width="18.28515625" style="40" customWidth="1"/>
    <col min="11010" max="11010" width="48.5703125" style="40" customWidth="1"/>
    <col min="11011" max="11011" width="14.7109375" style="40" customWidth="1"/>
    <col min="11012" max="11012" width="14.28515625" style="40" customWidth="1"/>
    <col min="11013" max="11013" width="30.7109375" style="40" customWidth="1"/>
    <col min="11014" max="11014" width="12.5703125" style="40" customWidth="1"/>
    <col min="11015" max="11015" width="15" style="40" customWidth="1"/>
    <col min="11016" max="11016" width="17.85546875" style="40" customWidth="1"/>
    <col min="11017" max="11017" width="17.28515625" style="40" customWidth="1"/>
    <col min="11018" max="11018" width="10.85546875" style="40" customWidth="1"/>
    <col min="11019" max="11264" width="9.140625" style="40"/>
    <col min="11265" max="11265" width="18.28515625" style="40" customWidth="1"/>
    <col min="11266" max="11266" width="48.5703125" style="40" customWidth="1"/>
    <col min="11267" max="11267" width="14.7109375" style="40" customWidth="1"/>
    <col min="11268" max="11268" width="14.28515625" style="40" customWidth="1"/>
    <col min="11269" max="11269" width="30.7109375" style="40" customWidth="1"/>
    <col min="11270" max="11270" width="12.5703125" style="40" customWidth="1"/>
    <col min="11271" max="11271" width="15" style="40" customWidth="1"/>
    <col min="11272" max="11272" width="17.85546875" style="40" customWidth="1"/>
    <col min="11273" max="11273" width="17.28515625" style="40" customWidth="1"/>
    <col min="11274" max="11274" width="10.85546875" style="40" customWidth="1"/>
    <col min="11275" max="11520" width="9.140625" style="40"/>
    <col min="11521" max="11521" width="18.28515625" style="40" customWidth="1"/>
    <col min="11522" max="11522" width="48.5703125" style="40" customWidth="1"/>
    <col min="11523" max="11523" width="14.7109375" style="40" customWidth="1"/>
    <col min="11524" max="11524" width="14.28515625" style="40" customWidth="1"/>
    <col min="11525" max="11525" width="30.7109375" style="40" customWidth="1"/>
    <col min="11526" max="11526" width="12.5703125" style="40" customWidth="1"/>
    <col min="11527" max="11527" width="15" style="40" customWidth="1"/>
    <col min="11528" max="11528" width="17.85546875" style="40" customWidth="1"/>
    <col min="11529" max="11529" width="17.28515625" style="40" customWidth="1"/>
    <col min="11530" max="11530" width="10.85546875" style="40" customWidth="1"/>
    <col min="11531" max="11776" width="9.140625" style="40"/>
    <col min="11777" max="11777" width="18.28515625" style="40" customWidth="1"/>
    <col min="11778" max="11778" width="48.5703125" style="40" customWidth="1"/>
    <col min="11779" max="11779" width="14.7109375" style="40" customWidth="1"/>
    <col min="11780" max="11780" width="14.28515625" style="40" customWidth="1"/>
    <col min="11781" max="11781" width="30.7109375" style="40" customWidth="1"/>
    <col min="11782" max="11782" width="12.5703125" style="40" customWidth="1"/>
    <col min="11783" max="11783" width="15" style="40" customWidth="1"/>
    <col min="11784" max="11784" width="17.85546875" style="40" customWidth="1"/>
    <col min="11785" max="11785" width="17.28515625" style="40" customWidth="1"/>
    <col min="11786" max="11786" width="10.85546875" style="40" customWidth="1"/>
    <col min="11787" max="12032" width="9.140625" style="40"/>
    <col min="12033" max="12033" width="18.28515625" style="40" customWidth="1"/>
    <col min="12034" max="12034" width="48.5703125" style="40" customWidth="1"/>
    <col min="12035" max="12035" width="14.7109375" style="40" customWidth="1"/>
    <col min="12036" max="12036" width="14.28515625" style="40" customWidth="1"/>
    <col min="12037" max="12037" width="30.7109375" style="40" customWidth="1"/>
    <col min="12038" max="12038" width="12.5703125" style="40" customWidth="1"/>
    <col min="12039" max="12039" width="15" style="40" customWidth="1"/>
    <col min="12040" max="12040" width="17.85546875" style="40" customWidth="1"/>
    <col min="12041" max="12041" width="17.28515625" style="40" customWidth="1"/>
    <col min="12042" max="12042" width="10.85546875" style="40" customWidth="1"/>
    <col min="12043" max="12288" width="9.140625" style="40"/>
    <col min="12289" max="12289" width="18.28515625" style="40" customWidth="1"/>
    <col min="12290" max="12290" width="48.5703125" style="40" customWidth="1"/>
    <col min="12291" max="12291" width="14.7109375" style="40" customWidth="1"/>
    <col min="12292" max="12292" width="14.28515625" style="40" customWidth="1"/>
    <col min="12293" max="12293" width="30.7109375" style="40" customWidth="1"/>
    <col min="12294" max="12294" width="12.5703125" style="40" customWidth="1"/>
    <col min="12295" max="12295" width="15" style="40" customWidth="1"/>
    <col min="12296" max="12296" width="17.85546875" style="40" customWidth="1"/>
    <col min="12297" max="12297" width="17.28515625" style="40" customWidth="1"/>
    <col min="12298" max="12298" width="10.85546875" style="40" customWidth="1"/>
    <col min="12299" max="12544" width="9.140625" style="40"/>
    <col min="12545" max="12545" width="18.28515625" style="40" customWidth="1"/>
    <col min="12546" max="12546" width="48.5703125" style="40" customWidth="1"/>
    <col min="12547" max="12547" width="14.7109375" style="40" customWidth="1"/>
    <col min="12548" max="12548" width="14.28515625" style="40" customWidth="1"/>
    <col min="12549" max="12549" width="30.7109375" style="40" customWidth="1"/>
    <col min="12550" max="12550" width="12.5703125" style="40" customWidth="1"/>
    <col min="12551" max="12551" width="15" style="40" customWidth="1"/>
    <col min="12552" max="12552" width="17.85546875" style="40" customWidth="1"/>
    <col min="12553" max="12553" width="17.28515625" style="40" customWidth="1"/>
    <col min="12554" max="12554" width="10.85546875" style="40" customWidth="1"/>
    <col min="12555" max="12800" width="9.140625" style="40"/>
    <col min="12801" max="12801" width="18.28515625" style="40" customWidth="1"/>
    <col min="12802" max="12802" width="48.5703125" style="40" customWidth="1"/>
    <col min="12803" max="12803" width="14.7109375" style="40" customWidth="1"/>
    <col min="12804" max="12804" width="14.28515625" style="40" customWidth="1"/>
    <col min="12805" max="12805" width="30.7109375" style="40" customWidth="1"/>
    <col min="12806" max="12806" width="12.5703125" style="40" customWidth="1"/>
    <col min="12807" max="12807" width="15" style="40" customWidth="1"/>
    <col min="12808" max="12808" width="17.85546875" style="40" customWidth="1"/>
    <col min="12809" max="12809" width="17.28515625" style="40" customWidth="1"/>
    <col min="12810" max="12810" width="10.85546875" style="40" customWidth="1"/>
    <col min="12811" max="13056" width="9.140625" style="40"/>
    <col min="13057" max="13057" width="18.28515625" style="40" customWidth="1"/>
    <col min="13058" max="13058" width="48.5703125" style="40" customWidth="1"/>
    <col min="13059" max="13059" width="14.7109375" style="40" customWidth="1"/>
    <col min="13060" max="13060" width="14.28515625" style="40" customWidth="1"/>
    <col min="13061" max="13061" width="30.7109375" style="40" customWidth="1"/>
    <col min="13062" max="13062" width="12.5703125" style="40" customWidth="1"/>
    <col min="13063" max="13063" width="15" style="40" customWidth="1"/>
    <col min="13064" max="13064" width="17.85546875" style="40" customWidth="1"/>
    <col min="13065" max="13065" width="17.28515625" style="40" customWidth="1"/>
    <col min="13066" max="13066" width="10.85546875" style="40" customWidth="1"/>
    <col min="13067" max="13312" width="9.140625" style="40"/>
    <col min="13313" max="13313" width="18.28515625" style="40" customWidth="1"/>
    <col min="13314" max="13314" width="48.5703125" style="40" customWidth="1"/>
    <col min="13315" max="13315" width="14.7109375" style="40" customWidth="1"/>
    <col min="13316" max="13316" width="14.28515625" style="40" customWidth="1"/>
    <col min="13317" max="13317" width="30.7109375" style="40" customWidth="1"/>
    <col min="13318" max="13318" width="12.5703125" style="40" customWidth="1"/>
    <col min="13319" max="13319" width="15" style="40" customWidth="1"/>
    <col min="13320" max="13320" width="17.85546875" style="40" customWidth="1"/>
    <col min="13321" max="13321" width="17.28515625" style="40" customWidth="1"/>
    <col min="13322" max="13322" width="10.85546875" style="40" customWidth="1"/>
    <col min="13323" max="13568" width="9.140625" style="40"/>
    <col min="13569" max="13569" width="18.28515625" style="40" customWidth="1"/>
    <col min="13570" max="13570" width="48.5703125" style="40" customWidth="1"/>
    <col min="13571" max="13571" width="14.7109375" style="40" customWidth="1"/>
    <col min="13572" max="13572" width="14.28515625" style="40" customWidth="1"/>
    <col min="13573" max="13573" width="30.7109375" style="40" customWidth="1"/>
    <col min="13574" max="13574" width="12.5703125" style="40" customWidth="1"/>
    <col min="13575" max="13575" width="15" style="40" customWidth="1"/>
    <col min="13576" max="13576" width="17.85546875" style="40" customWidth="1"/>
    <col min="13577" max="13577" width="17.28515625" style="40" customWidth="1"/>
    <col min="13578" max="13578" width="10.85546875" style="40" customWidth="1"/>
    <col min="13579" max="13824" width="9.140625" style="40"/>
    <col min="13825" max="13825" width="18.28515625" style="40" customWidth="1"/>
    <col min="13826" max="13826" width="48.5703125" style="40" customWidth="1"/>
    <col min="13827" max="13827" width="14.7109375" style="40" customWidth="1"/>
    <col min="13828" max="13828" width="14.28515625" style="40" customWidth="1"/>
    <col min="13829" max="13829" width="30.7109375" style="40" customWidth="1"/>
    <col min="13830" max="13830" width="12.5703125" style="40" customWidth="1"/>
    <col min="13831" max="13831" width="15" style="40" customWidth="1"/>
    <col min="13832" max="13832" width="17.85546875" style="40" customWidth="1"/>
    <col min="13833" max="13833" width="17.28515625" style="40" customWidth="1"/>
    <col min="13834" max="13834" width="10.85546875" style="40" customWidth="1"/>
    <col min="13835" max="14080" width="9.140625" style="40"/>
    <col min="14081" max="14081" width="18.28515625" style="40" customWidth="1"/>
    <col min="14082" max="14082" width="48.5703125" style="40" customWidth="1"/>
    <col min="14083" max="14083" width="14.7109375" style="40" customWidth="1"/>
    <col min="14084" max="14084" width="14.28515625" style="40" customWidth="1"/>
    <col min="14085" max="14085" width="30.7109375" style="40" customWidth="1"/>
    <col min="14086" max="14086" width="12.5703125" style="40" customWidth="1"/>
    <col min="14087" max="14087" width="15" style="40" customWidth="1"/>
    <col min="14088" max="14088" width="17.85546875" style="40" customWidth="1"/>
    <col min="14089" max="14089" width="17.28515625" style="40" customWidth="1"/>
    <col min="14090" max="14090" width="10.85546875" style="40" customWidth="1"/>
    <col min="14091" max="14336" width="9.140625" style="40"/>
    <col min="14337" max="14337" width="18.28515625" style="40" customWidth="1"/>
    <col min="14338" max="14338" width="48.5703125" style="40" customWidth="1"/>
    <col min="14339" max="14339" width="14.7109375" style="40" customWidth="1"/>
    <col min="14340" max="14340" width="14.28515625" style="40" customWidth="1"/>
    <col min="14341" max="14341" width="30.7109375" style="40" customWidth="1"/>
    <col min="14342" max="14342" width="12.5703125" style="40" customWidth="1"/>
    <col min="14343" max="14343" width="15" style="40" customWidth="1"/>
    <col min="14344" max="14344" width="17.85546875" style="40" customWidth="1"/>
    <col min="14345" max="14345" width="17.28515625" style="40" customWidth="1"/>
    <col min="14346" max="14346" width="10.85546875" style="40" customWidth="1"/>
    <col min="14347" max="14592" width="9.140625" style="40"/>
    <col min="14593" max="14593" width="18.28515625" style="40" customWidth="1"/>
    <col min="14594" max="14594" width="48.5703125" style="40" customWidth="1"/>
    <col min="14595" max="14595" width="14.7109375" style="40" customWidth="1"/>
    <col min="14596" max="14596" width="14.28515625" style="40" customWidth="1"/>
    <col min="14597" max="14597" width="30.7109375" style="40" customWidth="1"/>
    <col min="14598" max="14598" width="12.5703125" style="40" customWidth="1"/>
    <col min="14599" max="14599" width="15" style="40" customWidth="1"/>
    <col min="14600" max="14600" width="17.85546875" style="40" customWidth="1"/>
    <col min="14601" max="14601" width="17.28515625" style="40" customWidth="1"/>
    <col min="14602" max="14602" width="10.85546875" style="40" customWidth="1"/>
    <col min="14603" max="14848" width="9.140625" style="40"/>
    <col min="14849" max="14849" width="18.28515625" style="40" customWidth="1"/>
    <col min="14850" max="14850" width="48.5703125" style="40" customWidth="1"/>
    <col min="14851" max="14851" width="14.7109375" style="40" customWidth="1"/>
    <col min="14852" max="14852" width="14.28515625" style="40" customWidth="1"/>
    <col min="14853" max="14853" width="30.7109375" style="40" customWidth="1"/>
    <col min="14854" max="14854" width="12.5703125" style="40" customWidth="1"/>
    <col min="14855" max="14855" width="15" style="40" customWidth="1"/>
    <col min="14856" max="14856" width="17.85546875" style="40" customWidth="1"/>
    <col min="14857" max="14857" width="17.28515625" style="40" customWidth="1"/>
    <col min="14858" max="14858" width="10.85546875" style="40" customWidth="1"/>
    <col min="14859" max="15104" width="9.140625" style="40"/>
    <col min="15105" max="15105" width="18.28515625" style="40" customWidth="1"/>
    <col min="15106" max="15106" width="48.5703125" style="40" customWidth="1"/>
    <col min="15107" max="15107" width="14.7109375" style="40" customWidth="1"/>
    <col min="15108" max="15108" width="14.28515625" style="40" customWidth="1"/>
    <col min="15109" max="15109" width="30.7109375" style="40" customWidth="1"/>
    <col min="15110" max="15110" width="12.5703125" style="40" customWidth="1"/>
    <col min="15111" max="15111" width="15" style="40" customWidth="1"/>
    <col min="15112" max="15112" width="17.85546875" style="40" customWidth="1"/>
    <col min="15113" max="15113" width="17.28515625" style="40" customWidth="1"/>
    <col min="15114" max="15114" width="10.85546875" style="40" customWidth="1"/>
    <col min="15115" max="15360" width="9.140625" style="40"/>
    <col min="15361" max="15361" width="18.28515625" style="40" customWidth="1"/>
    <col min="15362" max="15362" width="48.5703125" style="40" customWidth="1"/>
    <col min="15363" max="15363" width="14.7109375" style="40" customWidth="1"/>
    <col min="15364" max="15364" width="14.28515625" style="40" customWidth="1"/>
    <col min="15365" max="15365" width="30.7109375" style="40" customWidth="1"/>
    <col min="15366" max="15366" width="12.5703125" style="40" customWidth="1"/>
    <col min="15367" max="15367" width="15" style="40" customWidth="1"/>
    <col min="15368" max="15368" width="17.85546875" style="40" customWidth="1"/>
    <col min="15369" max="15369" width="17.28515625" style="40" customWidth="1"/>
    <col min="15370" max="15370" width="10.85546875" style="40" customWidth="1"/>
    <col min="15371" max="15616" width="9.140625" style="40"/>
    <col min="15617" max="15617" width="18.28515625" style="40" customWidth="1"/>
    <col min="15618" max="15618" width="48.5703125" style="40" customWidth="1"/>
    <col min="15619" max="15619" width="14.7109375" style="40" customWidth="1"/>
    <col min="15620" max="15620" width="14.28515625" style="40" customWidth="1"/>
    <col min="15621" max="15621" width="30.7109375" style="40" customWidth="1"/>
    <col min="15622" max="15622" width="12.5703125" style="40" customWidth="1"/>
    <col min="15623" max="15623" width="15" style="40" customWidth="1"/>
    <col min="15624" max="15624" width="17.85546875" style="40" customWidth="1"/>
    <col min="15625" max="15625" width="17.28515625" style="40" customWidth="1"/>
    <col min="15626" max="15626" width="10.85546875" style="40" customWidth="1"/>
    <col min="15627" max="15872" width="9.140625" style="40"/>
    <col min="15873" max="15873" width="18.28515625" style="40" customWidth="1"/>
    <col min="15874" max="15874" width="48.5703125" style="40" customWidth="1"/>
    <col min="15875" max="15875" width="14.7109375" style="40" customWidth="1"/>
    <col min="15876" max="15876" width="14.28515625" style="40" customWidth="1"/>
    <col min="15877" max="15877" width="30.7109375" style="40" customWidth="1"/>
    <col min="15878" max="15878" width="12.5703125" style="40" customWidth="1"/>
    <col min="15879" max="15879" width="15" style="40" customWidth="1"/>
    <col min="15880" max="15880" width="17.85546875" style="40" customWidth="1"/>
    <col min="15881" max="15881" width="17.28515625" style="40" customWidth="1"/>
    <col min="15882" max="15882" width="10.85546875" style="40" customWidth="1"/>
    <col min="15883" max="16128" width="9.140625" style="40"/>
    <col min="16129" max="16129" width="18.28515625" style="40" customWidth="1"/>
    <col min="16130" max="16130" width="48.5703125" style="40" customWidth="1"/>
    <col min="16131" max="16131" width="14.7109375" style="40" customWidth="1"/>
    <col min="16132" max="16132" width="14.28515625" style="40" customWidth="1"/>
    <col min="16133" max="16133" width="30.7109375" style="40" customWidth="1"/>
    <col min="16134" max="16134" width="12.5703125" style="40" customWidth="1"/>
    <col min="16135" max="16135" width="15" style="40" customWidth="1"/>
    <col min="16136" max="16136" width="17.85546875" style="40" customWidth="1"/>
    <col min="16137" max="16137" width="17.28515625" style="40" customWidth="1"/>
    <col min="16138" max="16138" width="10.85546875" style="40" customWidth="1"/>
    <col min="16139" max="16384" width="9.140625" style="40"/>
  </cols>
  <sheetData>
    <row r="1" spans="1:9" ht="15.75" x14ac:dyDescent="0.2">
      <c r="A1" s="614" t="s">
        <v>863</v>
      </c>
      <c r="B1" s="614"/>
      <c r="C1" s="614"/>
      <c r="D1" s="614"/>
      <c r="E1" s="614"/>
      <c r="F1" s="614"/>
      <c r="G1" s="614"/>
      <c r="H1" s="614"/>
      <c r="I1" s="614"/>
    </row>
    <row r="2" spans="1:9" ht="33.75" customHeight="1" x14ac:dyDescent="0.2">
      <c r="A2" s="16" t="s">
        <v>97</v>
      </c>
      <c r="B2" s="17" t="s">
        <v>0</v>
      </c>
      <c r="C2" s="18" t="s">
        <v>1</v>
      </c>
      <c r="D2" s="18" t="s">
        <v>98</v>
      </c>
      <c r="E2" s="18" t="s">
        <v>99</v>
      </c>
      <c r="F2" s="18" t="s">
        <v>100</v>
      </c>
      <c r="G2" s="18" t="s">
        <v>101</v>
      </c>
      <c r="H2" s="19" t="s">
        <v>102</v>
      </c>
      <c r="I2" s="19" t="s">
        <v>103</v>
      </c>
    </row>
    <row r="3" spans="1:9" ht="37.9" customHeight="1" x14ac:dyDescent="0.25">
      <c r="A3" s="543" t="s">
        <v>864</v>
      </c>
      <c r="B3" s="489" t="s">
        <v>865</v>
      </c>
      <c r="C3" s="544">
        <v>282000</v>
      </c>
      <c r="D3" s="544">
        <v>149460</v>
      </c>
      <c r="E3" s="490" t="s">
        <v>106</v>
      </c>
      <c r="F3" s="545">
        <f>1806+828</f>
        <v>2634</v>
      </c>
      <c r="G3" s="516">
        <v>146826</v>
      </c>
      <c r="H3" s="546" t="s">
        <v>339</v>
      </c>
      <c r="I3" s="547">
        <v>43830</v>
      </c>
    </row>
    <row r="4" spans="1:9" ht="33.75" customHeight="1" x14ac:dyDescent="0.25">
      <c r="A4" s="543" t="s">
        <v>104</v>
      </c>
      <c r="B4" s="489" t="s">
        <v>866</v>
      </c>
      <c r="C4" s="544">
        <v>480250</v>
      </c>
      <c r="D4" s="544">
        <v>150000</v>
      </c>
      <c r="E4" s="490" t="s">
        <v>106</v>
      </c>
      <c r="F4" s="545"/>
      <c r="G4" s="516">
        <v>150000</v>
      </c>
      <c r="H4" s="546" t="s">
        <v>867</v>
      </c>
      <c r="I4" s="547">
        <v>44012</v>
      </c>
    </row>
    <row r="5" spans="1:9" ht="32.450000000000003" customHeight="1" x14ac:dyDescent="0.25">
      <c r="A5" s="543" t="s">
        <v>625</v>
      </c>
      <c r="B5" s="489" t="s">
        <v>868</v>
      </c>
      <c r="C5" s="544">
        <v>75000</v>
      </c>
      <c r="D5" s="544">
        <v>37500</v>
      </c>
      <c r="E5" s="490" t="s">
        <v>106</v>
      </c>
      <c r="F5" s="545"/>
      <c r="G5" s="516">
        <v>37500</v>
      </c>
      <c r="H5" s="546" t="s">
        <v>339</v>
      </c>
      <c r="I5" s="547">
        <v>43830</v>
      </c>
    </row>
    <row r="6" spans="1:9" s="368" customFormat="1" ht="25.9" customHeight="1" x14ac:dyDescent="0.25">
      <c r="A6" s="548" t="s">
        <v>869</v>
      </c>
      <c r="B6" s="543" t="s">
        <v>870</v>
      </c>
      <c r="C6" s="544">
        <v>24800</v>
      </c>
      <c r="D6" s="544">
        <v>14880</v>
      </c>
      <c r="E6" s="490" t="s">
        <v>106</v>
      </c>
      <c r="F6" s="545"/>
      <c r="G6" s="516">
        <v>14880</v>
      </c>
      <c r="H6" s="546" t="s">
        <v>339</v>
      </c>
      <c r="I6" s="547">
        <v>43646</v>
      </c>
    </row>
    <row r="7" spans="1:9" s="368" customFormat="1" ht="25.9" customHeight="1" x14ac:dyDescent="0.25">
      <c r="A7" s="543" t="s">
        <v>609</v>
      </c>
      <c r="B7" s="489" t="s">
        <v>871</v>
      </c>
      <c r="C7" s="544">
        <v>656500</v>
      </c>
      <c r="D7" s="544">
        <v>150000</v>
      </c>
      <c r="E7" s="490" t="s">
        <v>106</v>
      </c>
      <c r="F7" s="545"/>
      <c r="G7" s="516">
        <v>150000</v>
      </c>
      <c r="H7" s="546" t="s">
        <v>339</v>
      </c>
      <c r="I7" s="547">
        <v>44012</v>
      </c>
    </row>
    <row r="8" spans="1:9" s="368" customFormat="1" ht="25.9" customHeight="1" x14ac:dyDescent="0.25">
      <c r="A8" s="548" t="s">
        <v>110</v>
      </c>
      <c r="B8" s="543" t="s">
        <v>872</v>
      </c>
      <c r="C8" s="544">
        <v>65000</v>
      </c>
      <c r="D8" s="544">
        <v>48750</v>
      </c>
      <c r="E8" s="490" t="s">
        <v>106</v>
      </c>
      <c r="F8" s="545"/>
      <c r="G8" s="516">
        <v>48750</v>
      </c>
      <c r="H8" s="546" t="s">
        <v>339</v>
      </c>
      <c r="I8" s="547">
        <v>43830</v>
      </c>
    </row>
    <row r="9" spans="1:9" s="368" customFormat="1" ht="25.9" customHeight="1" x14ac:dyDescent="0.25">
      <c r="A9" s="543" t="s">
        <v>611</v>
      </c>
      <c r="B9" s="489" t="s">
        <v>871</v>
      </c>
      <c r="C9" s="544">
        <v>600000</v>
      </c>
      <c r="D9" s="544">
        <v>150000</v>
      </c>
      <c r="E9" s="490" t="s">
        <v>106</v>
      </c>
      <c r="F9" s="545">
        <f>135000</f>
        <v>135000</v>
      </c>
      <c r="G9" s="516">
        <v>15000</v>
      </c>
      <c r="H9" s="546" t="s">
        <v>873</v>
      </c>
      <c r="I9" s="547">
        <v>43646</v>
      </c>
    </row>
    <row r="10" spans="1:9" s="368" customFormat="1" ht="25.9" customHeight="1" x14ac:dyDescent="0.25">
      <c r="A10" s="548" t="s">
        <v>613</v>
      </c>
      <c r="B10" s="543" t="s">
        <v>874</v>
      </c>
      <c r="C10" s="544">
        <v>20500</v>
      </c>
      <c r="D10" s="544">
        <v>16400</v>
      </c>
      <c r="E10" s="490" t="s">
        <v>106</v>
      </c>
      <c r="F10" s="545"/>
      <c r="G10" s="516">
        <v>16400</v>
      </c>
      <c r="H10" s="546" t="s">
        <v>867</v>
      </c>
      <c r="I10" s="547">
        <v>43830</v>
      </c>
    </row>
    <row r="11" spans="1:9" s="368" customFormat="1" ht="25.9" customHeight="1" x14ac:dyDescent="0.25">
      <c r="A11" s="548" t="s">
        <v>875</v>
      </c>
      <c r="B11" s="543" t="s">
        <v>876</v>
      </c>
      <c r="C11" s="544">
        <v>30000</v>
      </c>
      <c r="D11" s="544">
        <v>15000</v>
      </c>
      <c r="E11" s="490" t="s">
        <v>106</v>
      </c>
      <c r="F11" s="545"/>
      <c r="G11" s="516">
        <v>15000</v>
      </c>
      <c r="H11" s="546" t="s">
        <v>339</v>
      </c>
      <c r="I11" s="547">
        <v>43646</v>
      </c>
    </row>
    <row r="12" spans="1:9" s="368" customFormat="1" ht="25.9" customHeight="1" x14ac:dyDescent="0.2">
      <c r="A12" s="495"/>
      <c r="B12" s="496" t="s">
        <v>112</v>
      </c>
      <c r="C12" s="492">
        <f>SUM(C3:C11)</f>
        <v>2234050</v>
      </c>
      <c r="D12" s="492">
        <f>SUM(D3:D11)</f>
        <v>731990</v>
      </c>
      <c r="E12" s="497"/>
      <c r="F12" s="492">
        <f>SUM(F3:F11)</f>
        <v>137634</v>
      </c>
      <c r="G12" s="492">
        <f>SUM(G3:G11)</f>
        <v>594356</v>
      </c>
      <c r="H12" s="498"/>
      <c r="I12" s="499"/>
    </row>
    <row r="13" spans="1:9" s="368" customFormat="1" ht="25.9" customHeight="1" x14ac:dyDescent="0.2">
      <c r="A13" s="436"/>
      <c r="B13" s="40"/>
      <c r="C13" s="40"/>
      <c r="D13" s="40"/>
      <c r="E13" s="40"/>
      <c r="F13" s="40"/>
      <c r="G13" s="40"/>
      <c r="H13" s="40"/>
      <c r="I13" s="40"/>
    </row>
    <row r="14" spans="1:9" s="368" customFormat="1" ht="25.9" customHeight="1" x14ac:dyDescent="0.2">
      <c r="A14" s="35"/>
      <c r="B14" s="36"/>
      <c r="C14" s="37"/>
      <c r="D14" s="37"/>
      <c r="E14" s="38"/>
      <c r="F14" s="37"/>
      <c r="G14" s="37"/>
      <c r="H14" s="39"/>
      <c r="I14" s="39"/>
    </row>
    <row r="15" spans="1:9" ht="14.45" customHeight="1" x14ac:dyDescent="0.2">
      <c r="A15" s="614" t="s">
        <v>758</v>
      </c>
      <c r="B15" s="614"/>
      <c r="C15" s="614"/>
      <c r="D15" s="614"/>
      <c r="E15" s="614"/>
      <c r="F15" s="614"/>
      <c r="G15" s="614"/>
      <c r="H15" s="614"/>
      <c r="I15" s="614"/>
    </row>
    <row r="16" spans="1:9" s="368" customFormat="1" ht="25.9" customHeight="1" x14ac:dyDescent="0.2">
      <c r="A16" s="16" t="s">
        <v>97</v>
      </c>
      <c r="B16" s="17" t="s">
        <v>0</v>
      </c>
      <c r="C16" s="18" t="s">
        <v>1</v>
      </c>
      <c r="D16" s="18" t="s">
        <v>98</v>
      </c>
      <c r="E16" s="18" t="s">
        <v>99</v>
      </c>
      <c r="F16" s="18" t="s">
        <v>100</v>
      </c>
      <c r="G16" s="18" t="s">
        <v>101</v>
      </c>
      <c r="H16" s="19" t="s">
        <v>102</v>
      </c>
      <c r="I16" s="19" t="s">
        <v>103</v>
      </c>
    </row>
    <row r="17" spans="1:9" ht="36" customHeight="1" x14ac:dyDescent="0.25">
      <c r="A17" s="488" t="s">
        <v>433</v>
      </c>
      <c r="B17" s="489" t="s">
        <v>759</v>
      </c>
      <c r="C17" s="491">
        <v>550000</v>
      </c>
      <c r="D17" s="491">
        <v>150000</v>
      </c>
      <c r="E17" s="490" t="s">
        <v>106</v>
      </c>
      <c r="F17" s="491">
        <v>149500</v>
      </c>
      <c r="G17" s="516">
        <v>500</v>
      </c>
      <c r="H17" s="493" t="s">
        <v>873</v>
      </c>
      <c r="I17" s="494">
        <v>43616</v>
      </c>
    </row>
    <row r="18" spans="1:9" ht="28.9" customHeight="1" x14ac:dyDescent="0.25">
      <c r="A18" s="488" t="s">
        <v>760</v>
      </c>
      <c r="B18" s="489" t="s">
        <v>761</v>
      </c>
      <c r="C18" s="491">
        <v>343000</v>
      </c>
      <c r="D18" s="491">
        <v>150000</v>
      </c>
      <c r="E18" s="490" t="s">
        <v>106</v>
      </c>
      <c r="F18" s="491">
        <v>0</v>
      </c>
      <c r="G18" s="516">
        <v>150000</v>
      </c>
      <c r="H18" s="493" t="s">
        <v>339</v>
      </c>
      <c r="I18" s="494">
        <v>43830</v>
      </c>
    </row>
    <row r="19" spans="1:9" s="368" customFormat="1" ht="25.9" customHeight="1" x14ac:dyDescent="0.25">
      <c r="A19" s="488" t="s">
        <v>110</v>
      </c>
      <c r="B19" s="489" t="s">
        <v>762</v>
      </c>
      <c r="C19" s="491">
        <v>63000</v>
      </c>
      <c r="D19" s="491">
        <v>47250</v>
      </c>
      <c r="E19" s="490" t="s">
        <v>106</v>
      </c>
      <c r="F19" s="491">
        <v>47250</v>
      </c>
      <c r="G19" s="516">
        <v>0</v>
      </c>
      <c r="H19" s="493" t="s">
        <v>243</v>
      </c>
      <c r="I19" s="494">
        <v>43327</v>
      </c>
    </row>
    <row r="20" spans="1:9" s="368" customFormat="1" ht="25.9" customHeight="1" x14ac:dyDescent="0.25">
      <c r="A20" s="488" t="s">
        <v>611</v>
      </c>
      <c r="B20" s="489" t="s">
        <v>763</v>
      </c>
      <c r="C20" s="491">
        <v>526680</v>
      </c>
      <c r="D20" s="491">
        <v>150000</v>
      </c>
      <c r="E20" s="490" t="s">
        <v>106</v>
      </c>
      <c r="F20" s="491">
        <v>138141</v>
      </c>
      <c r="G20" s="516">
        <v>0</v>
      </c>
      <c r="H20" s="493" t="s">
        <v>243</v>
      </c>
      <c r="I20" s="494">
        <v>43473</v>
      </c>
    </row>
    <row r="21" spans="1:9" s="368" customFormat="1" ht="25.9" customHeight="1" x14ac:dyDescent="0.25">
      <c r="A21" s="488" t="s">
        <v>764</v>
      </c>
      <c r="B21" s="489" t="s">
        <v>765</v>
      </c>
      <c r="C21" s="491">
        <v>51000</v>
      </c>
      <c r="D21" s="491">
        <v>22950</v>
      </c>
      <c r="E21" s="490" t="s">
        <v>106</v>
      </c>
      <c r="F21" s="491">
        <v>22950</v>
      </c>
      <c r="G21" s="516">
        <v>0</v>
      </c>
      <c r="H21" s="493" t="s">
        <v>243</v>
      </c>
      <c r="I21" s="494">
        <v>43312</v>
      </c>
    </row>
    <row r="22" spans="1:9" s="368" customFormat="1" ht="25.9" customHeight="1" x14ac:dyDescent="0.2">
      <c r="A22" s="495"/>
      <c r="B22" s="496" t="s">
        <v>112</v>
      </c>
      <c r="C22" s="492">
        <f>SUM(C17:C21)</f>
        <v>1533680</v>
      </c>
      <c r="D22" s="492">
        <f>SUM(D17:D21)</f>
        <v>520200</v>
      </c>
      <c r="E22" s="497"/>
      <c r="F22" s="492">
        <f>SUM(F17:F21)</f>
        <v>357841</v>
      </c>
      <c r="G22" s="492">
        <f>SUM(G17:G21)</f>
        <v>150500</v>
      </c>
      <c r="H22" s="498"/>
      <c r="I22" s="499"/>
    </row>
    <row r="23" spans="1:9" s="368" customFormat="1" ht="25.9" customHeight="1" x14ac:dyDescent="0.2">
      <c r="A23" s="436" t="s">
        <v>766</v>
      </c>
      <c r="B23" s="40"/>
      <c r="C23" s="40"/>
      <c r="D23" s="40"/>
      <c r="E23" s="40"/>
      <c r="F23" s="40"/>
      <c r="G23" s="40"/>
      <c r="H23" s="40"/>
      <c r="I23" s="40"/>
    </row>
    <row r="24" spans="1:9" s="368" customFormat="1" ht="25.9" customHeight="1" x14ac:dyDescent="0.2">
      <c r="A24" s="486"/>
      <c r="B24" s="486"/>
      <c r="C24" s="486"/>
      <c r="D24" s="486"/>
      <c r="E24" s="486"/>
      <c r="F24" s="486"/>
      <c r="G24" s="486"/>
      <c r="H24" s="486"/>
      <c r="I24" s="486"/>
    </row>
    <row r="25" spans="1:9" s="368" customFormat="1" ht="25.9" customHeight="1" x14ac:dyDescent="0.2">
      <c r="A25" s="614" t="s">
        <v>624</v>
      </c>
      <c r="B25" s="614"/>
      <c r="C25" s="614"/>
      <c r="D25" s="614"/>
      <c r="E25" s="614"/>
      <c r="F25" s="614"/>
      <c r="G25" s="614"/>
      <c r="H25" s="614"/>
      <c r="I25" s="614"/>
    </row>
    <row r="26" spans="1:9" s="368" customFormat="1" ht="25.9" customHeight="1" x14ac:dyDescent="0.2">
      <c r="A26" s="16" t="s">
        <v>97</v>
      </c>
      <c r="B26" s="17" t="s">
        <v>0</v>
      </c>
      <c r="C26" s="18" t="s">
        <v>1</v>
      </c>
      <c r="D26" s="18" t="s">
        <v>98</v>
      </c>
      <c r="E26" s="18" t="s">
        <v>99</v>
      </c>
      <c r="F26" s="18" t="s">
        <v>100</v>
      </c>
      <c r="G26" s="18" t="s">
        <v>101</v>
      </c>
      <c r="H26" s="19" t="s">
        <v>102</v>
      </c>
      <c r="I26" s="19" t="s">
        <v>103</v>
      </c>
    </row>
    <row r="27" spans="1:9" s="368" customFormat="1" ht="25.9" customHeight="1" x14ac:dyDescent="0.2">
      <c r="A27" s="500" t="s">
        <v>625</v>
      </c>
      <c r="B27" s="501" t="s">
        <v>626</v>
      </c>
      <c r="C27" s="502">
        <v>320292</v>
      </c>
      <c r="D27" s="502">
        <v>150000</v>
      </c>
      <c r="E27" s="364" t="s">
        <v>106</v>
      </c>
      <c r="F27" s="365">
        <v>150000</v>
      </c>
      <c r="G27" s="365">
        <v>0</v>
      </c>
      <c r="H27" s="366" t="s">
        <v>243</v>
      </c>
      <c r="I27" s="367">
        <v>42975</v>
      </c>
    </row>
    <row r="28" spans="1:9" s="368" customFormat="1" ht="25.9" customHeight="1" x14ac:dyDescent="0.2">
      <c r="A28" s="500" t="s">
        <v>107</v>
      </c>
      <c r="B28" s="501" t="s">
        <v>627</v>
      </c>
      <c r="C28" s="502">
        <v>391140</v>
      </c>
      <c r="D28" s="502">
        <v>141140</v>
      </c>
      <c r="E28" s="364" t="s">
        <v>106</v>
      </c>
      <c r="F28" s="365">
        <v>141140</v>
      </c>
      <c r="G28" s="365">
        <v>0</v>
      </c>
      <c r="H28" s="503" t="s">
        <v>243</v>
      </c>
      <c r="I28" s="25">
        <v>43089</v>
      </c>
    </row>
    <row r="29" spans="1:9" s="368" customFormat="1" ht="14.25" customHeight="1" x14ac:dyDescent="0.2">
      <c r="A29" s="500" t="s">
        <v>628</v>
      </c>
      <c r="B29" s="501" t="s">
        <v>629</v>
      </c>
      <c r="C29" s="502">
        <v>65000</v>
      </c>
      <c r="D29" s="502">
        <v>32500</v>
      </c>
      <c r="E29" s="364" t="s">
        <v>106</v>
      </c>
      <c r="F29" s="251">
        <v>31750</v>
      </c>
      <c r="G29" s="251">
        <v>0</v>
      </c>
      <c r="H29" s="503" t="s">
        <v>243</v>
      </c>
      <c r="I29" s="25">
        <v>42969</v>
      </c>
    </row>
    <row r="30" spans="1:9" ht="18.75" customHeight="1" x14ac:dyDescent="0.2">
      <c r="A30" s="500" t="s">
        <v>630</v>
      </c>
      <c r="B30" s="501" t="s">
        <v>631</v>
      </c>
      <c r="C30" s="502">
        <v>10000</v>
      </c>
      <c r="D30" s="502">
        <v>7000</v>
      </c>
      <c r="E30" s="364" t="s">
        <v>106</v>
      </c>
      <c r="F30" s="365">
        <v>6243</v>
      </c>
      <c r="G30" s="365">
        <v>0</v>
      </c>
      <c r="H30" s="503" t="s">
        <v>243</v>
      </c>
      <c r="I30" s="25">
        <v>42735</v>
      </c>
    </row>
    <row r="31" spans="1:9" s="15" customFormat="1" ht="33.75" customHeight="1" x14ac:dyDescent="0.2">
      <c r="A31" s="500" t="s">
        <v>632</v>
      </c>
      <c r="B31" s="501" t="s">
        <v>633</v>
      </c>
      <c r="C31" s="502">
        <v>27500</v>
      </c>
      <c r="D31" s="502">
        <v>16500</v>
      </c>
      <c r="E31" s="364" t="s">
        <v>106</v>
      </c>
      <c r="F31" s="365">
        <v>10866</v>
      </c>
      <c r="G31" s="365">
        <v>0</v>
      </c>
      <c r="H31" s="503" t="s">
        <v>243</v>
      </c>
      <c r="I31" s="25">
        <v>42901</v>
      </c>
    </row>
    <row r="32" spans="1:9" ht="57" customHeight="1" x14ac:dyDescent="0.2">
      <c r="A32" s="500" t="s">
        <v>116</v>
      </c>
      <c r="B32" s="501" t="s">
        <v>634</v>
      </c>
      <c r="C32" s="502">
        <v>80125</v>
      </c>
      <c r="D32" s="502">
        <v>56088</v>
      </c>
      <c r="E32" s="364" t="s">
        <v>106</v>
      </c>
      <c r="F32" s="365">
        <v>56088</v>
      </c>
      <c r="G32" s="365">
        <v>0</v>
      </c>
      <c r="H32" s="503" t="s">
        <v>243</v>
      </c>
      <c r="I32" s="25">
        <v>43474</v>
      </c>
    </row>
    <row r="33" spans="1:9" s="368" customFormat="1" ht="25.9" customHeight="1" x14ac:dyDescent="0.2">
      <c r="A33" s="500" t="s">
        <v>635</v>
      </c>
      <c r="B33" s="501" t="s">
        <v>636</v>
      </c>
      <c r="C33" s="502">
        <v>300000</v>
      </c>
      <c r="D33" s="502">
        <v>150000</v>
      </c>
      <c r="E33" s="364" t="s">
        <v>106</v>
      </c>
      <c r="F33" s="365">
        <v>150000</v>
      </c>
      <c r="G33" s="365">
        <v>0</v>
      </c>
      <c r="H33" s="503" t="s">
        <v>243</v>
      </c>
      <c r="I33" s="25">
        <v>43138</v>
      </c>
    </row>
    <row r="34" spans="1:9" s="368" customFormat="1" ht="25.9" customHeight="1" x14ac:dyDescent="0.2">
      <c r="A34" s="500" t="s">
        <v>611</v>
      </c>
      <c r="B34" s="501" t="s">
        <v>637</v>
      </c>
      <c r="C34" s="502">
        <v>1120000</v>
      </c>
      <c r="D34" s="502">
        <v>150000</v>
      </c>
      <c r="E34" s="364" t="s">
        <v>106</v>
      </c>
      <c r="F34" s="365">
        <v>150000</v>
      </c>
      <c r="G34" s="365">
        <v>0</v>
      </c>
      <c r="H34" s="503" t="s">
        <v>243</v>
      </c>
      <c r="I34" s="25">
        <v>43474</v>
      </c>
    </row>
    <row r="35" spans="1:9" s="368" customFormat="1" ht="25.9" customHeight="1" x14ac:dyDescent="0.2">
      <c r="A35" s="500" t="s">
        <v>613</v>
      </c>
      <c r="B35" s="501" t="s">
        <v>638</v>
      </c>
      <c r="C35" s="502">
        <v>68000</v>
      </c>
      <c r="D35" s="502">
        <v>47600</v>
      </c>
      <c r="E35" s="364" t="s">
        <v>106</v>
      </c>
      <c r="F35" s="365">
        <v>42833</v>
      </c>
      <c r="G35" s="365">
        <v>0</v>
      </c>
      <c r="H35" s="503" t="s">
        <v>243</v>
      </c>
      <c r="I35" s="25">
        <v>43122</v>
      </c>
    </row>
    <row r="36" spans="1:9" s="441" customFormat="1" ht="25.9" customHeight="1" x14ac:dyDescent="0.2">
      <c r="A36" s="194"/>
      <c r="B36" s="195" t="s">
        <v>112</v>
      </c>
      <c r="C36" s="196">
        <f>SUM(C27:C35)</f>
        <v>2382057</v>
      </c>
      <c r="D36" s="196">
        <f>SUM(D27:D35)</f>
        <v>750828</v>
      </c>
      <c r="E36" s="30"/>
      <c r="F36" s="29">
        <f>SUM(F27:F35)</f>
        <v>738920</v>
      </c>
      <c r="G36" s="29">
        <f>SUM(G27:G35)</f>
        <v>0</v>
      </c>
      <c r="H36" s="31"/>
      <c r="I36" s="32"/>
    </row>
    <row r="37" spans="1:9" s="441" customFormat="1" ht="25.9" customHeight="1" x14ac:dyDescent="0.2">
      <c r="A37" s="436" t="s">
        <v>639</v>
      </c>
      <c r="B37" s="437"/>
      <c r="C37" s="438"/>
      <c r="D37" s="438"/>
      <c r="E37" s="439"/>
      <c r="F37" s="438"/>
      <c r="G37" s="438"/>
      <c r="H37" s="379"/>
      <c r="I37" s="440"/>
    </row>
    <row r="38" spans="1:9" s="368" customFormat="1" ht="25.9" customHeight="1" x14ac:dyDescent="0.2">
      <c r="A38" s="504"/>
      <c r="B38" s="505"/>
      <c r="C38" s="506"/>
      <c r="D38" s="506"/>
      <c r="E38" s="507"/>
      <c r="F38" s="506"/>
      <c r="G38" s="506"/>
      <c r="H38" s="508"/>
      <c r="I38" s="509"/>
    </row>
    <row r="39" spans="1:9" s="368" customFormat="1" ht="25.9" customHeight="1" x14ac:dyDescent="0.2">
      <c r="A39" s="615" t="s">
        <v>599</v>
      </c>
      <c r="B39" s="615"/>
      <c r="C39" s="615"/>
      <c r="D39" s="615"/>
      <c r="E39" s="615"/>
      <c r="F39" s="615"/>
      <c r="G39" s="615"/>
      <c r="H39" s="615"/>
      <c r="I39" s="615"/>
    </row>
    <row r="40" spans="1:9" s="368" customFormat="1" ht="25.9" customHeight="1" x14ac:dyDescent="0.2">
      <c r="A40" s="16" t="s">
        <v>97</v>
      </c>
      <c r="B40" s="17" t="s">
        <v>0</v>
      </c>
      <c r="C40" s="18" t="s">
        <v>1</v>
      </c>
      <c r="D40" s="18" t="s">
        <v>98</v>
      </c>
      <c r="E40" s="18" t="s">
        <v>99</v>
      </c>
      <c r="F40" s="18" t="s">
        <v>100</v>
      </c>
      <c r="G40" s="18" t="s">
        <v>101</v>
      </c>
      <c r="H40" s="19" t="s">
        <v>102</v>
      </c>
      <c r="I40" s="19" t="s">
        <v>103</v>
      </c>
    </row>
    <row r="41" spans="1:9" s="368" customFormat="1" ht="25.9" customHeight="1" x14ac:dyDescent="0.2">
      <c r="A41" s="361" t="s">
        <v>600</v>
      </c>
      <c r="B41" s="362" t="s">
        <v>601</v>
      </c>
      <c r="C41" s="363">
        <v>2410000</v>
      </c>
      <c r="D41" s="363">
        <v>150000</v>
      </c>
      <c r="E41" s="364" t="s">
        <v>106</v>
      </c>
      <c r="F41" s="365">
        <v>150000</v>
      </c>
      <c r="G41" s="365">
        <v>0</v>
      </c>
      <c r="H41" s="503" t="s">
        <v>243</v>
      </c>
      <c r="I41" s="25">
        <v>43206</v>
      </c>
    </row>
    <row r="42" spans="1:9" ht="18.75" customHeight="1" x14ac:dyDescent="0.2">
      <c r="A42" s="361" t="s">
        <v>602</v>
      </c>
      <c r="B42" s="362" t="s">
        <v>603</v>
      </c>
      <c r="C42" s="363">
        <v>216451</v>
      </c>
      <c r="D42" s="363">
        <v>75000</v>
      </c>
      <c r="E42" s="364" t="s">
        <v>106</v>
      </c>
      <c r="F42" s="365">
        <v>47060</v>
      </c>
      <c r="G42" s="365">
        <v>0</v>
      </c>
      <c r="H42" s="503" t="s">
        <v>243</v>
      </c>
      <c r="I42" s="25">
        <v>43281</v>
      </c>
    </row>
    <row r="43" spans="1:9" s="15" customFormat="1" ht="33.75" customHeight="1" x14ac:dyDescent="0.2">
      <c r="A43" s="361" t="s">
        <v>604</v>
      </c>
      <c r="B43" s="362" t="s">
        <v>605</v>
      </c>
      <c r="C43" s="363">
        <v>18728</v>
      </c>
      <c r="D43" s="363">
        <v>15919</v>
      </c>
      <c r="E43" s="364" t="s">
        <v>106</v>
      </c>
      <c r="F43" s="365">
        <v>15919</v>
      </c>
      <c r="G43" s="365">
        <v>0</v>
      </c>
      <c r="H43" s="503" t="s">
        <v>243</v>
      </c>
      <c r="I43" s="25">
        <v>42529</v>
      </c>
    </row>
    <row r="44" spans="1:9" s="20" customFormat="1" ht="57" customHeight="1" x14ac:dyDescent="0.2">
      <c r="A44" s="361" t="s">
        <v>606</v>
      </c>
      <c r="B44" s="362" t="s">
        <v>105</v>
      </c>
      <c r="C44" s="363">
        <v>322000</v>
      </c>
      <c r="D44" s="363">
        <v>150000</v>
      </c>
      <c r="E44" s="364" t="s">
        <v>106</v>
      </c>
      <c r="F44" s="365">
        <v>150000</v>
      </c>
      <c r="G44" s="365">
        <v>0</v>
      </c>
      <c r="H44" s="503" t="s">
        <v>243</v>
      </c>
      <c r="I44" s="25">
        <v>42969</v>
      </c>
    </row>
    <row r="45" spans="1:9" s="387" customFormat="1" ht="15" x14ac:dyDescent="0.2">
      <c r="A45" s="361" t="s">
        <v>607</v>
      </c>
      <c r="B45" s="362" t="s">
        <v>608</v>
      </c>
      <c r="C45" s="363">
        <v>94500</v>
      </c>
      <c r="D45" s="363">
        <v>80325</v>
      </c>
      <c r="E45" s="364" t="s">
        <v>106</v>
      </c>
      <c r="F45" s="365">
        <v>64936</v>
      </c>
      <c r="G45" s="365">
        <v>0</v>
      </c>
      <c r="H45" s="503" t="s">
        <v>243</v>
      </c>
      <c r="I45" s="25">
        <v>42779</v>
      </c>
    </row>
    <row r="46" spans="1:9" s="387" customFormat="1" ht="28.5" customHeight="1" x14ac:dyDescent="0.2">
      <c r="A46" s="361" t="s">
        <v>609</v>
      </c>
      <c r="B46" s="362" t="s">
        <v>610</v>
      </c>
      <c r="C46" s="363">
        <v>20000</v>
      </c>
      <c r="D46" s="363">
        <v>14000</v>
      </c>
      <c r="E46" s="364" t="s">
        <v>106</v>
      </c>
      <c r="F46" s="365">
        <v>13826</v>
      </c>
      <c r="G46" s="365">
        <v>0</v>
      </c>
      <c r="H46" s="503" t="s">
        <v>243</v>
      </c>
      <c r="I46" s="25">
        <v>42719</v>
      </c>
    </row>
    <row r="47" spans="1:9" s="387" customFormat="1" ht="15" x14ac:dyDescent="0.2">
      <c r="A47" s="361" t="s">
        <v>438</v>
      </c>
      <c r="B47" s="362" t="s">
        <v>117</v>
      </c>
      <c r="C47" s="363">
        <v>26836</v>
      </c>
      <c r="D47" s="363">
        <v>16101</v>
      </c>
      <c r="E47" s="364" t="s">
        <v>106</v>
      </c>
      <c r="F47" s="365">
        <v>16101</v>
      </c>
      <c r="G47" s="365">
        <v>0</v>
      </c>
      <c r="H47" s="503" t="s">
        <v>243</v>
      </c>
      <c r="I47" s="25">
        <v>42529</v>
      </c>
    </row>
    <row r="48" spans="1:9" s="387" customFormat="1" ht="25.5" x14ac:dyDescent="0.2">
      <c r="A48" s="361" t="s">
        <v>611</v>
      </c>
      <c r="B48" s="362" t="s">
        <v>612</v>
      </c>
      <c r="C48" s="363">
        <v>182200</v>
      </c>
      <c r="D48" s="363">
        <v>150000</v>
      </c>
      <c r="E48" s="364" t="s">
        <v>106</v>
      </c>
      <c r="F48" s="365">
        <v>150000</v>
      </c>
      <c r="G48" s="365">
        <v>0</v>
      </c>
      <c r="H48" s="503" t="s">
        <v>243</v>
      </c>
      <c r="I48" s="25">
        <v>42855</v>
      </c>
    </row>
    <row r="49" spans="1:9" s="387" customFormat="1" ht="44.25" customHeight="1" x14ac:dyDescent="0.2">
      <c r="A49" s="361" t="s">
        <v>613</v>
      </c>
      <c r="B49" s="362" t="s">
        <v>614</v>
      </c>
      <c r="C49" s="363">
        <v>76650</v>
      </c>
      <c r="D49" s="363">
        <v>45990</v>
      </c>
      <c r="E49" s="364" t="s">
        <v>106</v>
      </c>
      <c r="F49" s="365">
        <v>45990</v>
      </c>
      <c r="G49" s="365">
        <v>0</v>
      </c>
      <c r="H49" s="503" t="s">
        <v>243</v>
      </c>
      <c r="I49" s="25">
        <v>42946</v>
      </c>
    </row>
    <row r="50" spans="1:9" s="387" customFormat="1" ht="27" customHeight="1" x14ac:dyDescent="0.2">
      <c r="A50" s="361" t="s">
        <v>440</v>
      </c>
      <c r="B50" s="378" t="s">
        <v>105</v>
      </c>
      <c r="C50" s="363">
        <v>630540</v>
      </c>
      <c r="D50" s="363">
        <v>150000</v>
      </c>
      <c r="E50" s="364" t="s">
        <v>106</v>
      </c>
      <c r="F50" s="365"/>
      <c r="G50" s="365">
        <v>150000</v>
      </c>
      <c r="H50" s="503" t="s">
        <v>339</v>
      </c>
      <c r="I50" s="25">
        <v>43646</v>
      </c>
    </row>
    <row r="51" spans="1:9" s="387" customFormat="1" ht="33.75" customHeight="1" x14ac:dyDescent="0.2">
      <c r="A51" s="194"/>
      <c r="B51" s="195" t="s">
        <v>112</v>
      </c>
      <c r="C51" s="196">
        <f>SUM(C41:C50)</f>
        <v>3997905</v>
      </c>
      <c r="D51" s="196">
        <f>SUM(D41:D50)</f>
        <v>847335</v>
      </c>
      <c r="E51" s="30"/>
      <c r="F51" s="29">
        <f>SUM(F41:F50)</f>
        <v>653832</v>
      </c>
      <c r="G51" s="29">
        <f>SUM(G41:G50)</f>
        <v>150000</v>
      </c>
      <c r="H51" s="31"/>
      <c r="I51" s="32"/>
    </row>
    <row r="52" spans="1:9" s="387" customFormat="1" ht="57" customHeight="1" x14ac:dyDescent="0.2">
      <c r="A52" s="614" t="s">
        <v>426</v>
      </c>
      <c r="B52" s="614"/>
      <c r="C52" s="614"/>
      <c r="D52" s="614"/>
      <c r="E52" s="614"/>
      <c r="F52" s="614"/>
      <c r="G52" s="614"/>
      <c r="H52" s="614"/>
      <c r="I52" s="614"/>
    </row>
    <row r="53" spans="1:9" s="387" customFormat="1" ht="38.25" x14ac:dyDescent="0.2">
      <c r="A53" s="16" t="s">
        <v>97</v>
      </c>
      <c r="B53" s="17" t="s">
        <v>0</v>
      </c>
      <c r="C53" s="18" t="s">
        <v>1</v>
      </c>
      <c r="D53" s="18" t="s">
        <v>98</v>
      </c>
      <c r="E53" s="18" t="s">
        <v>99</v>
      </c>
      <c r="F53" s="18" t="s">
        <v>100</v>
      </c>
      <c r="G53" s="18" t="s">
        <v>101</v>
      </c>
      <c r="H53" s="19" t="s">
        <v>102</v>
      </c>
      <c r="I53" s="19" t="s">
        <v>103</v>
      </c>
    </row>
    <row r="54" spans="1:9" s="23" customFormat="1" ht="42" customHeight="1" x14ac:dyDescent="0.2">
      <c r="A54" s="369" t="s">
        <v>427</v>
      </c>
      <c r="B54" s="374" t="s">
        <v>428</v>
      </c>
      <c r="C54" s="371">
        <v>717200</v>
      </c>
      <c r="D54" s="372">
        <v>150000</v>
      </c>
      <c r="E54" s="364" t="s">
        <v>106</v>
      </c>
      <c r="F54" s="365">
        <v>150000</v>
      </c>
      <c r="G54" s="364">
        <v>0</v>
      </c>
      <c r="H54" s="379" t="s">
        <v>114</v>
      </c>
      <c r="I54" s="367">
        <v>42339</v>
      </c>
    </row>
    <row r="55" spans="1:9" s="15" customFormat="1" ht="23.25" x14ac:dyDescent="0.2">
      <c r="A55" s="369" t="s">
        <v>104</v>
      </c>
      <c r="B55" s="370" t="s">
        <v>429</v>
      </c>
      <c r="C55" s="371">
        <v>201600</v>
      </c>
      <c r="D55" s="372">
        <v>150000</v>
      </c>
      <c r="E55" s="364" t="s">
        <v>106</v>
      </c>
      <c r="F55" s="365">
        <v>150000</v>
      </c>
      <c r="G55" s="373">
        <v>0</v>
      </c>
      <c r="H55" s="366" t="s">
        <v>114</v>
      </c>
      <c r="I55" s="367">
        <v>42972</v>
      </c>
    </row>
    <row r="56" spans="1:9" s="20" customFormat="1" ht="15" x14ac:dyDescent="0.2">
      <c r="A56" s="369" t="s">
        <v>430</v>
      </c>
      <c r="B56" s="380" t="s">
        <v>431</v>
      </c>
      <c r="C56" s="371">
        <v>235000</v>
      </c>
      <c r="D56" s="371">
        <v>117500</v>
      </c>
      <c r="E56" s="364" t="s">
        <v>106</v>
      </c>
      <c r="F56" s="365">
        <v>117500</v>
      </c>
      <c r="G56" s="381">
        <v>0</v>
      </c>
      <c r="H56" s="366" t="s">
        <v>114</v>
      </c>
      <c r="I56" s="367">
        <v>42591</v>
      </c>
    </row>
    <row r="57" spans="1:9" s="387" customFormat="1" ht="43.5" customHeight="1" x14ac:dyDescent="0.2">
      <c r="A57" s="369" t="s">
        <v>115</v>
      </c>
      <c r="B57" s="374" t="s">
        <v>432</v>
      </c>
      <c r="C57" s="371">
        <v>215657</v>
      </c>
      <c r="D57" s="372">
        <v>150000</v>
      </c>
      <c r="E57" s="364" t="s">
        <v>106</v>
      </c>
      <c r="F57" s="365">
        <v>135000</v>
      </c>
      <c r="G57" s="373">
        <v>0</v>
      </c>
      <c r="H57" s="366" t="s">
        <v>114</v>
      </c>
      <c r="I57" s="367">
        <v>42900</v>
      </c>
    </row>
    <row r="58" spans="1:9" s="387" customFormat="1" ht="25.5" x14ac:dyDescent="0.2">
      <c r="A58" s="369" t="s">
        <v>433</v>
      </c>
      <c r="B58" s="374" t="s">
        <v>434</v>
      </c>
      <c r="C58" s="371">
        <v>60000</v>
      </c>
      <c r="D58" s="372">
        <v>30000</v>
      </c>
      <c r="E58" s="364" t="s">
        <v>106</v>
      </c>
      <c r="F58" s="365">
        <v>12250</v>
      </c>
      <c r="G58" s="373">
        <v>0</v>
      </c>
      <c r="H58" s="366" t="s">
        <v>114</v>
      </c>
      <c r="I58" s="367">
        <v>41957</v>
      </c>
    </row>
    <row r="59" spans="1:9" s="387" customFormat="1" ht="15" x14ac:dyDescent="0.2">
      <c r="A59" s="369" t="s">
        <v>118</v>
      </c>
      <c r="B59" s="374" t="s">
        <v>435</v>
      </c>
      <c r="C59" s="371">
        <v>107140</v>
      </c>
      <c r="D59" s="372">
        <v>74998</v>
      </c>
      <c r="E59" s="364" t="s">
        <v>106</v>
      </c>
      <c r="F59" s="365">
        <v>74998</v>
      </c>
      <c r="G59" s="373">
        <v>0</v>
      </c>
      <c r="H59" s="366" t="s">
        <v>114</v>
      </c>
      <c r="I59" s="367">
        <v>43068</v>
      </c>
    </row>
    <row r="60" spans="1:9" s="387" customFormat="1" ht="15" x14ac:dyDescent="0.2">
      <c r="A60" s="369" t="s">
        <v>436</v>
      </c>
      <c r="B60" s="380" t="s">
        <v>437</v>
      </c>
      <c r="C60" s="371">
        <v>27135</v>
      </c>
      <c r="D60" s="371">
        <v>21708</v>
      </c>
      <c r="E60" s="364" t="s">
        <v>106</v>
      </c>
      <c r="F60" s="365">
        <v>21628</v>
      </c>
      <c r="G60" s="381">
        <v>0</v>
      </c>
      <c r="H60" s="366" t="s">
        <v>114</v>
      </c>
      <c r="I60" s="367">
        <v>42170</v>
      </c>
    </row>
    <row r="61" spans="1:9" s="387" customFormat="1" ht="25.5" x14ac:dyDescent="0.2">
      <c r="A61" s="369" t="s">
        <v>438</v>
      </c>
      <c r="B61" s="374" t="s">
        <v>439</v>
      </c>
      <c r="C61" s="371">
        <v>24000</v>
      </c>
      <c r="D61" s="372">
        <v>14400</v>
      </c>
      <c r="E61" s="364" t="s">
        <v>106</v>
      </c>
      <c r="F61" s="365">
        <v>14400</v>
      </c>
      <c r="G61" s="373">
        <v>0</v>
      </c>
      <c r="H61" s="366" t="s">
        <v>114</v>
      </c>
      <c r="I61" s="367">
        <v>42389</v>
      </c>
    </row>
    <row r="62" spans="1:9" s="387" customFormat="1" ht="15" x14ac:dyDescent="0.2">
      <c r="A62" s="369" t="s">
        <v>440</v>
      </c>
      <c r="B62" s="374" t="s">
        <v>113</v>
      </c>
      <c r="C62" s="371">
        <v>76500</v>
      </c>
      <c r="D62" s="371">
        <v>57375</v>
      </c>
      <c r="E62" s="364" t="s">
        <v>106</v>
      </c>
      <c r="F62" s="365">
        <v>57375</v>
      </c>
      <c r="G62" s="381">
        <v>0</v>
      </c>
      <c r="H62" s="366" t="s">
        <v>114</v>
      </c>
      <c r="I62" s="367">
        <v>42506</v>
      </c>
    </row>
    <row r="63" spans="1:9" s="23" customFormat="1" ht="15" x14ac:dyDescent="0.2">
      <c r="A63" s="194"/>
      <c r="B63" s="195" t="s">
        <v>112</v>
      </c>
      <c r="C63" s="196">
        <f>SUM(C54:C62)</f>
        <v>1664232</v>
      </c>
      <c r="D63" s="196">
        <f>SUM(D54:D62)</f>
        <v>765981</v>
      </c>
      <c r="E63" s="30"/>
      <c r="F63" s="29">
        <f>SUM(F54:F62)</f>
        <v>733151</v>
      </c>
      <c r="G63" s="29">
        <f>SUM(G54:G62)</f>
        <v>0</v>
      </c>
      <c r="H63" s="31"/>
      <c r="I63" s="32"/>
    </row>
    <row r="64" spans="1:9" ht="15.75" x14ac:dyDescent="0.2">
      <c r="A64" s="614" t="s">
        <v>342</v>
      </c>
      <c r="B64" s="614"/>
      <c r="C64" s="614"/>
      <c r="D64" s="614"/>
      <c r="E64" s="614"/>
      <c r="F64" s="614"/>
      <c r="G64" s="614"/>
      <c r="H64" s="614"/>
      <c r="I64" s="614"/>
    </row>
    <row r="65" spans="1:9" ht="38.25" x14ac:dyDescent="0.2">
      <c r="A65" s="16" t="s">
        <v>97</v>
      </c>
      <c r="B65" s="17" t="s">
        <v>0</v>
      </c>
      <c r="C65" s="18" t="s">
        <v>1</v>
      </c>
      <c r="D65" s="18" t="s">
        <v>98</v>
      </c>
      <c r="E65" s="18" t="s">
        <v>99</v>
      </c>
      <c r="F65" s="18" t="s">
        <v>100</v>
      </c>
      <c r="G65" s="18" t="s">
        <v>101</v>
      </c>
      <c r="H65" s="19" t="s">
        <v>102</v>
      </c>
      <c r="I65" s="19" t="s">
        <v>103</v>
      </c>
    </row>
    <row r="66" spans="1:9" x14ac:dyDescent="0.2">
      <c r="A66" s="369" t="s">
        <v>343</v>
      </c>
      <c r="B66" s="382" t="s">
        <v>344</v>
      </c>
      <c r="C66" s="383">
        <v>326250</v>
      </c>
      <c r="D66" s="384">
        <v>150000</v>
      </c>
      <c r="E66" s="364" t="s">
        <v>106</v>
      </c>
      <c r="F66" s="385">
        <v>150000</v>
      </c>
      <c r="G66" s="386">
        <f>D66-F66</f>
        <v>0</v>
      </c>
      <c r="H66" s="366" t="s">
        <v>114</v>
      </c>
      <c r="I66" s="367">
        <v>41801</v>
      </c>
    </row>
    <row r="67" spans="1:9" x14ac:dyDescent="0.2">
      <c r="A67" s="369" t="s">
        <v>345</v>
      </c>
      <c r="B67" s="388" t="s">
        <v>346</v>
      </c>
      <c r="C67" s="389">
        <v>56660</v>
      </c>
      <c r="D67" s="390">
        <v>48161</v>
      </c>
      <c r="E67" s="364" t="s">
        <v>347</v>
      </c>
      <c r="F67" s="391">
        <v>48161</v>
      </c>
      <c r="G67" s="386">
        <f t="shared" ref="G67:G74" si="0">D67-F67</f>
        <v>0</v>
      </c>
      <c r="H67" s="366" t="s">
        <v>114</v>
      </c>
      <c r="I67" s="367">
        <v>41904</v>
      </c>
    </row>
    <row r="68" spans="1:9" x14ac:dyDescent="0.2">
      <c r="A68" s="369" t="s">
        <v>348</v>
      </c>
      <c r="B68" s="392" t="s">
        <v>349</v>
      </c>
      <c r="C68" s="389">
        <v>529170</v>
      </c>
      <c r="D68" s="389">
        <v>100000</v>
      </c>
      <c r="E68" s="364" t="s">
        <v>350</v>
      </c>
      <c r="F68" s="391">
        <v>100000</v>
      </c>
      <c r="G68" s="386">
        <f t="shared" si="0"/>
        <v>0</v>
      </c>
      <c r="H68" s="393" t="s">
        <v>114</v>
      </c>
      <c r="I68" s="367">
        <v>42530</v>
      </c>
    </row>
    <row r="69" spans="1:9" s="515" customFormat="1" x14ac:dyDescent="0.2">
      <c r="A69" s="369" t="s">
        <v>351</v>
      </c>
      <c r="B69" s="382" t="s">
        <v>352</v>
      </c>
      <c r="C69" s="389">
        <v>88200</v>
      </c>
      <c r="D69" s="390">
        <v>74970</v>
      </c>
      <c r="E69" s="364" t="s">
        <v>347</v>
      </c>
      <c r="F69" s="391">
        <v>72566</v>
      </c>
      <c r="G69" s="386">
        <v>0</v>
      </c>
      <c r="H69" s="366" t="s">
        <v>114</v>
      </c>
      <c r="I69" s="367">
        <v>42958</v>
      </c>
    </row>
    <row r="70" spans="1:9" x14ac:dyDescent="0.2">
      <c r="A70" s="369" t="s">
        <v>353</v>
      </c>
      <c r="B70" s="392" t="s">
        <v>354</v>
      </c>
      <c r="C70" s="389">
        <v>300000</v>
      </c>
      <c r="D70" s="389">
        <v>150000</v>
      </c>
      <c r="E70" s="364" t="s">
        <v>441</v>
      </c>
      <c r="F70" s="391">
        <v>150000</v>
      </c>
      <c r="G70" s="386">
        <f t="shared" si="0"/>
        <v>0</v>
      </c>
      <c r="H70" s="366" t="s">
        <v>114</v>
      </c>
      <c r="I70" s="367">
        <v>41905</v>
      </c>
    </row>
    <row r="71" spans="1:9" x14ac:dyDescent="0.2">
      <c r="A71" s="369" t="s">
        <v>355</v>
      </c>
      <c r="B71" s="382" t="s">
        <v>139</v>
      </c>
      <c r="C71" s="389">
        <v>74470</v>
      </c>
      <c r="D71" s="390">
        <v>59470</v>
      </c>
      <c r="E71" s="364" t="s">
        <v>356</v>
      </c>
      <c r="F71" s="391">
        <v>57555</v>
      </c>
      <c r="G71" s="386">
        <v>0</v>
      </c>
      <c r="H71" s="366" t="s">
        <v>114</v>
      </c>
      <c r="I71" s="367">
        <v>42185</v>
      </c>
    </row>
    <row r="72" spans="1:9" x14ac:dyDescent="0.2">
      <c r="A72" s="369" t="s">
        <v>357</v>
      </c>
      <c r="B72" s="382" t="s">
        <v>358</v>
      </c>
      <c r="C72" s="389">
        <v>422375</v>
      </c>
      <c r="D72" s="389">
        <v>150000</v>
      </c>
      <c r="E72" s="364" t="s">
        <v>359</v>
      </c>
      <c r="F72" s="391">
        <v>128239</v>
      </c>
      <c r="G72" s="386">
        <v>0</v>
      </c>
      <c r="H72" s="366" t="s">
        <v>114</v>
      </c>
      <c r="I72" s="367">
        <v>42156</v>
      </c>
    </row>
    <row r="73" spans="1:9" x14ac:dyDescent="0.2">
      <c r="A73" s="369" t="s">
        <v>360</v>
      </c>
      <c r="B73" s="382" t="s">
        <v>361</v>
      </c>
      <c r="C73" s="389">
        <v>20700</v>
      </c>
      <c r="D73" s="390">
        <v>16560</v>
      </c>
      <c r="E73" s="364" t="s">
        <v>347</v>
      </c>
      <c r="F73" s="391">
        <v>16560</v>
      </c>
      <c r="G73" s="386">
        <f t="shared" si="0"/>
        <v>0</v>
      </c>
      <c r="H73" s="366" t="s">
        <v>114</v>
      </c>
      <c r="I73" s="367">
        <v>41626</v>
      </c>
    </row>
    <row r="74" spans="1:9" x14ac:dyDescent="0.2">
      <c r="A74" s="394" t="s">
        <v>362</v>
      </c>
      <c r="B74" s="395" t="s">
        <v>363</v>
      </c>
      <c r="C74" s="396">
        <v>40500</v>
      </c>
      <c r="D74" s="397">
        <v>20250</v>
      </c>
      <c r="E74" s="364" t="s">
        <v>106</v>
      </c>
      <c r="F74" s="391">
        <v>20250</v>
      </c>
      <c r="G74" s="386">
        <f t="shared" si="0"/>
        <v>0</v>
      </c>
      <c r="H74" s="366" t="s">
        <v>114</v>
      </c>
      <c r="I74" s="367">
        <v>41791</v>
      </c>
    </row>
    <row r="75" spans="1:9" x14ac:dyDescent="0.2">
      <c r="A75" s="194"/>
      <c r="B75" s="195" t="s">
        <v>112</v>
      </c>
      <c r="C75" s="196">
        <f>SUM(C66:C73)</f>
        <v>1817825</v>
      </c>
      <c r="D75" s="196">
        <f>SUM(D66:D74)</f>
        <v>769411</v>
      </c>
      <c r="E75" s="30"/>
      <c r="F75" s="29">
        <f>SUM(F66:F74)</f>
        <v>743331</v>
      </c>
      <c r="G75" s="29">
        <f>SUM(G66:G74)</f>
        <v>0</v>
      </c>
      <c r="H75" s="31"/>
      <c r="I75" s="32"/>
    </row>
    <row r="76" spans="1:9" ht="15.75" x14ac:dyDescent="0.2">
      <c r="A76" s="614" t="s">
        <v>96</v>
      </c>
      <c r="B76" s="614"/>
      <c r="C76" s="614"/>
      <c r="D76" s="614"/>
      <c r="E76" s="614"/>
      <c r="F76" s="614"/>
      <c r="G76" s="614"/>
      <c r="H76" s="614"/>
      <c r="I76" s="614"/>
    </row>
    <row r="77" spans="1:9" ht="38.25" x14ac:dyDescent="0.2">
      <c r="A77" s="16" t="s">
        <v>97</v>
      </c>
      <c r="B77" s="17" t="s">
        <v>0</v>
      </c>
      <c r="C77" s="18" t="s">
        <v>1</v>
      </c>
      <c r="D77" s="18" t="s">
        <v>98</v>
      </c>
      <c r="E77" s="18" t="s">
        <v>99</v>
      </c>
      <c r="F77" s="18" t="s">
        <v>100</v>
      </c>
      <c r="G77" s="18" t="s">
        <v>101</v>
      </c>
      <c r="H77" s="19" t="s">
        <v>102</v>
      </c>
      <c r="I77" s="19" t="s">
        <v>103</v>
      </c>
    </row>
    <row r="78" spans="1:9" x14ac:dyDescent="0.2">
      <c r="A78" s="510" t="s">
        <v>104</v>
      </c>
      <c r="B78" s="511" t="s">
        <v>105</v>
      </c>
      <c r="C78" s="21">
        <v>187500</v>
      </c>
      <c r="D78" s="512">
        <v>150000</v>
      </c>
      <c r="E78" s="513" t="s">
        <v>106</v>
      </c>
      <c r="F78" s="21">
        <v>150000</v>
      </c>
      <c r="G78" s="512">
        <v>0</v>
      </c>
      <c r="H78" s="514" t="s">
        <v>243</v>
      </c>
      <c r="I78" s="25">
        <v>43077</v>
      </c>
    </row>
    <row r="79" spans="1:9" x14ac:dyDescent="0.2">
      <c r="A79" s="398" t="s">
        <v>107</v>
      </c>
      <c r="B79" s="399" t="s">
        <v>108</v>
      </c>
      <c r="C79" s="391">
        <v>600000</v>
      </c>
      <c r="D79" s="391">
        <v>150000</v>
      </c>
      <c r="E79" s="364" t="s">
        <v>106</v>
      </c>
      <c r="F79" s="391">
        <v>150000</v>
      </c>
      <c r="G79" s="391">
        <f>D79-F79</f>
        <v>0</v>
      </c>
      <c r="H79" s="366" t="s">
        <v>114</v>
      </c>
      <c r="I79" s="367">
        <v>41817</v>
      </c>
    </row>
    <row r="80" spans="1:9" x14ac:dyDescent="0.2">
      <c r="A80" s="398" t="s">
        <v>116</v>
      </c>
      <c r="B80" s="399" t="s">
        <v>442</v>
      </c>
      <c r="C80" s="391">
        <v>102000</v>
      </c>
      <c r="D80" s="391">
        <v>75000</v>
      </c>
      <c r="E80" s="364" t="s">
        <v>106</v>
      </c>
      <c r="F80" s="391">
        <v>75000</v>
      </c>
      <c r="G80" s="391">
        <f>D80-F80</f>
        <v>0</v>
      </c>
      <c r="H80" s="366" t="s">
        <v>114</v>
      </c>
      <c r="I80" s="367">
        <v>41939</v>
      </c>
    </row>
    <row r="81" spans="1:9" x14ac:dyDescent="0.2">
      <c r="A81" s="398" t="s">
        <v>109</v>
      </c>
      <c r="B81" s="399" t="s">
        <v>443</v>
      </c>
      <c r="C81" s="400">
        <v>326760</v>
      </c>
      <c r="D81" s="391">
        <v>150000</v>
      </c>
      <c r="E81" s="364" t="s">
        <v>106</v>
      </c>
      <c r="F81" s="400">
        <v>149183</v>
      </c>
      <c r="G81" s="391">
        <v>0</v>
      </c>
      <c r="H81" s="401" t="s">
        <v>114</v>
      </c>
      <c r="I81" s="367">
        <v>41900</v>
      </c>
    </row>
    <row r="82" spans="1:9" x14ac:dyDescent="0.2">
      <c r="A82" s="398" t="s">
        <v>110</v>
      </c>
      <c r="B82" s="399" t="s">
        <v>105</v>
      </c>
      <c r="C82" s="391">
        <v>210000</v>
      </c>
      <c r="D82" s="391">
        <v>150000</v>
      </c>
      <c r="E82" s="364" t="s">
        <v>106</v>
      </c>
      <c r="F82" s="391">
        <v>150000</v>
      </c>
      <c r="G82" s="391">
        <f>D82-F82</f>
        <v>0</v>
      </c>
      <c r="H82" s="366" t="s">
        <v>114</v>
      </c>
      <c r="I82" s="402">
        <v>41558</v>
      </c>
    </row>
    <row r="83" spans="1:9" x14ac:dyDescent="0.2">
      <c r="A83" s="403" t="s">
        <v>111</v>
      </c>
      <c r="B83" s="404" t="s">
        <v>105</v>
      </c>
      <c r="C83" s="391">
        <v>271000</v>
      </c>
      <c r="D83" s="391">
        <v>150000</v>
      </c>
      <c r="E83" s="364" t="s">
        <v>106</v>
      </c>
      <c r="F83" s="391">
        <v>150000</v>
      </c>
      <c r="G83" s="391">
        <f>D83-F83</f>
        <v>0</v>
      </c>
      <c r="H83" s="405" t="s">
        <v>114</v>
      </c>
      <c r="I83" s="406">
        <v>41691</v>
      </c>
    </row>
    <row r="84" spans="1:9" x14ac:dyDescent="0.2">
      <c r="A84" s="27"/>
      <c r="B84" s="28" t="s">
        <v>112</v>
      </c>
      <c r="C84" s="29">
        <f>SUM(C78:C83)</f>
        <v>1697260</v>
      </c>
      <c r="D84" s="29">
        <f>SUM(D78:D83)</f>
        <v>825000</v>
      </c>
      <c r="E84" s="30"/>
      <c r="F84" s="29">
        <f>SUM(F78:F83)</f>
        <v>824183</v>
      </c>
      <c r="G84" s="29">
        <f>SUM(G78:G83)</f>
        <v>0</v>
      </c>
      <c r="H84" s="31"/>
      <c r="I84" s="32"/>
    </row>
  </sheetData>
  <mergeCells count="7">
    <mergeCell ref="A64:I64"/>
    <mergeCell ref="A76:I76"/>
    <mergeCell ref="A1:I1"/>
    <mergeCell ref="A25:I25"/>
    <mergeCell ref="A15:I15"/>
    <mergeCell ref="A39:I39"/>
    <mergeCell ref="A52:I52"/>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
  <sheetViews>
    <sheetView zoomScaleNormal="100" workbookViewId="0"/>
  </sheetViews>
  <sheetFormatPr defaultRowHeight="12.75" x14ac:dyDescent="0.2"/>
  <cols>
    <col min="1" max="1" width="15" customWidth="1"/>
    <col min="2" max="2" width="34.5703125" customWidth="1"/>
    <col min="3" max="4" width="17.140625" customWidth="1"/>
    <col min="5" max="5" width="22.140625" customWidth="1"/>
    <col min="6" max="6" width="12.7109375" customWidth="1"/>
    <col min="7" max="7" width="14.42578125" customWidth="1"/>
    <col min="8" max="8" width="15.5703125" customWidth="1"/>
    <col min="9" max="9" width="18.28515625" customWidth="1"/>
  </cols>
  <sheetData>
    <row r="1" spans="1:10" ht="15" x14ac:dyDescent="0.25">
      <c r="C1" s="243" t="s">
        <v>877</v>
      </c>
      <c r="D1" s="243"/>
    </row>
    <row r="2" spans="1:10" ht="45" x14ac:dyDescent="0.2">
      <c r="A2" s="244" t="s">
        <v>97</v>
      </c>
      <c r="B2" s="244" t="s">
        <v>0</v>
      </c>
      <c r="C2" s="245" t="s">
        <v>1</v>
      </c>
      <c r="D2" s="245" t="s">
        <v>98</v>
      </c>
      <c r="E2" s="244" t="s">
        <v>99</v>
      </c>
      <c r="F2" s="245" t="s">
        <v>100</v>
      </c>
      <c r="G2" s="245" t="s">
        <v>101</v>
      </c>
      <c r="H2" s="244" t="s">
        <v>102</v>
      </c>
      <c r="I2" s="245" t="s">
        <v>493</v>
      </c>
    </row>
    <row r="3" spans="1:10" s="408" customFormat="1" ht="25.5" x14ac:dyDescent="0.2">
      <c r="A3" s="399" t="s">
        <v>494</v>
      </c>
      <c r="B3" s="380" t="s">
        <v>768</v>
      </c>
      <c r="C3" s="549">
        <v>96002</v>
      </c>
      <c r="D3" s="550">
        <v>96002.300455058357</v>
      </c>
      <c r="E3" s="407" t="s">
        <v>106</v>
      </c>
      <c r="F3" s="385">
        <v>0</v>
      </c>
      <c r="G3" s="551">
        <v>96002.300455058357</v>
      </c>
      <c r="H3" s="407" t="s">
        <v>339</v>
      </c>
      <c r="I3" s="367">
        <v>43678</v>
      </c>
    </row>
    <row r="4" spans="1:10" s="408" customFormat="1" ht="25.5" x14ac:dyDescent="0.2">
      <c r="A4" s="399" t="s">
        <v>497</v>
      </c>
      <c r="B4" s="370" t="s">
        <v>878</v>
      </c>
      <c r="C4" s="549">
        <v>322000</v>
      </c>
      <c r="D4" s="550">
        <v>304613.42517008499</v>
      </c>
      <c r="E4" s="407" t="s">
        <v>106</v>
      </c>
      <c r="F4" s="385">
        <v>0</v>
      </c>
      <c r="G4" s="551">
        <v>304613.42517008499</v>
      </c>
      <c r="H4" s="407" t="s">
        <v>617</v>
      </c>
      <c r="I4" s="367">
        <v>43800</v>
      </c>
      <c r="J4" s="418"/>
    </row>
    <row r="5" spans="1:10" s="408" customFormat="1" x14ac:dyDescent="0.2">
      <c r="A5" s="552" t="s">
        <v>123</v>
      </c>
      <c r="B5" s="399" t="s">
        <v>879</v>
      </c>
      <c r="C5" s="549">
        <v>995000</v>
      </c>
      <c r="D5" s="550">
        <v>593615.52986717899</v>
      </c>
      <c r="E5" s="407" t="s">
        <v>106</v>
      </c>
      <c r="F5" s="385">
        <v>0</v>
      </c>
      <c r="G5" s="551">
        <v>593615.52986717899</v>
      </c>
      <c r="H5" s="407" t="s">
        <v>617</v>
      </c>
      <c r="I5" s="367">
        <v>43891</v>
      </c>
    </row>
    <row r="6" spans="1:10" s="416" customFormat="1" ht="25.5" x14ac:dyDescent="0.2">
      <c r="A6" s="552" t="s">
        <v>124</v>
      </c>
      <c r="B6" s="553" t="s">
        <v>880</v>
      </c>
      <c r="C6" s="549">
        <v>105815</v>
      </c>
      <c r="D6" s="550">
        <v>105814.54723352937</v>
      </c>
      <c r="E6" s="407" t="s">
        <v>106</v>
      </c>
      <c r="F6" s="385">
        <v>0</v>
      </c>
      <c r="G6" s="551">
        <v>105814.54723352937</v>
      </c>
      <c r="H6" s="407" t="s">
        <v>496</v>
      </c>
      <c r="I6" s="367">
        <v>44012</v>
      </c>
    </row>
    <row r="7" spans="1:10" s="416" customFormat="1" ht="25.5" x14ac:dyDescent="0.2">
      <c r="A7" s="552" t="s">
        <v>126</v>
      </c>
      <c r="B7" s="553" t="s">
        <v>881</v>
      </c>
      <c r="C7" s="549">
        <v>96061</v>
      </c>
      <c r="D7" s="550">
        <v>96061.103105945425</v>
      </c>
      <c r="E7" s="407" t="s">
        <v>106</v>
      </c>
      <c r="F7" s="385">
        <v>0</v>
      </c>
      <c r="G7" s="551">
        <v>96061.103105945425</v>
      </c>
      <c r="H7" s="407" t="s">
        <v>339</v>
      </c>
      <c r="I7" s="367">
        <v>44196</v>
      </c>
    </row>
    <row r="8" spans="1:10" s="408" customFormat="1" x14ac:dyDescent="0.2">
      <c r="A8" s="552" t="s">
        <v>128</v>
      </c>
      <c r="B8" s="553" t="s">
        <v>882</v>
      </c>
      <c r="C8" s="549">
        <v>170000</v>
      </c>
      <c r="D8" s="550">
        <v>96208.268659246591</v>
      </c>
      <c r="E8" s="407" t="s">
        <v>106</v>
      </c>
      <c r="F8" s="385">
        <v>0</v>
      </c>
      <c r="G8" s="551">
        <v>96208.268659246591</v>
      </c>
      <c r="H8" s="407" t="s">
        <v>339</v>
      </c>
      <c r="I8" s="367">
        <v>43769</v>
      </c>
    </row>
    <row r="9" spans="1:10" s="408" customFormat="1" x14ac:dyDescent="0.2">
      <c r="A9" s="552" t="s">
        <v>130</v>
      </c>
      <c r="B9" s="553" t="s">
        <v>883</v>
      </c>
      <c r="C9" s="549">
        <v>105330</v>
      </c>
      <c r="D9" s="550">
        <v>105330.33813762672</v>
      </c>
      <c r="E9" s="407" t="s">
        <v>106</v>
      </c>
      <c r="F9" s="385">
        <v>0</v>
      </c>
      <c r="G9" s="551">
        <v>105330.33813762672</v>
      </c>
      <c r="H9" s="407" t="s">
        <v>339</v>
      </c>
      <c r="I9" s="367">
        <v>44012</v>
      </c>
    </row>
    <row r="10" spans="1:10" s="408" customFormat="1" x14ac:dyDescent="0.2">
      <c r="A10" s="552" t="s">
        <v>132</v>
      </c>
      <c r="B10" s="553" t="s">
        <v>884</v>
      </c>
      <c r="C10" s="549">
        <v>102354</v>
      </c>
      <c r="D10" s="550">
        <v>102354.48737132938</v>
      </c>
      <c r="E10" s="407" t="s">
        <v>106</v>
      </c>
      <c r="F10" s="385">
        <v>0</v>
      </c>
      <c r="G10" s="551">
        <v>102354.48737132938</v>
      </c>
      <c r="H10" s="407" t="s">
        <v>339</v>
      </c>
      <c r="I10" s="367">
        <v>43830</v>
      </c>
    </row>
    <row r="11" spans="1:10" ht="15" x14ac:dyDescent="0.25">
      <c r="A11" s="135"/>
      <c r="B11" s="247" t="s">
        <v>112</v>
      </c>
      <c r="C11" s="375">
        <f>SUM(C3:C10)</f>
        <v>1992562</v>
      </c>
      <c r="D11" s="248">
        <f>SUM(D3:D10)</f>
        <v>1500000</v>
      </c>
      <c r="E11" s="135"/>
      <c r="F11" s="248">
        <f t="shared" ref="F11:G11" si="0">SUM(F3:F10)</f>
        <v>0</v>
      </c>
      <c r="G11" s="375">
        <f t="shared" si="0"/>
        <v>1500000</v>
      </c>
      <c r="H11" s="135"/>
      <c r="I11" s="135"/>
    </row>
    <row r="13" spans="1:10" ht="15" x14ac:dyDescent="0.25">
      <c r="C13" s="243" t="s">
        <v>767</v>
      </c>
      <c r="D13" s="243"/>
    </row>
    <row r="14" spans="1:10" ht="45" x14ac:dyDescent="0.2">
      <c r="A14" s="244" t="s">
        <v>97</v>
      </c>
      <c r="B14" s="244" t="s">
        <v>0</v>
      </c>
      <c r="C14" s="245" t="s">
        <v>1</v>
      </c>
      <c r="D14" s="245" t="s">
        <v>98</v>
      </c>
      <c r="E14" s="244" t="s">
        <v>99</v>
      </c>
      <c r="F14" s="245" t="s">
        <v>100</v>
      </c>
      <c r="G14" s="245" t="s">
        <v>101</v>
      </c>
      <c r="H14" s="244" t="s">
        <v>102</v>
      </c>
      <c r="I14" s="245" t="s">
        <v>493</v>
      </c>
    </row>
    <row r="15" spans="1:10" s="3" customFormat="1" ht="25.5" x14ac:dyDescent="0.2">
      <c r="A15" s="24" t="s">
        <v>494</v>
      </c>
      <c r="B15" s="13" t="s">
        <v>768</v>
      </c>
      <c r="C15" s="417">
        <v>97000</v>
      </c>
      <c r="D15" s="409">
        <v>58024</v>
      </c>
      <c r="E15" s="410" t="s">
        <v>106</v>
      </c>
      <c r="F15" s="21">
        <v>0</v>
      </c>
      <c r="G15" s="554">
        <v>58024</v>
      </c>
      <c r="H15" s="407" t="s">
        <v>339</v>
      </c>
      <c r="I15" s="367">
        <v>43678</v>
      </c>
    </row>
    <row r="16" spans="1:10" s="3" customFormat="1" ht="25.5" x14ac:dyDescent="0.2">
      <c r="A16" s="24" t="s">
        <v>497</v>
      </c>
      <c r="B16" s="204" t="s">
        <v>769</v>
      </c>
      <c r="C16" s="417">
        <v>650000</v>
      </c>
      <c r="D16" s="409">
        <v>191592</v>
      </c>
      <c r="E16" s="410" t="s">
        <v>106</v>
      </c>
      <c r="F16" s="21">
        <v>0</v>
      </c>
      <c r="G16" s="554">
        <v>191592</v>
      </c>
      <c r="H16" s="407" t="s">
        <v>339</v>
      </c>
      <c r="I16" s="367">
        <v>43646</v>
      </c>
      <c r="J16" s="246"/>
    </row>
    <row r="17" spans="1:10" s="3" customFormat="1" x14ac:dyDescent="0.2">
      <c r="A17" s="419" t="s">
        <v>123</v>
      </c>
      <c r="B17" s="24" t="s">
        <v>619</v>
      </c>
      <c r="C17" s="417">
        <v>3376278</v>
      </c>
      <c r="D17" s="376">
        <v>348769</v>
      </c>
      <c r="E17" s="410" t="s">
        <v>106</v>
      </c>
      <c r="F17" s="21">
        <v>348769</v>
      </c>
      <c r="G17" s="376">
        <v>0</v>
      </c>
      <c r="H17" s="407" t="s">
        <v>243</v>
      </c>
      <c r="I17" s="367">
        <v>43196</v>
      </c>
    </row>
    <row r="18" spans="1:10" s="517" customFormat="1" ht="25.5" x14ac:dyDescent="0.2">
      <c r="A18" s="419" t="s">
        <v>124</v>
      </c>
      <c r="B18" s="13" t="s">
        <v>770</v>
      </c>
      <c r="C18" s="417">
        <v>560125</v>
      </c>
      <c r="D18" s="409">
        <v>63793</v>
      </c>
      <c r="E18" s="410" t="s">
        <v>106</v>
      </c>
      <c r="F18" s="385">
        <v>25855</v>
      </c>
      <c r="G18" s="554">
        <v>37938</v>
      </c>
      <c r="H18" s="407" t="s">
        <v>339</v>
      </c>
      <c r="I18" s="367">
        <v>43525</v>
      </c>
    </row>
    <row r="19" spans="1:10" s="517" customFormat="1" ht="25.5" x14ac:dyDescent="0.2">
      <c r="A19" s="419" t="s">
        <v>126</v>
      </c>
      <c r="B19" s="13" t="s">
        <v>771</v>
      </c>
      <c r="C19" s="417">
        <v>222000</v>
      </c>
      <c r="D19" s="376">
        <v>57281</v>
      </c>
      <c r="E19" s="410" t="s">
        <v>106</v>
      </c>
      <c r="F19" s="385">
        <v>51767</v>
      </c>
      <c r="G19" s="411">
        <v>5514</v>
      </c>
      <c r="H19" s="407" t="s">
        <v>369</v>
      </c>
      <c r="I19" s="367">
        <v>43646</v>
      </c>
    </row>
    <row r="20" spans="1:10" s="3" customFormat="1" x14ac:dyDescent="0.2">
      <c r="A20" s="419" t="s">
        <v>128</v>
      </c>
      <c r="B20" s="13" t="s">
        <v>772</v>
      </c>
      <c r="C20" s="417">
        <v>770500</v>
      </c>
      <c r="D20" s="518">
        <v>57581</v>
      </c>
      <c r="E20" s="410" t="s">
        <v>106</v>
      </c>
      <c r="F20" s="21">
        <v>0</v>
      </c>
      <c r="G20" s="518">
        <v>57581</v>
      </c>
      <c r="H20" s="407" t="s">
        <v>339</v>
      </c>
      <c r="I20" s="367">
        <v>43769</v>
      </c>
    </row>
    <row r="21" spans="1:10" s="3" customFormat="1" x14ac:dyDescent="0.2">
      <c r="A21" s="419" t="s">
        <v>130</v>
      </c>
      <c r="B21" s="204" t="s">
        <v>773</v>
      </c>
      <c r="C21" s="417">
        <v>110000</v>
      </c>
      <c r="D21" s="409">
        <v>61397</v>
      </c>
      <c r="E21" s="410" t="s">
        <v>106</v>
      </c>
      <c r="F21" s="21">
        <v>16968</v>
      </c>
      <c r="G21" s="409">
        <v>44429</v>
      </c>
      <c r="H21" s="407" t="s">
        <v>369</v>
      </c>
      <c r="I21" s="367">
        <v>43709</v>
      </c>
    </row>
    <row r="22" spans="1:10" s="3" customFormat="1" x14ac:dyDescent="0.2">
      <c r="A22" s="419" t="s">
        <v>132</v>
      </c>
      <c r="B22" s="13" t="s">
        <v>774</v>
      </c>
      <c r="C22" s="417">
        <v>80220</v>
      </c>
      <c r="D22" s="409">
        <v>61563</v>
      </c>
      <c r="E22" s="410" t="s">
        <v>106</v>
      </c>
      <c r="F22" s="21">
        <v>61563</v>
      </c>
      <c r="G22" s="554">
        <v>0</v>
      </c>
      <c r="H22" s="407" t="s">
        <v>243</v>
      </c>
      <c r="I22" s="367">
        <v>43208</v>
      </c>
    </row>
    <row r="23" spans="1:10" ht="15" x14ac:dyDescent="0.25">
      <c r="A23" s="135"/>
      <c r="B23" s="247" t="s">
        <v>112</v>
      </c>
      <c r="C23" s="375">
        <f>SUM(C15:C22)</f>
        <v>5866123</v>
      </c>
      <c r="D23" s="248">
        <f>SUM(D15:D22)</f>
        <v>900000</v>
      </c>
      <c r="E23" s="135"/>
      <c r="F23" s="248">
        <f t="shared" ref="F23:G23" si="1">SUM(F15:F22)</f>
        <v>504922</v>
      </c>
      <c r="G23" s="375">
        <f t="shared" si="1"/>
        <v>395078</v>
      </c>
      <c r="H23" s="135"/>
      <c r="I23" s="135"/>
    </row>
    <row r="24" spans="1:10" ht="15" x14ac:dyDescent="0.25">
      <c r="C24" s="243"/>
      <c r="D24" s="243"/>
    </row>
    <row r="25" spans="1:10" ht="15" x14ac:dyDescent="0.25">
      <c r="C25" s="243" t="s">
        <v>640</v>
      </c>
      <c r="D25" s="243"/>
    </row>
    <row r="26" spans="1:10" ht="45" x14ac:dyDescent="0.2">
      <c r="A26" s="244" t="s">
        <v>97</v>
      </c>
      <c r="B26" s="244" t="s">
        <v>0</v>
      </c>
      <c r="C26" s="245" t="s">
        <v>1</v>
      </c>
      <c r="D26" s="245" t="s">
        <v>98</v>
      </c>
      <c r="E26" s="244" t="s">
        <v>99</v>
      </c>
      <c r="F26" s="245" t="s">
        <v>100</v>
      </c>
      <c r="G26" s="245" t="s">
        <v>101</v>
      </c>
      <c r="H26" s="244" t="s">
        <v>102</v>
      </c>
      <c r="I26" s="245" t="s">
        <v>493</v>
      </c>
    </row>
    <row r="27" spans="1:10" s="3" customFormat="1" ht="25.5" x14ac:dyDescent="0.2">
      <c r="A27" s="24" t="s">
        <v>494</v>
      </c>
      <c r="B27" s="13" t="s">
        <v>641</v>
      </c>
      <c r="C27" s="417">
        <v>101000</v>
      </c>
      <c r="D27" s="409">
        <v>95966.733266567811</v>
      </c>
      <c r="E27" s="410" t="s">
        <v>106</v>
      </c>
      <c r="F27" s="21">
        <v>0</v>
      </c>
      <c r="G27" s="409">
        <v>95966.733266567811</v>
      </c>
      <c r="H27" s="410" t="s">
        <v>339</v>
      </c>
      <c r="I27" s="25">
        <v>43678</v>
      </c>
    </row>
    <row r="28" spans="1:10" s="3" customFormat="1" ht="25.5" x14ac:dyDescent="0.2">
      <c r="A28" s="24" t="s">
        <v>497</v>
      </c>
      <c r="B28" s="204" t="s">
        <v>618</v>
      </c>
      <c r="C28" s="417">
        <v>16330000</v>
      </c>
      <c r="D28" s="409">
        <v>325245.82927253726</v>
      </c>
      <c r="E28" s="407" t="s">
        <v>106</v>
      </c>
      <c r="F28" s="385">
        <v>0</v>
      </c>
      <c r="G28" s="554">
        <v>325245.82927253726</v>
      </c>
      <c r="H28" s="410" t="s">
        <v>339</v>
      </c>
      <c r="I28" s="25">
        <v>43646</v>
      </c>
      <c r="J28" s="246"/>
    </row>
    <row r="29" spans="1:10" s="3" customFormat="1" x14ac:dyDescent="0.2">
      <c r="A29" s="419" t="s">
        <v>123</v>
      </c>
      <c r="B29" s="24" t="s">
        <v>619</v>
      </c>
      <c r="C29" s="417">
        <v>3619000</v>
      </c>
      <c r="D29" s="376">
        <v>579266.88809214986</v>
      </c>
      <c r="E29" s="410" t="s">
        <v>106</v>
      </c>
      <c r="F29" s="21">
        <v>579267</v>
      </c>
      <c r="G29" s="376">
        <v>0</v>
      </c>
      <c r="H29" s="410" t="s">
        <v>114</v>
      </c>
      <c r="I29" s="25">
        <v>43088</v>
      </c>
    </row>
    <row r="30" spans="1:10" s="517" customFormat="1" ht="25.5" x14ac:dyDescent="0.2">
      <c r="A30" s="419" t="s">
        <v>124</v>
      </c>
      <c r="B30" s="13" t="s">
        <v>770</v>
      </c>
      <c r="C30" s="417">
        <v>560125</v>
      </c>
      <c r="D30" s="409">
        <v>105671.64230992709</v>
      </c>
      <c r="E30" s="410" t="s">
        <v>106</v>
      </c>
      <c r="F30" s="385">
        <v>105672</v>
      </c>
      <c r="G30" s="554">
        <v>0</v>
      </c>
      <c r="H30" s="407" t="s">
        <v>114</v>
      </c>
      <c r="I30" s="367">
        <v>43474</v>
      </c>
    </row>
    <row r="31" spans="1:10" s="517" customFormat="1" ht="25.5" x14ac:dyDescent="0.2">
      <c r="A31" s="419" t="s">
        <v>126</v>
      </c>
      <c r="B31" s="13" t="s">
        <v>642</v>
      </c>
      <c r="C31" s="417">
        <v>222000</v>
      </c>
      <c r="D31" s="376">
        <v>93901.381814528024</v>
      </c>
      <c r="E31" s="410" t="s">
        <v>106</v>
      </c>
      <c r="F31" s="21">
        <v>93901</v>
      </c>
      <c r="G31" s="376">
        <v>0</v>
      </c>
      <c r="H31" s="410" t="s">
        <v>114</v>
      </c>
      <c r="I31" s="25">
        <v>43297</v>
      </c>
    </row>
    <row r="32" spans="1:10" s="3" customFormat="1" x14ac:dyDescent="0.2">
      <c r="A32" s="419" t="s">
        <v>128</v>
      </c>
      <c r="B32" s="13" t="s">
        <v>643</v>
      </c>
      <c r="C32" s="417">
        <v>192500</v>
      </c>
      <c r="D32" s="518">
        <v>94005.089753362307</v>
      </c>
      <c r="E32" s="410" t="s">
        <v>106</v>
      </c>
      <c r="F32" s="21">
        <v>94005</v>
      </c>
      <c r="G32" s="518">
        <v>0</v>
      </c>
      <c r="H32" s="410" t="s">
        <v>114</v>
      </c>
      <c r="I32" s="25">
        <v>43038</v>
      </c>
    </row>
    <row r="33" spans="1:10" s="3" customFormat="1" x14ac:dyDescent="0.2">
      <c r="A33" s="419" t="s">
        <v>130</v>
      </c>
      <c r="B33" s="24" t="s">
        <v>622</v>
      </c>
      <c r="C33" s="417">
        <v>104244</v>
      </c>
      <c r="D33" s="409">
        <v>104243.69469948023</v>
      </c>
      <c r="E33" s="410" t="s">
        <v>106</v>
      </c>
      <c r="F33" s="21">
        <v>101711</v>
      </c>
      <c r="G33" s="409">
        <v>2533</v>
      </c>
      <c r="H33" s="410" t="s">
        <v>369</v>
      </c>
      <c r="I33" s="25">
        <v>43646</v>
      </c>
    </row>
    <row r="34" spans="1:10" s="3" customFormat="1" ht="25.5" x14ac:dyDescent="0.2">
      <c r="A34" s="419" t="s">
        <v>132</v>
      </c>
      <c r="B34" s="13" t="s">
        <v>644</v>
      </c>
      <c r="C34" s="417">
        <v>104800</v>
      </c>
      <c r="D34" s="409">
        <v>101698.74079144749</v>
      </c>
      <c r="E34" s="410" t="s">
        <v>106</v>
      </c>
      <c r="F34" s="21">
        <v>101699</v>
      </c>
      <c r="G34" s="409">
        <v>0</v>
      </c>
      <c r="H34" s="410" t="s">
        <v>114</v>
      </c>
      <c r="I34" s="25">
        <v>43116</v>
      </c>
    </row>
    <row r="35" spans="1:10" ht="15" x14ac:dyDescent="0.25">
      <c r="A35" s="135"/>
      <c r="B35" s="247" t="s">
        <v>112</v>
      </c>
      <c r="C35" s="375">
        <f>SUM(C27:C34)</f>
        <v>21233669</v>
      </c>
      <c r="D35" s="248">
        <f>SUM(D27:D34)</f>
        <v>1500000</v>
      </c>
      <c r="E35" s="135"/>
      <c r="F35" s="248">
        <f t="shared" ref="F35:G35" si="2">SUM(F27:F34)</f>
        <v>1076255</v>
      </c>
      <c r="G35" s="375">
        <f t="shared" si="2"/>
        <v>423745.56253910507</v>
      </c>
      <c r="H35" s="135"/>
      <c r="I35" s="135"/>
    </row>
    <row r="36" spans="1:10" ht="15" x14ac:dyDescent="0.25">
      <c r="A36" s="436" t="s">
        <v>645</v>
      </c>
      <c r="B36" s="413"/>
      <c r="C36" s="414"/>
      <c r="D36" s="415"/>
      <c r="E36" s="416"/>
      <c r="F36" s="415"/>
      <c r="G36" s="414"/>
      <c r="H36" s="416"/>
      <c r="I36" s="416"/>
    </row>
    <row r="37" spans="1:10" ht="15" x14ac:dyDescent="0.25">
      <c r="A37" s="504"/>
      <c r="B37" s="413"/>
      <c r="C37" s="414"/>
      <c r="D37" s="415"/>
      <c r="E37" s="416"/>
      <c r="F37" s="415"/>
      <c r="G37" s="414"/>
      <c r="H37" s="416"/>
      <c r="I37" s="416"/>
    </row>
    <row r="38" spans="1:10" ht="15" x14ac:dyDescent="0.25">
      <c r="C38" s="243" t="s">
        <v>615</v>
      </c>
      <c r="D38" s="243"/>
    </row>
    <row r="39" spans="1:10" ht="45" x14ac:dyDescent="0.2">
      <c r="A39" s="244" t="s">
        <v>97</v>
      </c>
      <c r="B39" s="244" t="s">
        <v>0</v>
      </c>
      <c r="C39" s="245" t="s">
        <v>1</v>
      </c>
      <c r="D39" s="245" t="s">
        <v>98</v>
      </c>
      <c r="E39" s="244" t="s">
        <v>99</v>
      </c>
      <c r="F39" s="245" t="s">
        <v>100</v>
      </c>
      <c r="G39" s="245" t="s">
        <v>101</v>
      </c>
      <c r="H39" s="244" t="s">
        <v>102</v>
      </c>
      <c r="I39" s="245" t="s">
        <v>493</v>
      </c>
    </row>
    <row r="40" spans="1:10" s="3" customFormat="1" ht="25.5" x14ac:dyDescent="0.2">
      <c r="A40" s="24" t="s">
        <v>494</v>
      </c>
      <c r="B40" s="204" t="s">
        <v>616</v>
      </c>
      <c r="C40" s="417">
        <v>288000</v>
      </c>
      <c r="D40" s="409">
        <v>96034.24054943808</v>
      </c>
      <c r="E40" s="410" t="s">
        <v>106</v>
      </c>
      <c r="F40" s="21">
        <v>82882</v>
      </c>
      <c r="G40" s="409">
        <v>13152</v>
      </c>
      <c r="H40" s="410" t="s">
        <v>369</v>
      </c>
      <c r="I40" s="367">
        <v>43556</v>
      </c>
    </row>
    <row r="41" spans="1:10" s="3" customFormat="1" ht="25.5" x14ac:dyDescent="0.2">
      <c r="A41" s="24" t="s">
        <v>497</v>
      </c>
      <c r="B41" s="204" t="s">
        <v>618</v>
      </c>
      <c r="C41" s="417">
        <v>8018250</v>
      </c>
      <c r="D41" s="409">
        <v>319397.98441273591</v>
      </c>
      <c r="E41" s="410" t="s">
        <v>106</v>
      </c>
      <c r="F41" s="21">
        <v>319398</v>
      </c>
      <c r="G41" s="409">
        <v>0</v>
      </c>
      <c r="H41" s="410" t="s">
        <v>114</v>
      </c>
      <c r="I41" s="25">
        <v>43465</v>
      </c>
    </row>
    <row r="42" spans="1:10" s="3" customFormat="1" x14ac:dyDescent="0.2">
      <c r="A42" s="419" t="s">
        <v>123</v>
      </c>
      <c r="B42" s="24" t="s">
        <v>619</v>
      </c>
      <c r="C42" s="417">
        <v>3619000</v>
      </c>
      <c r="D42" s="376">
        <v>585229.51871403877</v>
      </c>
      <c r="E42" s="410" t="s">
        <v>106</v>
      </c>
      <c r="F42" s="21">
        <v>585230</v>
      </c>
      <c r="G42" s="376">
        <v>0</v>
      </c>
      <c r="H42" s="410" t="s">
        <v>114</v>
      </c>
      <c r="I42" s="25">
        <v>43088</v>
      </c>
    </row>
    <row r="43" spans="1:10" s="3" customFormat="1" ht="25.5" x14ac:dyDescent="0.2">
      <c r="A43" s="419" t="s">
        <v>124</v>
      </c>
      <c r="B43" s="13" t="s">
        <v>775</v>
      </c>
      <c r="C43" s="417">
        <v>560125</v>
      </c>
      <c r="D43" s="409">
        <v>105683.790369853</v>
      </c>
      <c r="E43" s="407" t="s">
        <v>106</v>
      </c>
      <c r="F43" s="385">
        <v>105684</v>
      </c>
      <c r="G43" s="554">
        <v>0</v>
      </c>
      <c r="H43" s="407" t="s">
        <v>114</v>
      </c>
      <c r="I43" s="367">
        <v>43474</v>
      </c>
    </row>
    <row r="44" spans="1:10" s="3" customFormat="1" ht="57" customHeight="1" x14ac:dyDescent="0.2">
      <c r="A44" s="419" t="s">
        <v>126</v>
      </c>
      <c r="B44" s="24" t="s">
        <v>620</v>
      </c>
      <c r="C44" s="417">
        <v>100000</v>
      </c>
      <c r="D44" s="376">
        <v>94844.551220924899</v>
      </c>
      <c r="E44" s="410" t="s">
        <v>106</v>
      </c>
      <c r="F44" s="21">
        <v>94845</v>
      </c>
      <c r="G44" s="376">
        <v>0</v>
      </c>
      <c r="H44" s="410" t="s">
        <v>114</v>
      </c>
      <c r="I44" s="25">
        <v>43297</v>
      </c>
      <c r="J44" s="246"/>
    </row>
    <row r="45" spans="1:10" s="3" customFormat="1" ht="25.5" x14ac:dyDescent="0.2">
      <c r="A45" s="419" t="s">
        <v>128</v>
      </c>
      <c r="B45" s="24" t="s">
        <v>621</v>
      </c>
      <c r="C45" s="417">
        <v>46000</v>
      </c>
      <c r="D45" s="518">
        <v>94881.916953270527</v>
      </c>
      <c r="E45" s="410" t="s">
        <v>106</v>
      </c>
      <c r="F45" s="21">
        <v>94882</v>
      </c>
      <c r="G45" s="518">
        <v>0</v>
      </c>
      <c r="H45" s="410" t="s">
        <v>114</v>
      </c>
      <c r="I45" s="25">
        <v>42905</v>
      </c>
    </row>
    <row r="46" spans="1:10" s="3" customFormat="1" x14ac:dyDescent="0.2">
      <c r="A46" s="419" t="s">
        <v>130</v>
      </c>
      <c r="B46" s="24" t="s">
        <v>622</v>
      </c>
      <c r="C46" s="417">
        <v>120000</v>
      </c>
      <c r="D46" s="409">
        <v>102731.84359065405</v>
      </c>
      <c r="E46" s="410" t="s">
        <v>106</v>
      </c>
      <c r="F46" s="21">
        <v>102732</v>
      </c>
      <c r="G46" s="409">
        <v>0</v>
      </c>
      <c r="H46" s="410" t="s">
        <v>114</v>
      </c>
      <c r="I46" s="25">
        <v>42690</v>
      </c>
    </row>
    <row r="47" spans="1:10" s="3" customFormat="1" ht="25.5" x14ac:dyDescent="0.2">
      <c r="A47" s="419" t="s">
        <v>132</v>
      </c>
      <c r="B47" s="24" t="s">
        <v>623</v>
      </c>
      <c r="C47" s="417">
        <v>119720</v>
      </c>
      <c r="D47" s="409">
        <v>101196.15418908508</v>
      </c>
      <c r="E47" s="410" t="s">
        <v>106</v>
      </c>
      <c r="F47" s="21">
        <v>101196</v>
      </c>
      <c r="G47" s="409">
        <v>0</v>
      </c>
      <c r="H47" s="410" t="s">
        <v>114</v>
      </c>
      <c r="I47" s="25">
        <v>43311</v>
      </c>
    </row>
    <row r="48" spans="1:10" s="408" customFormat="1" ht="15" x14ac:dyDescent="0.25">
      <c r="A48" s="135"/>
      <c r="B48" s="247" t="s">
        <v>112</v>
      </c>
      <c r="C48" s="375">
        <f>SUM(C40:C47)</f>
        <v>12871095</v>
      </c>
      <c r="D48" s="248">
        <f>SUM(D40:D47)</f>
        <v>1500000.0000000002</v>
      </c>
      <c r="E48" s="135"/>
      <c r="F48" s="248">
        <f t="shared" ref="F48" si="3">SUM(F40:F47)</f>
        <v>1486849</v>
      </c>
      <c r="G48" s="375">
        <f>SUM(G40:G47)</f>
        <v>13152</v>
      </c>
      <c r="H48" s="135"/>
      <c r="I48" s="135"/>
    </row>
    <row r="49" spans="1:10" ht="15" x14ac:dyDescent="0.25">
      <c r="C49" s="243"/>
      <c r="D49" s="243"/>
    </row>
    <row r="50" spans="1:10" ht="15" x14ac:dyDescent="0.25">
      <c r="C50" s="243" t="s">
        <v>492</v>
      </c>
      <c r="D50" s="243"/>
    </row>
    <row r="51" spans="1:10" ht="45" x14ac:dyDescent="0.2">
      <c r="A51" s="244" t="s">
        <v>97</v>
      </c>
      <c r="B51" s="244" t="s">
        <v>0</v>
      </c>
      <c r="C51" s="245" t="s">
        <v>1</v>
      </c>
      <c r="D51" s="245" t="s">
        <v>98</v>
      </c>
      <c r="E51" s="244" t="s">
        <v>99</v>
      </c>
      <c r="F51" s="245" t="s">
        <v>100</v>
      </c>
      <c r="G51" s="245" t="s">
        <v>101</v>
      </c>
      <c r="H51" s="244" t="s">
        <v>102</v>
      </c>
      <c r="I51" s="245" t="s">
        <v>493</v>
      </c>
    </row>
    <row r="52" spans="1:10" s="3" customFormat="1" ht="25.5" x14ac:dyDescent="0.2">
      <c r="A52" s="425" t="s">
        <v>494</v>
      </c>
      <c r="B52" s="425" t="s">
        <v>495</v>
      </c>
      <c r="C52" s="21">
        <v>240000</v>
      </c>
      <c r="D52" s="33">
        <v>96692</v>
      </c>
      <c r="E52" s="423" t="s">
        <v>106</v>
      </c>
      <c r="F52" s="424">
        <v>96692</v>
      </c>
      <c r="G52" s="21">
        <v>0</v>
      </c>
      <c r="H52" s="410" t="s">
        <v>114</v>
      </c>
      <c r="I52" s="226">
        <v>42943</v>
      </c>
    </row>
    <row r="53" spans="1:10" s="3" customFormat="1" ht="25.5" x14ac:dyDescent="0.2">
      <c r="A53" s="425" t="s">
        <v>497</v>
      </c>
      <c r="B53" s="425" t="s">
        <v>122</v>
      </c>
      <c r="C53" s="21">
        <v>10387000</v>
      </c>
      <c r="D53" s="33">
        <v>317297</v>
      </c>
      <c r="E53" s="423" t="s">
        <v>106</v>
      </c>
      <c r="F53" s="424">
        <v>317297</v>
      </c>
      <c r="G53" s="21">
        <v>0</v>
      </c>
      <c r="H53" s="423" t="s">
        <v>114</v>
      </c>
      <c r="I53" s="226">
        <v>42293</v>
      </c>
    </row>
    <row r="54" spans="1:10" s="3" customFormat="1" ht="25.5" x14ac:dyDescent="0.2">
      <c r="A54" s="422" t="s">
        <v>123</v>
      </c>
      <c r="B54" s="425" t="s">
        <v>498</v>
      </c>
      <c r="C54" s="21">
        <v>1533500</v>
      </c>
      <c r="D54" s="33">
        <v>583354</v>
      </c>
      <c r="E54" s="423" t="s">
        <v>106</v>
      </c>
      <c r="F54" s="424">
        <v>583354</v>
      </c>
      <c r="G54" s="21">
        <v>0</v>
      </c>
      <c r="H54" s="423" t="s">
        <v>114</v>
      </c>
      <c r="I54" s="226">
        <v>42212</v>
      </c>
    </row>
    <row r="55" spans="1:10" s="3" customFormat="1" ht="25.5" x14ac:dyDescent="0.2">
      <c r="A55" s="422" t="s">
        <v>124</v>
      </c>
      <c r="B55" s="24" t="s">
        <v>776</v>
      </c>
      <c r="C55" s="21">
        <v>1277920</v>
      </c>
      <c r="D55" s="33">
        <v>105886</v>
      </c>
      <c r="E55" s="423" t="s">
        <v>106</v>
      </c>
      <c r="F55" s="421">
        <v>105866</v>
      </c>
      <c r="G55" s="385">
        <v>0</v>
      </c>
      <c r="H55" s="407" t="s">
        <v>114</v>
      </c>
      <c r="I55" s="402">
        <v>43474</v>
      </c>
    </row>
    <row r="56" spans="1:10" s="3" customFormat="1" x14ac:dyDescent="0.2">
      <c r="A56" s="422" t="s">
        <v>126</v>
      </c>
      <c r="B56" s="425" t="s">
        <v>499</v>
      </c>
      <c r="C56" s="21">
        <v>130000</v>
      </c>
      <c r="D56" s="33">
        <v>95854</v>
      </c>
      <c r="E56" s="423" t="s">
        <v>106</v>
      </c>
      <c r="F56" s="424">
        <v>95854</v>
      </c>
      <c r="G56" s="21">
        <v>0</v>
      </c>
      <c r="H56" s="423" t="s">
        <v>114</v>
      </c>
      <c r="I56" s="226">
        <v>43297</v>
      </c>
    </row>
    <row r="57" spans="1:10" s="3" customFormat="1" ht="38.25" x14ac:dyDescent="0.2">
      <c r="A57" s="422" t="s">
        <v>128</v>
      </c>
      <c r="B57" s="425" t="s">
        <v>500</v>
      </c>
      <c r="C57" s="21">
        <v>121000</v>
      </c>
      <c r="D57" s="33">
        <v>96001</v>
      </c>
      <c r="E57" s="423" t="s">
        <v>106</v>
      </c>
      <c r="F57" s="424">
        <v>96001</v>
      </c>
      <c r="G57" s="21">
        <v>0</v>
      </c>
      <c r="H57" s="410" t="s">
        <v>114</v>
      </c>
      <c r="I57" s="226">
        <v>42905</v>
      </c>
    </row>
    <row r="58" spans="1:10" s="3" customFormat="1" ht="57" customHeight="1" x14ac:dyDescent="0.2">
      <c r="A58" s="422" t="s">
        <v>130</v>
      </c>
      <c r="B58" s="24" t="s">
        <v>501</v>
      </c>
      <c r="C58" s="21">
        <v>103884</v>
      </c>
      <c r="D58" s="21">
        <v>103884</v>
      </c>
      <c r="E58" s="423" t="s">
        <v>106</v>
      </c>
      <c r="F58" s="424">
        <v>103884</v>
      </c>
      <c r="G58" s="21">
        <v>0</v>
      </c>
      <c r="H58" s="410" t="s">
        <v>114</v>
      </c>
      <c r="I58" s="226">
        <v>42660</v>
      </c>
      <c r="J58" s="246"/>
    </row>
    <row r="59" spans="1:10" s="3" customFormat="1" ht="38.25" x14ac:dyDescent="0.2">
      <c r="A59" s="422" t="s">
        <v>132</v>
      </c>
      <c r="B59" s="425" t="s">
        <v>502</v>
      </c>
      <c r="C59" s="21">
        <v>107375</v>
      </c>
      <c r="D59" s="33">
        <v>101032</v>
      </c>
      <c r="E59" s="423" t="s">
        <v>106</v>
      </c>
      <c r="F59" s="424">
        <v>101032</v>
      </c>
      <c r="G59" s="21">
        <v>0</v>
      </c>
      <c r="H59" s="410" t="s">
        <v>114</v>
      </c>
      <c r="I59" s="226">
        <v>42727</v>
      </c>
    </row>
    <row r="60" spans="1:10" s="408" customFormat="1" ht="15" x14ac:dyDescent="0.25">
      <c r="A60" s="135"/>
      <c r="B60" s="247" t="s">
        <v>112</v>
      </c>
      <c r="C60" s="375">
        <f>SUM(C52:C59)</f>
        <v>13900679</v>
      </c>
      <c r="D60" s="248">
        <f>SUM(D52:D59)</f>
        <v>1500000</v>
      </c>
      <c r="E60" s="135"/>
      <c r="F60" s="248">
        <f>SUM(F52:F59)</f>
        <v>1499980</v>
      </c>
      <c r="G60" s="375">
        <f t="shared" ref="G60" si="4">SUM(G52:G59)</f>
        <v>0</v>
      </c>
      <c r="H60" s="135"/>
      <c r="I60" s="135"/>
    </row>
    <row r="61" spans="1:10" s="408" customFormat="1" x14ac:dyDescent="0.2"/>
    <row r="62" spans="1:10" s="408" customFormat="1" x14ac:dyDescent="0.2"/>
    <row r="64" spans="1:10" ht="15" x14ac:dyDescent="0.25">
      <c r="C64" s="243" t="s">
        <v>364</v>
      </c>
      <c r="D64" s="243"/>
    </row>
    <row r="65" spans="1:10" ht="45" x14ac:dyDescent="0.2">
      <c r="A65" s="244" t="s">
        <v>97</v>
      </c>
      <c r="B65" s="244" t="s">
        <v>0</v>
      </c>
      <c r="C65" s="245" t="s">
        <v>1</v>
      </c>
      <c r="D65" s="245" t="s">
        <v>98</v>
      </c>
      <c r="E65" s="244" t="s">
        <v>99</v>
      </c>
      <c r="F65" s="245" t="s">
        <v>100</v>
      </c>
      <c r="G65" s="245" t="s">
        <v>101</v>
      </c>
      <c r="H65" s="244" t="s">
        <v>102</v>
      </c>
      <c r="I65" s="245" t="s">
        <v>493</v>
      </c>
    </row>
    <row r="66" spans="1:10" s="408" customFormat="1" ht="25.5" x14ac:dyDescent="0.2">
      <c r="A66" s="519" t="s">
        <v>494</v>
      </c>
      <c r="B66" s="427" t="s">
        <v>105</v>
      </c>
      <c r="C66" s="385">
        <v>480000</v>
      </c>
      <c r="D66" s="386">
        <v>96594</v>
      </c>
      <c r="E66" s="420" t="s">
        <v>106</v>
      </c>
      <c r="F66" s="385">
        <v>96594</v>
      </c>
      <c r="G66" s="421">
        <v>0</v>
      </c>
      <c r="H66" s="407" t="s">
        <v>114</v>
      </c>
      <c r="I66" s="402">
        <v>42886</v>
      </c>
    </row>
    <row r="67" spans="1:10" s="408" customFormat="1" ht="25.5" x14ac:dyDescent="0.2">
      <c r="A67" s="519" t="s">
        <v>497</v>
      </c>
      <c r="B67" s="427" t="s">
        <v>365</v>
      </c>
      <c r="C67" s="385">
        <v>330000</v>
      </c>
      <c r="D67" s="386">
        <v>311190</v>
      </c>
      <c r="E67" s="420" t="s">
        <v>106</v>
      </c>
      <c r="F67" s="385">
        <v>311190</v>
      </c>
      <c r="G67" s="428">
        <v>0</v>
      </c>
      <c r="H67" s="420" t="s">
        <v>114</v>
      </c>
      <c r="I67" s="402">
        <v>41898</v>
      </c>
    </row>
    <row r="68" spans="1:10" s="408" customFormat="1" x14ac:dyDescent="0.2">
      <c r="A68" s="426" t="s">
        <v>123</v>
      </c>
      <c r="B68" s="427" t="s">
        <v>503</v>
      </c>
      <c r="C68" s="385">
        <v>4500000</v>
      </c>
      <c r="D68" s="386">
        <v>579215</v>
      </c>
      <c r="E68" s="420" t="s">
        <v>106</v>
      </c>
      <c r="F68" s="385">
        <v>579214</v>
      </c>
      <c r="G68" s="428">
        <v>0</v>
      </c>
      <c r="H68" s="420" t="s">
        <v>114</v>
      </c>
      <c r="I68" s="402">
        <v>42100</v>
      </c>
    </row>
    <row r="69" spans="1:10" s="408" customFormat="1" x14ac:dyDescent="0.2">
      <c r="A69" s="426" t="s">
        <v>124</v>
      </c>
      <c r="B69" s="427" t="s">
        <v>125</v>
      </c>
      <c r="C69" s="385">
        <v>1277920</v>
      </c>
      <c r="D69" s="386">
        <v>108456</v>
      </c>
      <c r="E69" s="420" t="s">
        <v>106</v>
      </c>
      <c r="F69" s="385">
        <v>108456</v>
      </c>
      <c r="G69" s="428">
        <v>0</v>
      </c>
      <c r="H69" s="407" t="s">
        <v>114</v>
      </c>
      <c r="I69" s="402">
        <v>42767</v>
      </c>
    </row>
    <row r="70" spans="1:10" s="408" customFormat="1" ht="38.25" x14ac:dyDescent="0.2">
      <c r="A70" s="426" t="s">
        <v>126</v>
      </c>
      <c r="B70" s="427" t="s">
        <v>366</v>
      </c>
      <c r="C70" s="385">
        <f>150000</f>
        <v>150000</v>
      </c>
      <c r="D70" s="386">
        <v>98159</v>
      </c>
      <c r="E70" s="420" t="s">
        <v>106</v>
      </c>
      <c r="F70" s="385">
        <v>98159</v>
      </c>
      <c r="G70" s="428">
        <v>0</v>
      </c>
      <c r="H70" s="407" t="s">
        <v>114</v>
      </c>
      <c r="I70" s="402">
        <v>42929</v>
      </c>
    </row>
    <row r="71" spans="1:10" s="408" customFormat="1" ht="51" x14ac:dyDescent="0.2">
      <c r="A71" s="426" t="s">
        <v>128</v>
      </c>
      <c r="B71" s="427" t="s">
        <v>367</v>
      </c>
      <c r="C71" s="385">
        <f>69356+24884+4904</f>
        <v>99144</v>
      </c>
      <c r="D71" s="386">
        <v>98450</v>
      </c>
      <c r="E71" s="420" t="s">
        <v>106</v>
      </c>
      <c r="F71" s="385">
        <v>98450</v>
      </c>
      <c r="G71" s="428">
        <v>0</v>
      </c>
      <c r="H71" s="407" t="s">
        <v>114</v>
      </c>
      <c r="I71" s="402">
        <v>42873</v>
      </c>
    </row>
    <row r="72" spans="1:10" s="408" customFormat="1" ht="57" customHeight="1" x14ac:dyDescent="0.2">
      <c r="A72" s="426" t="s">
        <v>130</v>
      </c>
      <c r="B72" s="427" t="s">
        <v>368</v>
      </c>
      <c r="C72" s="385">
        <v>120000</v>
      </c>
      <c r="D72" s="385">
        <v>105151</v>
      </c>
      <c r="E72" s="420" t="s">
        <v>106</v>
      </c>
      <c r="F72" s="385">
        <v>105151</v>
      </c>
      <c r="G72" s="428">
        <v>0</v>
      </c>
      <c r="H72" s="407" t="s">
        <v>114</v>
      </c>
      <c r="I72" s="367">
        <v>42779</v>
      </c>
      <c r="J72" s="418"/>
    </row>
    <row r="73" spans="1:10" s="408" customFormat="1" x14ac:dyDescent="0.2">
      <c r="A73" s="426" t="s">
        <v>132</v>
      </c>
      <c r="B73" s="427" t="s">
        <v>131</v>
      </c>
      <c r="C73" s="385">
        <f>39300+66700</f>
        <v>106000</v>
      </c>
      <c r="D73" s="386">
        <v>102785</v>
      </c>
      <c r="E73" s="420" t="s">
        <v>106</v>
      </c>
      <c r="F73" s="385">
        <v>102785</v>
      </c>
      <c r="G73" s="428">
        <v>0</v>
      </c>
      <c r="H73" s="407" t="s">
        <v>114</v>
      </c>
      <c r="I73" s="402">
        <v>42696</v>
      </c>
    </row>
    <row r="74" spans="1:10" ht="15" x14ac:dyDescent="0.25">
      <c r="A74" s="135"/>
      <c r="B74" s="247" t="s">
        <v>112</v>
      </c>
      <c r="C74" s="249">
        <f>SUM(C66:C73)</f>
        <v>7063064</v>
      </c>
      <c r="D74" s="248">
        <f>SUM(D66:D73)</f>
        <v>1500000</v>
      </c>
      <c r="E74" s="135"/>
      <c r="F74" s="249">
        <f t="shared" ref="F74:G74" si="5">SUM(F66:F73)</f>
        <v>1499999</v>
      </c>
      <c r="G74" s="375">
        <f t="shared" si="5"/>
        <v>0</v>
      </c>
      <c r="H74" s="135"/>
      <c r="I74" s="135"/>
    </row>
    <row r="75" spans="1:10" s="416" customFormat="1" ht="15" x14ac:dyDescent="0.25">
      <c r="B75" s="413"/>
      <c r="C75" s="429"/>
      <c r="D75" s="430"/>
      <c r="F75" s="429"/>
      <c r="G75" s="431"/>
    </row>
    <row r="76" spans="1:10" s="412" customFormat="1" ht="15" x14ac:dyDescent="0.25">
      <c r="B76" s="432"/>
      <c r="C76" s="433"/>
      <c r="D76" s="434"/>
      <c r="F76" s="433"/>
      <c r="G76" s="435"/>
    </row>
    <row r="78" spans="1:10" ht="15" x14ac:dyDescent="0.25">
      <c r="C78" s="243" t="s">
        <v>120</v>
      </c>
      <c r="D78" s="243"/>
    </row>
    <row r="79" spans="1:10" ht="45" x14ac:dyDescent="0.2">
      <c r="A79" s="244" t="s">
        <v>97</v>
      </c>
      <c r="B79" s="244" t="s">
        <v>0</v>
      </c>
      <c r="C79" s="245" t="s">
        <v>1</v>
      </c>
      <c r="D79" s="245" t="s">
        <v>98</v>
      </c>
      <c r="E79" s="244" t="s">
        <v>99</v>
      </c>
      <c r="F79" s="245" t="s">
        <v>100</v>
      </c>
      <c r="G79" s="245" t="s">
        <v>101</v>
      </c>
      <c r="H79" s="244" t="s">
        <v>102</v>
      </c>
      <c r="I79" s="245" t="s">
        <v>493</v>
      </c>
    </row>
    <row r="80" spans="1:10" s="408" customFormat="1" ht="25.5" x14ac:dyDescent="0.2">
      <c r="A80" s="519" t="s">
        <v>494</v>
      </c>
      <c r="B80" s="380" t="s">
        <v>121</v>
      </c>
      <c r="C80" s="411">
        <v>450000</v>
      </c>
      <c r="D80" s="520">
        <v>94903</v>
      </c>
      <c r="E80" s="420" t="s">
        <v>106</v>
      </c>
      <c r="F80" s="520">
        <v>94903</v>
      </c>
      <c r="G80" s="428">
        <f>SUM(D80-F80)</f>
        <v>0</v>
      </c>
      <c r="H80" s="420" t="s">
        <v>114</v>
      </c>
      <c r="I80" s="402">
        <v>41939</v>
      </c>
    </row>
    <row r="81" spans="1:9" s="408" customFormat="1" ht="25.5" x14ac:dyDescent="0.2">
      <c r="A81" s="519" t="s">
        <v>497</v>
      </c>
      <c r="B81" s="380" t="s">
        <v>122</v>
      </c>
      <c r="C81" s="381">
        <v>3430000</v>
      </c>
      <c r="D81" s="381">
        <v>325782</v>
      </c>
      <c r="E81" s="420" t="s">
        <v>106</v>
      </c>
      <c r="F81" s="381">
        <v>325782</v>
      </c>
      <c r="G81" s="428">
        <f>SUM(D81-F81)</f>
        <v>0</v>
      </c>
      <c r="H81" s="420" t="s">
        <v>114</v>
      </c>
      <c r="I81" s="402">
        <v>41898</v>
      </c>
    </row>
    <row r="82" spans="1:9" s="408" customFormat="1" x14ac:dyDescent="0.2">
      <c r="A82" s="426" t="s">
        <v>123</v>
      </c>
      <c r="B82" s="521" t="s">
        <v>504</v>
      </c>
      <c r="C82" s="381">
        <v>5200000</v>
      </c>
      <c r="D82" s="381">
        <v>568101</v>
      </c>
      <c r="E82" s="420" t="s">
        <v>106</v>
      </c>
      <c r="F82" s="381">
        <v>568101</v>
      </c>
      <c r="G82" s="428">
        <v>0</v>
      </c>
      <c r="H82" s="420" t="s">
        <v>114</v>
      </c>
      <c r="I82" s="402">
        <v>41228</v>
      </c>
    </row>
    <row r="83" spans="1:9" s="408" customFormat="1" x14ac:dyDescent="0.2">
      <c r="A83" s="426" t="s">
        <v>124</v>
      </c>
      <c r="B83" s="380" t="s">
        <v>125</v>
      </c>
      <c r="C83" s="381">
        <v>1351480</v>
      </c>
      <c r="D83" s="373">
        <v>107598</v>
      </c>
      <c r="E83" s="420" t="s">
        <v>106</v>
      </c>
      <c r="F83" s="373">
        <v>107598</v>
      </c>
      <c r="G83" s="428">
        <f t="shared" ref="G83:G84" si="6">SUM(D83-F83)</f>
        <v>0</v>
      </c>
      <c r="H83" s="407" t="s">
        <v>114</v>
      </c>
      <c r="I83" s="402">
        <v>42767</v>
      </c>
    </row>
    <row r="84" spans="1:9" s="408" customFormat="1" ht="25.5" x14ac:dyDescent="0.2">
      <c r="A84" s="426" t="s">
        <v>126</v>
      </c>
      <c r="B84" s="380" t="s">
        <v>127</v>
      </c>
      <c r="C84" s="381">
        <v>100000</v>
      </c>
      <c r="D84" s="373">
        <v>97119</v>
      </c>
      <c r="E84" s="420" t="s">
        <v>106</v>
      </c>
      <c r="F84" s="373">
        <v>97119</v>
      </c>
      <c r="G84" s="428">
        <f t="shared" si="6"/>
        <v>0</v>
      </c>
      <c r="H84" s="420" t="s">
        <v>114</v>
      </c>
      <c r="I84" s="402">
        <v>42185</v>
      </c>
    </row>
    <row r="85" spans="1:9" s="408" customFormat="1" x14ac:dyDescent="0.2">
      <c r="A85" s="426" t="s">
        <v>128</v>
      </c>
      <c r="B85" s="380" t="s">
        <v>129</v>
      </c>
      <c r="C85" s="373">
        <v>722170</v>
      </c>
      <c r="D85" s="373">
        <v>99415</v>
      </c>
      <c r="E85" s="420" t="s">
        <v>106</v>
      </c>
      <c r="F85" s="373">
        <v>99415</v>
      </c>
      <c r="G85" s="428">
        <v>0</v>
      </c>
      <c r="H85" s="420" t="s">
        <v>114</v>
      </c>
      <c r="I85" s="402">
        <v>41110</v>
      </c>
    </row>
    <row r="86" spans="1:9" s="408" customFormat="1" x14ac:dyDescent="0.2">
      <c r="A86" s="426" t="s">
        <v>130</v>
      </c>
      <c r="B86" s="380" t="s">
        <v>131</v>
      </c>
      <c r="C86" s="381">
        <v>200000</v>
      </c>
      <c r="D86" s="373">
        <v>103848</v>
      </c>
      <c r="E86" s="420" t="s">
        <v>106</v>
      </c>
      <c r="F86" s="373">
        <v>103848</v>
      </c>
      <c r="G86" s="428">
        <v>0</v>
      </c>
      <c r="H86" s="407" t="s">
        <v>114</v>
      </c>
      <c r="I86" s="402">
        <v>42433</v>
      </c>
    </row>
    <row r="87" spans="1:9" s="408" customFormat="1" ht="25.5" x14ac:dyDescent="0.2">
      <c r="A87" s="426" t="s">
        <v>132</v>
      </c>
      <c r="B87" s="380" t="s">
        <v>133</v>
      </c>
      <c r="C87" s="381">
        <v>103560</v>
      </c>
      <c r="D87" s="373">
        <v>103234</v>
      </c>
      <c r="E87" s="420" t="s">
        <v>106</v>
      </c>
      <c r="F87" s="373">
        <v>103234</v>
      </c>
      <c r="G87" s="411">
        <v>0</v>
      </c>
      <c r="H87" s="420" t="s">
        <v>114</v>
      </c>
      <c r="I87" s="402">
        <v>42845</v>
      </c>
    </row>
    <row r="88" spans="1:9" ht="15" x14ac:dyDescent="0.25">
      <c r="A88" s="135"/>
      <c r="B88" s="247" t="s">
        <v>112</v>
      </c>
      <c r="C88" s="249">
        <f>SUM(C80:C87)</f>
        <v>11557210</v>
      </c>
      <c r="D88" s="248">
        <f>SUM(D80:D87)</f>
        <v>1500000</v>
      </c>
      <c r="E88" s="135"/>
      <c r="F88" s="249">
        <f t="shared" ref="F88" si="7">SUM(F80:F87)</f>
        <v>1500000</v>
      </c>
      <c r="G88" s="377">
        <f>SUM(G80:G87)</f>
        <v>0</v>
      </c>
      <c r="H88" s="135"/>
      <c r="I88" s="135"/>
    </row>
    <row r="90" spans="1:9" s="408" customFormat="1" x14ac:dyDescent="0.2"/>
    <row r="92" spans="1:9" ht="15" x14ac:dyDescent="0.25">
      <c r="C92" s="243" t="s">
        <v>134</v>
      </c>
      <c r="D92" s="243"/>
    </row>
    <row r="93" spans="1:9" ht="45" x14ac:dyDescent="0.2">
      <c r="A93" s="244" t="s">
        <v>97</v>
      </c>
      <c r="B93" s="244" t="s">
        <v>0</v>
      </c>
      <c r="C93" s="245" t="s">
        <v>1</v>
      </c>
      <c r="D93" s="245" t="s">
        <v>98</v>
      </c>
      <c r="E93" s="244" t="s">
        <v>99</v>
      </c>
      <c r="F93" s="245" t="s">
        <v>100</v>
      </c>
      <c r="G93" s="245" t="s">
        <v>101</v>
      </c>
      <c r="H93" s="244" t="s">
        <v>102</v>
      </c>
      <c r="I93" s="245" t="s">
        <v>493</v>
      </c>
    </row>
    <row r="94" spans="1:9" s="408" customFormat="1" ht="25.5" x14ac:dyDescent="0.2">
      <c r="A94" s="519" t="s">
        <v>494</v>
      </c>
      <c r="B94" s="380" t="s">
        <v>135</v>
      </c>
      <c r="C94" s="365">
        <v>898500</v>
      </c>
      <c r="D94" s="522">
        <v>94579</v>
      </c>
      <c r="E94" s="420" t="s">
        <v>106</v>
      </c>
      <c r="F94" s="385">
        <f>8398+86181</f>
        <v>94579</v>
      </c>
      <c r="G94" s="421">
        <f>SUM(D94-F94)</f>
        <v>0</v>
      </c>
      <c r="H94" s="420" t="s">
        <v>114</v>
      </c>
      <c r="I94" s="523">
        <v>41809</v>
      </c>
    </row>
    <row r="95" spans="1:9" s="408" customFormat="1" ht="25.5" x14ac:dyDescent="0.2">
      <c r="A95" s="519" t="s">
        <v>497</v>
      </c>
      <c r="B95" s="380" t="s">
        <v>136</v>
      </c>
      <c r="C95" s="365">
        <v>3904000</v>
      </c>
      <c r="D95" s="363">
        <v>328020</v>
      </c>
      <c r="E95" s="420" t="s">
        <v>106</v>
      </c>
      <c r="F95" s="385">
        <v>328020</v>
      </c>
      <c r="G95" s="428">
        <v>0</v>
      </c>
      <c r="H95" s="420" t="s">
        <v>114</v>
      </c>
      <c r="I95" s="523">
        <v>41281</v>
      </c>
    </row>
    <row r="96" spans="1:9" s="408" customFormat="1" x14ac:dyDescent="0.2">
      <c r="A96" s="426" t="s">
        <v>123</v>
      </c>
      <c r="B96" s="521" t="s">
        <v>504</v>
      </c>
      <c r="C96" s="365">
        <v>800000</v>
      </c>
      <c r="D96" s="363">
        <v>562349</v>
      </c>
      <c r="E96" s="420" t="s">
        <v>106</v>
      </c>
      <c r="F96" s="385">
        <f>470325+89799+2225</f>
        <v>562349</v>
      </c>
      <c r="G96" s="428">
        <f t="shared" ref="G96:G100" si="8">SUM(D96-F96)</f>
        <v>0</v>
      </c>
      <c r="H96" s="420" t="s">
        <v>114</v>
      </c>
      <c r="I96" s="523">
        <v>41176</v>
      </c>
    </row>
    <row r="97" spans="1:9" s="408" customFormat="1" x14ac:dyDescent="0.2">
      <c r="A97" s="426" t="s">
        <v>124</v>
      </c>
      <c r="B97" s="380" t="s">
        <v>125</v>
      </c>
      <c r="C97" s="365">
        <v>8752175</v>
      </c>
      <c r="D97" s="522">
        <v>110137</v>
      </c>
      <c r="E97" s="420" t="s">
        <v>106</v>
      </c>
      <c r="F97" s="385">
        <v>110137</v>
      </c>
      <c r="G97" s="428">
        <f t="shared" si="8"/>
        <v>0</v>
      </c>
      <c r="H97" s="420" t="s">
        <v>114</v>
      </c>
      <c r="I97" s="523">
        <v>41494</v>
      </c>
    </row>
    <row r="98" spans="1:9" s="408" customFormat="1" ht="51" x14ac:dyDescent="0.2">
      <c r="A98" s="426" t="s">
        <v>126</v>
      </c>
      <c r="B98" s="380" t="s">
        <v>137</v>
      </c>
      <c r="C98" s="365">
        <v>225000</v>
      </c>
      <c r="D98" s="522">
        <v>97119</v>
      </c>
      <c r="E98" s="420" t="s">
        <v>106</v>
      </c>
      <c r="F98" s="391">
        <v>97119</v>
      </c>
      <c r="G98" s="428">
        <v>0</v>
      </c>
      <c r="H98" s="420" t="s">
        <v>114</v>
      </c>
      <c r="I98" s="523">
        <v>42181</v>
      </c>
    </row>
    <row r="99" spans="1:9" s="408" customFormat="1" x14ac:dyDescent="0.2">
      <c r="A99" s="426" t="s">
        <v>128</v>
      </c>
      <c r="B99" s="524" t="s">
        <v>129</v>
      </c>
      <c r="C99" s="525">
        <v>500000</v>
      </c>
      <c r="D99" s="522">
        <v>99205</v>
      </c>
      <c r="E99" s="420" t="s">
        <v>106</v>
      </c>
      <c r="F99" s="385">
        <f>44551+54654</f>
        <v>99205</v>
      </c>
      <c r="G99" s="428">
        <f t="shared" si="8"/>
        <v>0</v>
      </c>
      <c r="H99" s="420" t="s">
        <v>114</v>
      </c>
      <c r="I99" s="523">
        <v>41246</v>
      </c>
    </row>
    <row r="100" spans="1:9" s="408" customFormat="1" x14ac:dyDescent="0.2">
      <c r="A100" s="426" t="s">
        <v>130</v>
      </c>
      <c r="B100" s="380" t="s">
        <v>131</v>
      </c>
      <c r="C100" s="365">
        <v>200000</v>
      </c>
      <c r="D100" s="522">
        <v>107536</v>
      </c>
      <c r="E100" s="420" t="s">
        <v>106</v>
      </c>
      <c r="F100" s="385">
        <f>34487+52970+11078+9001</f>
        <v>107536</v>
      </c>
      <c r="G100" s="428">
        <f t="shared" si="8"/>
        <v>0</v>
      </c>
      <c r="H100" s="420" t="s">
        <v>114</v>
      </c>
      <c r="I100" s="523">
        <v>41506</v>
      </c>
    </row>
    <row r="101" spans="1:9" s="408" customFormat="1" x14ac:dyDescent="0.2">
      <c r="A101" s="426" t="s">
        <v>132</v>
      </c>
      <c r="B101" s="380" t="s">
        <v>131</v>
      </c>
      <c r="C101" s="365">
        <v>104929</v>
      </c>
      <c r="D101" s="522">
        <v>103021</v>
      </c>
      <c r="E101" s="420" t="s">
        <v>106</v>
      </c>
      <c r="F101" s="385">
        <v>103021</v>
      </c>
      <c r="G101" s="428">
        <v>0</v>
      </c>
      <c r="H101" s="407" t="s">
        <v>114</v>
      </c>
      <c r="I101" s="523">
        <v>42696</v>
      </c>
    </row>
    <row r="102" spans="1:9" ht="15" x14ac:dyDescent="0.25">
      <c r="A102" s="135"/>
      <c r="B102" s="247" t="s">
        <v>112</v>
      </c>
      <c r="C102" s="249">
        <f>SUM(C94:C101)</f>
        <v>15384604</v>
      </c>
      <c r="D102" s="248">
        <f>SUM(D94:D101)</f>
        <v>1501966</v>
      </c>
      <c r="E102" s="135"/>
      <c r="F102" s="249">
        <f>SUM(F94:F101)</f>
        <v>1501966</v>
      </c>
      <c r="G102" s="375">
        <f>SUM(G94:G101)</f>
        <v>0</v>
      </c>
      <c r="H102" s="135"/>
      <c r="I102" s="13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151"/>
  <sheetViews>
    <sheetView zoomScaleNormal="100" workbookViewId="0">
      <pane ySplit="1" topLeftCell="A2" activePane="bottomLeft" state="frozen"/>
      <selection activeCell="C1" sqref="C1"/>
      <selection pane="bottomLeft" sqref="A1:J1"/>
    </sheetView>
  </sheetViews>
  <sheetFormatPr defaultColWidth="9.140625" defaultRowHeight="12.75" x14ac:dyDescent="0.2"/>
  <cols>
    <col min="1" max="1" width="17" style="255" customWidth="1"/>
    <col min="2" max="2" width="7.85546875" style="255" customWidth="1"/>
    <col min="3" max="3" width="55.5703125" style="255" customWidth="1"/>
    <col min="4" max="4" width="22.7109375" style="255" customWidth="1"/>
    <col min="5" max="5" width="14.42578125" style="299" customWidth="1"/>
    <col min="6" max="6" width="48.42578125" style="255" customWidth="1"/>
    <col min="7" max="7" width="11.7109375" style="299" customWidth="1"/>
    <col min="8" max="8" width="3.85546875" style="487" customWidth="1"/>
    <col min="9" max="9" width="10.85546875" style="255" customWidth="1"/>
    <col min="10" max="10" width="20" style="137" customWidth="1"/>
    <col min="11" max="11" width="9.140625" style="255"/>
    <col min="12" max="12" width="14.7109375" style="255" customWidth="1"/>
    <col min="13" max="16384" width="9.140625" style="255"/>
  </cols>
  <sheetData>
    <row r="1" spans="1:10" s="252" customFormat="1" ht="23.25" x14ac:dyDescent="0.35">
      <c r="A1" s="619" t="s">
        <v>47</v>
      </c>
      <c r="B1" s="619"/>
      <c r="C1" s="619"/>
      <c r="D1" s="619"/>
      <c r="E1" s="619"/>
      <c r="F1" s="619"/>
      <c r="G1" s="619"/>
      <c r="H1" s="619"/>
      <c r="I1" s="619"/>
      <c r="J1" s="619"/>
    </row>
    <row r="2" spans="1:10" ht="25.5" x14ac:dyDescent="0.2">
      <c r="A2" s="253" t="s">
        <v>45</v>
      </c>
      <c r="B2" s="14" t="s">
        <v>44</v>
      </c>
      <c r="C2" s="254" t="s">
        <v>0</v>
      </c>
      <c r="D2" s="254" t="s">
        <v>43</v>
      </c>
      <c r="E2" s="254" t="s">
        <v>1</v>
      </c>
      <c r="F2" s="254" t="s">
        <v>42</v>
      </c>
      <c r="G2" s="620" t="s">
        <v>777</v>
      </c>
      <c r="H2" s="621"/>
      <c r="I2" s="254" t="s">
        <v>41</v>
      </c>
      <c r="J2" s="254" t="s">
        <v>40</v>
      </c>
    </row>
    <row r="3" spans="1:10" x14ac:dyDescent="0.2">
      <c r="A3" s="263"/>
      <c r="B3" s="263"/>
      <c r="C3" s="263"/>
      <c r="D3" s="263"/>
      <c r="E3" s="263"/>
      <c r="F3" s="263"/>
      <c r="G3" s="263"/>
      <c r="H3" s="263"/>
      <c r="I3" s="263"/>
      <c r="J3" s="263"/>
    </row>
    <row r="4" spans="1:10" ht="25.5" x14ac:dyDescent="0.2">
      <c r="A4" s="256" t="s">
        <v>7</v>
      </c>
      <c r="B4" s="257">
        <v>2019</v>
      </c>
      <c r="C4" s="258" t="s">
        <v>914</v>
      </c>
      <c r="D4" s="259" t="s">
        <v>12</v>
      </c>
      <c r="E4" s="526">
        <v>850000</v>
      </c>
      <c r="F4" s="260" t="s">
        <v>915</v>
      </c>
      <c r="G4" s="526">
        <v>360000</v>
      </c>
      <c r="H4" s="528"/>
      <c r="I4" s="444">
        <v>0</v>
      </c>
      <c r="J4" s="261">
        <v>44012</v>
      </c>
    </row>
    <row r="5" spans="1:10" ht="38.25" x14ac:dyDescent="0.2">
      <c r="A5" s="256" t="s">
        <v>7</v>
      </c>
      <c r="B5" s="257">
        <v>2019</v>
      </c>
      <c r="C5" s="258" t="s">
        <v>916</v>
      </c>
      <c r="D5" s="259" t="s">
        <v>12</v>
      </c>
      <c r="E5" s="526">
        <v>531840</v>
      </c>
      <c r="F5" s="260" t="s">
        <v>917</v>
      </c>
      <c r="G5" s="526">
        <v>91100</v>
      </c>
      <c r="H5" s="528"/>
      <c r="I5" s="444">
        <v>0</v>
      </c>
      <c r="J5" s="261">
        <v>44012</v>
      </c>
    </row>
    <row r="6" spans="1:10" ht="38.25" x14ac:dyDescent="0.2">
      <c r="A6" s="256" t="s">
        <v>7</v>
      </c>
      <c r="B6" s="257">
        <v>2019</v>
      </c>
      <c r="C6" s="258" t="s">
        <v>918</v>
      </c>
      <c r="D6" s="259" t="s">
        <v>919</v>
      </c>
      <c r="E6" s="526">
        <v>461000</v>
      </c>
      <c r="F6" s="260" t="s">
        <v>920</v>
      </c>
      <c r="G6" s="526">
        <v>230000</v>
      </c>
      <c r="H6" s="528"/>
      <c r="I6" s="444">
        <v>0</v>
      </c>
      <c r="J6" s="261">
        <v>44012</v>
      </c>
    </row>
    <row r="7" spans="1:10" ht="38.25" x14ac:dyDescent="0.2">
      <c r="A7" s="256" t="s">
        <v>7</v>
      </c>
      <c r="B7" s="257">
        <v>2019</v>
      </c>
      <c r="C7" s="258" t="s">
        <v>921</v>
      </c>
      <c r="D7" s="259" t="s">
        <v>12</v>
      </c>
      <c r="E7" s="526">
        <v>939000</v>
      </c>
      <c r="F7" s="260" t="s">
        <v>922</v>
      </c>
      <c r="G7" s="526">
        <v>300000</v>
      </c>
      <c r="H7" s="528"/>
      <c r="I7" s="444">
        <v>0</v>
      </c>
      <c r="J7" s="261">
        <v>44012</v>
      </c>
    </row>
    <row r="8" spans="1:10" ht="25.5" x14ac:dyDescent="0.2">
      <c r="A8" s="256" t="s">
        <v>7</v>
      </c>
      <c r="B8" s="257">
        <v>2019</v>
      </c>
      <c r="C8" s="258" t="s">
        <v>923</v>
      </c>
      <c r="D8" s="259" t="s">
        <v>12</v>
      </c>
      <c r="E8" s="526">
        <v>1188000</v>
      </c>
      <c r="F8" s="260" t="s">
        <v>924</v>
      </c>
      <c r="G8" s="526">
        <v>328000</v>
      </c>
      <c r="H8" s="528"/>
      <c r="I8" s="444">
        <v>0</v>
      </c>
      <c r="J8" s="261">
        <v>44012</v>
      </c>
    </row>
    <row r="9" spans="1:10" x14ac:dyDescent="0.2">
      <c r="A9" s="263"/>
      <c r="B9" s="263"/>
      <c r="C9" s="263"/>
      <c r="D9" s="263"/>
      <c r="E9" s="263"/>
      <c r="F9" s="263"/>
      <c r="G9" s="263"/>
      <c r="H9" s="263"/>
      <c r="I9" s="263"/>
      <c r="J9" s="263"/>
    </row>
    <row r="10" spans="1:10" ht="38.25" x14ac:dyDescent="0.2">
      <c r="A10" s="256" t="s">
        <v>7</v>
      </c>
      <c r="B10" s="257">
        <v>2018</v>
      </c>
      <c r="C10" s="258" t="s">
        <v>778</v>
      </c>
      <c r="D10" s="259" t="s">
        <v>925</v>
      </c>
      <c r="E10" s="526">
        <v>162482</v>
      </c>
      <c r="F10" s="260" t="s">
        <v>664</v>
      </c>
      <c r="G10" s="527">
        <v>113185</v>
      </c>
      <c r="H10" s="565"/>
      <c r="I10" s="444">
        <v>0</v>
      </c>
      <c r="J10" s="261">
        <v>43646</v>
      </c>
    </row>
    <row r="11" spans="1:10" ht="55.5" customHeight="1" x14ac:dyDescent="0.2">
      <c r="A11" s="256" t="s">
        <v>7</v>
      </c>
      <c r="B11" s="257">
        <v>2018</v>
      </c>
      <c r="C11" s="258" t="s">
        <v>779</v>
      </c>
      <c r="D11" s="259" t="s">
        <v>926</v>
      </c>
      <c r="E11" s="526">
        <v>456000</v>
      </c>
      <c r="F11" s="260" t="s">
        <v>780</v>
      </c>
      <c r="G11" s="527">
        <v>250000</v>
      </c>
      <c r="H11" s="565"/>
      <c r="I11" s="444">
        <v>0</v>
      </c>
      <c r="J11" s="261">
        <v>43646</v>
      </c>
    </row>
    <row r="12" spans="1:10" ht="38.25" x14ac:dyDescent="0.2">
      <c r="A12" s="256" t="s">
        <v>7</v>
      </c>
      <c r="B12" s="257">
        <v>2018</v>
      </c>
      <c r="C12" s="258" t="s">
        <v>781</v>
      </c>
      <c r="D12" s="259" t="s">
        <v>927</v>
      </c>
      <c r="E12" s="526">
        <v>1700000</v>
      </c>
      <c r="F12" s="260" t="s">
        <v>782</v>
      </c>
      <c r="G12" s="527">
        <v>400082</v>
      </c>
      <c r="H12" s="565"/>
      <c r="I12" s="444">
        <v>0</v>
      </c>
      <c r="J12" s="261">
        <v>43646</v>
      </c>
    </row>
    <row r="13" spans="1:10" ht="38.25" x14ac:dyDescent="0.2">
      <c r="A13" s="256" t="s">
        <v>7</v>
      </c>
      <c r="B13" s="257">
        <v>2018</v>
      </c>
      <c r="C13" s="258" t="s">
        <v>783</v>
      </c>
      <c r="D13" s="259" t="s">
        <v>928</v>
      </c>
      <c r="E13" s="526">
        <v>556000</v>
      </c>
      <c r="F13" s="260" t="s">
        <v>784</v>
      </c>
      <c r="G13" s="527">
        <v>366000</v>
      </c>
      <c r="H13" s="565"/>
      <c r="I13" s="444">
        <v>140702.45000000001</v>
      </c>
      <c r="J13" s="261">
        <v>43646</v>
      </c>
    </row>
    <row r="14" spans="1:10" ht="63.75" x14ac:dyDescent="0.2">
      <c r="A14" s="256" t="s">
        <v>7</v>
      </c>
      <c r="B14" s="257">
        <v>2018</v>
      </c>
      <c r="C14" s="258" t="s">
        <v>785</v>
      </c>
      <c r="D14" s="259" t="s">
        <v>925</v>
      </c>
      <c r="E14" s="526">
        <v>765490</v>
      </c>
      <c r="F14" s="260" t="s">
        <v>786</v>
      </c>
      <c r="G14" s="527">
        <v>139000</v>
      </c>
      <c r="H14" s="565"/>
      <c r="I14" s="444">
        <v>0</v>
      </c>
      <c r="J14" s="261">
        <v>43646</v>
      </c>
    </row>
    <row r="15" spans="1:10" x14ac:dyDescent="0.2">
      <c r="A15" s="263"/>
      <c r="B15" s="263"/>
      <c r="C15" s="263"/>
      <c r="D15" s="263"/>
      <c r="E15" s="263"/>
      <c r="F15" s="263"/>
      <c r="G15" s="263"/>
      <c r="H15" s="263"/>
      <c r="I15" s="263"/>
      <c r="J15" s="263"/>
    </row>
    <row r="16" spans="1:10" s="262" customFormat="1" ht="38.25" x14ac:dyDescent="0.2">
      <c r="A16" s="256" t="s">
        <v>7</v>
      </c>
      <c r="B16" s="257">
        <v>2017</v>
      </c>
      <c r="C16" s="258" t="s">
        <v>646</v>
      </c>
      <c r="D16" s="259" t="s">
        <v>787</v>
      </c>
      <c r="E16" s="442">
        <v>600000</v>
      </c>
      <c r="F16" s="260" t="s">
        <v>647</v>
      </c>
      <c r="G16" s="443">
        <v>250000</v>
      </c>
      <c r="H16" s="257"/>
      <c r="I16" s="444">
        <v>67245.320000000007</v>
      </c>
      <c r="J16" s="261">
        <v>43646</v>
      </c>
    </row>
    <row r="17" spans="1:10" s="262" customFormat="1" ht="39.75" customHeight="1" x14ac:dyDescent="0.2">
      <c r="A17" s="256" t="s">
        <v>7</v>
      </c>
      <c r="B17" s="257">
        <v>2017</v>
      </c>
      <c r="C17" s="258" t="s">
        <v>648</v>
      </c>
      <c r="D17" s="259" t="s">
        <v>929</v>
      </c>
      <c r="E17" s="442">
        <v>753000</v>
      </c>
      <c r="F17" s="260" t="s">
        <v>649</v>
      </c>
      <c r="G17" s="443">
        <v>300000</v>
      </c>
      <c r="H17" s="257"/>
      <c r="I17" s="443">
        <v>300000</v>
      </c>
      <c r="J17" s="261">
        <v>43281</v>
      </c>
    </row>
    <row r="18" spans="1:10" s="262" customFormat="1" ht="38.25" x14ac:dyDescent="0.2">
      <c r="A18" s="256" t="s">
        <v>7</v>
      </c>
      <c r="B18" s="257">
        <v>2017</v>
      </c>
      <c r="C18" s="258" t="s">
        <v>650</v>
      </c>
      <c r="D18" s="259" t="s">
        <v>930</v>
      </c>
      <c r="E18" s="442">
        <v>3225917</v>
      </c>
      <c r="F18" s="260" t="s">
        <v>651</v>
      </c>
      <c r="G18" s="443">
        <v>650000</v>
      </c>
      <c r="H18" s="257"/>
      <c r="I18" s="444">
        <v>50645.78</v>
      </c>
      <c r="J18" s="261">
        <v>43646</v>
      </c>
    </row>
    <row r="19" spans="1:10" s="262" customFormat="1" ht="38.25" x14ac:dyDescent="0.2">
      <c r="A19" s="256" t="s">
        <v>7</v>
      </c>
      <c r="B19" s="257">
        <v>2017</v>
      </c>
      <c r="C19" s="258" t="s">
        <v>652</v>
      </c>
      <c r="D19" s="259" t="s">
        <v>788</v>
      </c>
      <c r="E19" s="442">
        <v>1158614</v>
      </c>
      <c r="F19" s="260" t="s">
        <v>653</v>
      </c>
      <c r="G19" s="443">
        <v>650000</v>
      </c>
      <c r="H19" s="257"/>
      <c r="I19" s="444">
        <v>0</v>
      </c>
      <c r="J19" s="261">
        <v>43646</v>
      </c>
    </row>
    <row r="20" spans="1:10" s="262" customFormat="1" ht="63.75" x14ac:dyDescent="0.2">
      <c r="A20" s="256" t="s">
        <v>7</v>
      </c>
      <c r="B20" s="257">
        <v>2017</v>
      </c>
      <c r="C20" s="258" t="s">
        <v>654</v>
      </c>
      <c r="D20" s="259" t="s">
        <v>931</v>
      </c>
      <c r="E20" s="442">
        <v>1288380</v>
      </c>
      <c r="F20" s="260" t="s">
        <v>655</v>
      </c>
      <c r="G20" s="443">
        <v>664678</v>
      </c>
      <c r="H20" s="257"/>
      <c r="I20" s="444">
        <v>113653.6</v>
      </c>
      <c r="J20" s="261">
        <v>43646</v>
      </c>
    </row>
    <row r="21" spans="1:10" s="262" customFormat="1" x14ac:dyDescent="0.2">
      <c r="A21" s="263"/>
      <c r="B21" s="263"/>
      <c r="C21" s="263"/>
      <c r="D21" s="263"/>
      <c r="E21" s="263"/>
      <c r="F21" s="263"/>
      <c r="G21" s="263"/>
      <c r="H21" s="263"/>
      <c r="I21" s="263"/>
      <c r="J21" s="263"/>
    </row>
    <row r="22" spans="1:10" s="262" customFormat="1" ht="39.75" customHeight="1" x14ac:dyDescent="0.2">
      <c r="A22" s="256" t="s">
        <v>7</v>
      </c>
      <c r="B22" s="257">
        <v>2016</v>
      </c>
      <c r="C22" s="258" t="s">
        <v>505</v>
      </c>
      <c r="D22" s="259" t="s">
        <v>932</v>
      </c>
      <c r="E22" s="442">
        <v>1209000</v>
      </c>
      <c r="F22" s="260" t="s">
        <v>656</v>
      </c>
      <c r="G22" s="443">
        <v>600000</v>
      </c>
      <c r="H22" s="257"/>
      <c r="I22" s="444">
        <v>600000</v>
      </c>
      <c r="J22" s="261">
        <v>43281</v>
      </c>
    </row>
    <row r="23" spans="1:10" s="262" customFormat="1" ht="38.25" x14ac:dyDescent="0.2">
      <c r="A23" s="256" t="s">
        <v>7</v>
      </c>
      <c r="B23" s="257">
        <v>2016</v>
      </c>
      <c r="C23" s="258" t="s">
        <v>506</v>
      </c>
      <c r="D23" s="259" t="s">
        <v>933</v>
      </c>
      <c r="E23" s="442">
        <v>850000</v>
      </c>
      <c r="F23" s="260" t="s">
        <v>657</v>
      </c>
      <c r="G23" s="443">
        <v>398500</v>
      </c>
      <c r="H23" s="257"/>
      <c r="I23" s="444">
        <v>398500</v>
      </c>
      <c r="J23" s="261">
        <v>43281</v>
      </c>
    </row>
    <row r="24" spans="1:10" s="262" customFormat="1" ht="38.25" x14ac:dyDescent="0.2">
      <c r="A24" s="256" t="s">
        <v>7</v>
      </c>
      <c r="B24" s="257">
        <v>2016</v>
      </c>
      <c r="C24" s="258" t="s">
        <v>507</v>
      </c>
      <c r="D24" s="259" t="s">
        <v>508</v>
      </c>
      <c r="E24" s="442">
        <v>4321590</v>
      </c>
      <c r="F24" s="260" t="s">
        <v>658</v>
      </c>
      <c r="G24" s="443">
        <v>679699</v>
      </c>
      <c r="H24" s="257"/>
      <c r="I24" s="444">
        <v>583171.02</v>
      </c>
      <c r="J24" s="261">
        <v>43646</v>
      </c>
    </row>
    <row r="25" spans="1:10" s="262" customFormat="1" ht="38.25" x14ac:dyDescent="0.2">
      <c r="A25" s="256" t="s">
        <v>7</v>
      </c>
      <c r="B25" s="257">
        <v>2016</v>
      </c>
      <c r="C25" s="258" t="s">
        <v>934</v>
      </c>
      <c r="D25" s="259" t="s">
        <v>789</v>
      </c>
      <c r="E25" s="442">
        <v>296400</v>
      </c>
      <c r="F25" s="260" t="s">
        <v>659</v>
      </c>
      <c r="G25" s="443">
        <v>222300</v>
      </c>
      <c r="H25" s="566" t="s">
        <v>790</v>
      </c>
      <c r="I25" s="444">
        <v>197851</v>
      </c>
      <c r="J25" s="261">
        <v>42916</v>
      </c>
    </row>
    <row r="26" spans="1:10" s="262" customFormat="1" ht="38.25" x14ac:dyDescent="0.2">
      <c r="A26" s="256" t="s">
        <v>7</v>
      </c>
      <c r="B26" s="257">
        <v>2016</v>
      </c>
      <c r="C26" s="258" t="s">
        <v>509</v>
      </c>
      <c r="D26" s="259" t="s">
        <v>510</v>
      </c>
      <c r="E26" s="442">
        <v>1200100</v>
      </c>
      <c r="F26" s="260" t="s">
        <v>660</v>
      </c>
      <c r="G26" s="443">
        <v>749501</v>
      </c>
      <c r="H26" s="257"/>
      <c r="I26" s="444">
        <v>632661.72</v>
      </c>
      <c r="J26" s="261">
        <v>43646</v>
      </c>
    </row>
    <row r="27" spans="1:10" s="262" customFormat="1" ht="40.5" customHeight="1" x14ac:dyDescent="0.2">
      <c r="A27" s="256" t="s">
        <v>7</v>
      </c>
      <c r="B27" s="257">
        <v>2016</v>
      </c>
      <c r="C27" s="258" t="s">
        <v>511</v>
      </c>
      <c r="D27" s="259" t="s">
        <v>508</v>
      </c>
      <c r="E27" s="442">
        <v>1136000</v>
      </c>
      <c r="F27" s="260" t="s">
        <v>661</v>
      </c>
      <c r="G27" s="443">
        <v>750000</v>
      </c>
      <c r="H27" s="257"/>
      <c r="I27" s="444">
        <v>496654.57</v>
      </c>
      <c r="J27" s="261">
        <v>43646</v>
      </c>
    </row>
    <row r="28" spans="1:10" s="262" customFormat="1" x14ac:dyDescent="0.2">
      <c r="A28" s="263"/>
      <c r="B28" s="264"/>
      <c r="C28" s="265"/>
      <c r="D28" s="265"/>
      <c r="E28" s="265"/>
      <c r="F28" s="265"/>
      <c r="G28" s="266"/>
      <c r="H28" s="267"/>
      <c r="I28" s="265"/>
      <c r="J28" s="265"/>
    </row>
    <row r="29" spans="1:10" s="262" customFormat="1" ht="38.25" x14ac:dyDescent="0.2">
      <c r="A29" s="268" t="s">
        <v>7</v>
      </c>
      <c r="B29" s="257">
        <v>2015</v>
      </c>
      <c r="C29" s="258" t="s">
        <v>444</v>
      </c>
      <c r="D29" s="259" t="s">
        <v>512</v>
      </c>
      <c r="E29" s="442">
        <v>2109860</v>
      </c>
      <c r="F29" s="260" t="s">
        <v>662</v>
      </c>
      <c r="G29" s="443">
        <v>782500</v>
      </c>
      <c r="H29" s="257"/>
      <c r="I29" s="444">
        <v>782500</v>
      </c>
      <c r="J29" s="269">
        <v>42061</v>
      </c>
    </row>
    <row r="30" spans="1:10" s="262" customFormat="1" ht="38.25" x14ac:dyDescent="0.2">
      <c r="A30" s="268" t="s">
        <v>7</v>
      </c>
      <c r="B30" s="257">
        <v>2015</v>
      </c>
      <c r="C30" s="258" t="s">
        <v>445</v>
      </c>
      <c r="D30" s="259" t="s">
        <v>663</v>
      </c>
      <c r="E30" s="442">
        <v>214542</v>
      </c>
      <c r="F30" s="260" t="s">
        <v>664</v>
      </c>
      <c r="G30" s="443">
        <v>160906</v>
      </c>
      <c r="H30" s="257"/>
      <c r="I30" s="444">
        <v>160906</v>
      </c>
      <c r="J30" s="269">
        <v>42551</v>
      </c>
    </row>
    <row r="31" spans="1:10" s="262" customFormat="1" ht="38.25" x14ac:dyDescent="0.2">
      <c r="A31" s="268" t="s">
        <v>7</v>
      </c>
      <c r="B31" s="257">
        <v>2015</v>
      </c>
      <c r="C31" s="258" t="s">
        <v>446</v>
      </c>
      <c r="D31" s="259" t="s">
        <v>791</v>
      </c>
      <c r="E31" s="442">
        <v>299250</v>
      </c>
      <c r="F31" s="260" t="s">
        <v>25</v>
      </c>
      <c r="G31" s="443">
        <v>224437</v>
      </c>
      <c r="H31" s="257"/>
      <c r="I31" s="444">
        <v>224437</v>
      </c>
      <c r="J31" s="269">
        <v>42916</v>
      </c>
    </row>
    <row r="32" spans="1:10" s="262" customFormat="1" ht="38.25" x14ac:dyDescent="0.2">
      <c r="A32" s="268" t="s">
        <v>7</v>
      </c>
      <c r="B32" s="257">
        <v>2015</v>
      </c>
      <c r="C32" s="258" t="s">
        <v>935</v>
      </c>
      <c r="D32" s="259" t="s">
        <v>792</v>
      </c>
      <c r="E32" s="442">
        <v>1690000</v>
      </c>
      <c r="F32" s="260" t="s">
        <v>447</v>
      </c>
      <c r="G32" s="443">
        <v>340000</v>
      </c>
      <c r="H32" s="566" t="s">
        <v>936</v>
      </c>
      <c r="I32" s="444">
        <v>257045.57</v>
      </c>
      <c r="J32" s="269">
        <v>42719</v>
      </c>
    </row>
    <row r="33" spans="1:77" s="262" customFormat="1" ht="38.25" x14ac:dyDescent="0.2">
      <c r="A33" s="268" t="s">
        <v>7</v>
      </c>
      <c r="B33" s="257">
        <v>2015</v>
      </c>
      <c r="C33" s="258" t="s">
        <v>448</v>
      </c>
      <c r="D33" s="259" t="s">
        <v>937</v>
      </c>
      <c r="E33" s="442">
        <v>605333</v>
      </c>
      <c r="F33" s="260" t="s">
        <v>664</v>
      </c>
      <c r="G33" s="443">
        <v>454000</v>
      </c>
      <c r="H33" s="257"/>
      <c r="I33" s="444">
        <v>454000</v>
      </c>
      <c r="J33" s="269">
        <v>43281</v>
      </c>
    </row>
    <row r="34" spans="1:77" s="262" customFormat="1" ht="38.25" x14ac:dyDescent="0.2">
      <c r="A34" s="268" t="s">
        <v>7</v>
      </c>
      <c r="B34" s="257">
        <v>2015</v>
      </c>
      <c r="C34" s="258" t="s">
        <v>449</v>
      </c>
      <c r="D34" s="259" t="s">
        <v>665</v>
      </c>
      <c r="E34" s="442">
        <v>395000</v>
      </c>
      <c r="F34" s="260" t="s">
        <v>666</v>
      </c>
      <c r="G34" s="443">
        <v>296250</v>
      </c>
      <c r="H34" s="257"/>
      <c r="I34" s="444">
        <v>296250</v>
      </c>
      <c r="J34" s="269">
        <v>42551</v>
      </c>
    </row>
    <row r="35" spans="1:77" s="270" customFormat="1" ht="38.25" x14ac:dyDescent="0.2">
      <c r="A35" s="268" t="s">
        <v>7</v>
      </c>
      <c r="B35" s="257">
        <v>2015</v>
      </c>
      <c r="C35" s="258" t="s">
        <v>450</v>
      </c>
      <c r="D35" s="259" t="s">
        <v>793</v>
      </c>
      <c r="E35" s="442">
        <v>1335000</v>
      </c>
      <c r="F35" s="260" t="s">
        <v>667</v>
      </c>
      <c r="G35" s="443">
        <v>775000</v>
      </c>
      <c r="H35" s="257"/>
      <c r="I35" s="444">
        <v>775000</v>
      </c>
      <c r="J35" s="269">
        <v>42376</v>
      </c>
    </row>
    <row r="36" spans="1:77" s="270" customFormat="1" ht="38.25" x14ac:dyDescent="0.2">
      <c r="A36" s="268" t="s">
        <v>7</v>
      </c>
      <c r="B36" s="257">
        <v>2015</v>
      </c>
      <c r="C36" s="258" t="s">
        <v>794</v>
      </c>
      <c r="D36" s="259" t="s">
        <v>513</v>
      </c>
      <c r="E36" s="442">
        <v>1066590</v>
      </c>
      <c r="F36" s="260" t="s">
        <v>668</v>
      </c>
      <c r="G36" s="443">
        <v>500000</v>
      </c>
      <c r="H36" s="566" t="s">
        <v>795</v>
      </c>
      <c r="I36" s="444">
        <v>424454.12</v>
      </c>
      <c r="J36" s="269">
        <v>43646</v>
      </c>
    </row>
    <row r="37" spans="1:77" s="262" customFormat="1" ht="38.25" x14ac:dyDescent="0.2">
      <c r="A37" s="268" t="s">
        <v>7</v>
      </c>
      <c r="B37" s="257">
        <v>2015</v>
      </c>
      <c r="C37" s="258" t="s">
        <v>938</v>
      </c>
      <c r="D37" s="259" t="s">
        <v>939</v>
      </c>
      <c r="E37" s="442">
        <v>862853</v>
      </c>
      <c r="F37" s="260" t="s">
        <v>669</v>
      </c>
      <c r="G37" s="443">
        <v>647140</v>
      </c>
      <c r="H37" s="566" t="s">
        <v>936</v>
      </c>
      <c r="I37" s="444">
        <v>631947.12</v>
      </c>
      <c r="J37" s="269">
        <v>43281</v>
      </c>
    </row>
    <row r="38" spans="1:77" s="262" customFormat="1" ht="38.25" x14ac:dyDescent="0.2">
      <c r="A38" s="268" t="s">
        <v>7</v>
      </c>
      <c r="B38" s="257">
        <v>2015</v>
      </c>
      <c r="C38" s="258" t="s">
        <v>940</v>
      </c>
      <c r="D38" s="259" t="s">
        <v>941</v>
      </c>
      <c r="E38" s="442">
        <v>1369575</v>
      </c>
      <c r="F38" s="260" t="s">
        <v>451</v>
      </c>
      <c r="G38" s="443">
        <v>579074</v>
      </c>
      <c r="H38" s="566" t="s">
        <v>936</v>
      </c>
      <c r="I38" s="444">
        <v>282679.69</v>
      </c>
      <c r="J38" s="269">
        <v>43281</v>
      </c>
    </row>
    <row r="39" spans="1:77" s="262" customFormat="1" ht="38.25" x14ac:dyDescent="0.2">
      <c r="A39" s="268" t="s">
        <v>7</v>
      </c>
      <c r="B39" s="257">
        <v>2015</v>
      </c>
      <c r="C39" s="258" t="s">
        <v>452</v>
      </c>
      <c r="D39" s="259" t="s">
        <v>514</v>
      </c>
      <c r="E39" s="442">
        <v>933333</v>
      </c>
      <c r="F39" s="260" t="s">
        <v>670</v>
      </c>
      <c r="G39" s="443">
        <v>700000</v>
      </c>
      <c r="H39" s="257"/>
      <c r="I39" s="444">
        <v>58748.56</v>
      </c>
      <c r="J39" s="269">
        <v>43646</v>
      </c>
    </row>
    <row r="40" spans="1:77" s="262" customFormat="1" ht="38.25" x14ac:dyDescent="0.2">
      <c r="A40" s="268" t="s">
        <v>7</v>
      </c>
      <c r="B40" s="257">
        <v>2015</v>
      </c>
      <c r="C40" s="258" t="s">
        <v>453</v>
      </c>
      <c r="D40" s="259" t="s">
        <v>796</v>
      </c>
      <c r="E40" s="442">
        <v>75000</v>
      </c>
      <c r="F40" s="260" t="s">
        <v>454</v>
      </c>
      <c r="G40" s="443">
        <v>55000</v>
      </c>
      <c r="H40" s="257"/>
      <c r="I40" s="444">
        <v>55000</v>
      </c>
      <c r="J40" s="269">
        <v>42913</v>
      </c>
    </row>
    <row r="41" spans="1:77" s="262" customFormat="1" ht="38.25" x14ac:dyDescent="0.2">
      <c r="A41" s="268" t="s">
        <v>7</v>
      </c>
      <c r="B41" s="257">
        <v>2015</v>
      </c>
      <c r="C41" s="258" t="s">
        <v>797</v>
      </c>
      <c r="D41" s="259" t="s">
        <v>798</v>
      </c>
      <c r="E41" s="442">
        <v>3740000</v>
      </c>
      <c r="F41" s="260" t="s">
        <v>671</v>
      </c>
      <c r="G41" s="443">
        <v>500000</v>
      </c>
      <c r="H41" s="566" t="s">
        <v>795</v>
      </c>
      <c r="I41" s="444">
        <v>500000</v>
      </c>
      <c r="J41" s="269">
        <v>42746</v>
      </c>
    </row>
    <row r="42" spans="1:77" s="262" customFormat="1" x14ac:dyDescent="0.2">
      <c r="A42" s="263"/>
      <c r="B42" s="271">
        <v>2014</v>
      </c>
      <c r="C42" s="265"/>
      <c r="D42" s="272"/>
      <c r="E42" s="272"/>
      <c r="F42" s="272"/>
      <c r="G42" s="272"/>
      <c r="H42" s="273" t="e">
        <f>SUM(#REF!)</f>
        <v>#REF!</v>
      </c>
      <c r="I42" s="272"/>
      <c r="J42" s="273" t="e">
        <f>SUM(#REF!)</f>
        <v>#REF!</v>
      </c>
    </row>
    <row r="43" spans="1:77" s="274" customFormat="1" ht="38.25" x14ac:dyDescent="0.2">
      <c r="A43" s="268" t="s">
        <v>7</v>
      </c>
      <c r="B43" s="257">
        <v>2014</v>
      </c>
      <c r="C43" s="258" t="s">
        <v>455</v>
      </c>
      <c r="D43" s="259" t="s">
        <v>456</v>
      </c>
      <c r="E43" s="442">
        <v>3065000</v>
      </c>
      <c r="F43" s="260" t="s">
        <v>370</v>
      </c>
      <c r="G43" s="443">
        <v>782500</v>
      </c>
      <c r="H43" s="257"/>
      <c r="I43" s="444">
        <v>782500</v>
      </c>
      <c r="J43" s="269">
        <v>41760</v>
      </c>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row>
    <row r="44" spans="1:77" s="262" customFormat="1" ht="38.25" x14ac:dyDescent="0.2">
      <c r="A44" s="268" t="s">
        <v>7</v>
      </c>
      <c r="B44" s="257">
        <v>2014</v>
      </c>
      <c r="C44" s="258" t="s">
        <v>371</v>
      </c>
      <c r="D44" s="259" t="s">
        <v>672</v>
      </c>
      <c r="E44" s="442">
        <v>722275</v>
      </c>
      <c r="F44" s="260" t="s">
        <v>673</v>
      </c>
      <c r="G44" s="443">
        <v>260774</v>
      </c>
      <c r="H44" s="257"/>
      <c r="I44" s="444">
        <v>260774</v>
      </c>
      <c r="J44" s="261">
        <v>42551</v>
      </c>
      <c r="K44" s="275"/>
      <c r="L44" s="270"/>
      <c r="M44" s="270"/>
    </row>
    <row r="45" spans="1:77" s="270" customFormat="1" ht="38.25" x14ac:dyDescent="0.2">
      <c r="A45" s="276" t="s">
        <v>7</v>
      </c>
      <c r="B45" s="257">
        <v>2014</v>
      </c>
      <c r="C45" s="258" t="s">
        <v>372</v>
      </c>
      <c r="D45" s="259" t="s">
        <v>457</v>
      </c>
      <c r="E45" s="442">
        <v>1604512</v>
      </c>
      <c r="F45" s="260" t="s">
        <v>674</v>
      </c>
      <c r="G45" s="443">
        <v>380265</v>
      </c>
      <c r="H45" s="257"/>
      <c r="I45" s="444">
        <v>53200.01</v>
      </c>
      <c r="J45" s="529">
        <v>43646</v>
      </c>
      <c r="K45" s="277"/>
      <c r="L45" s="278"/>
      <c r="M45" s="278"/>
    </row>
    <row r="46" spans="1:77" s="270" customFormat="1" ht="38.25" x14ac:dyDescent="0.2">
      <c r="A46" s="268" t="s">
        <v>7</v>
      </c>
      <c r="B46" s="257">
        <v>2014</v>
      </c>
      <c r="C46" s="258" t="s">
        <v>373</v>
      </c>
      <c r="D46" s="259" t="s">
        <v>675</v>
      </c>
      <c r="E46" s="442">
        <v>650000</v>
      </c>
      <c r="F46" s="260" t="s">
        <v>374</v>
      </c>
      <c r="G46" s="443">
        <v>487500</v>
      </c>
      <c r="H46" s="257"/>
      <c r="I46" s="444">
        <v>141285.6</v>
      </c>
      <c r="J46" s="529">
        <v>43646</v>
      </c>
      <c r="K46" s="278"/>
      <c r="L46" s="278"/>
      <c r="M46" s="278"/>
    </row>
    <row r="47" spans="1:77" s="270" customFormat="1" ht="38.25" x14ac:dyDescent="0.2">
      <c r="A47" s="268" t="s">
        <v>7</v>
      </c>
      <c r="B47" s="257">
        <v>2014</v>
      </c>
      <c r="C47" s="258" t="s">
        <v>375</v>
      </c>
      <c r="D47" s="259" t="s">
        <v>676</v>
      </c>
      <c r="E47" s="442">
        <v>1375694</v>
      </c>
      <c r="F47" s="260" t="s">
        <v>376</v>
      </c>
      <c r="G47" s="443">
        <v>775000</v>
      </c>
      <c r="H47" s="257"/>
      <c r="I47" s="444">
        <v>775000</v>
      </c>
      <c r="J47" s="529">
        <v>42551</v>
      </c>
      <c r="K47" s="445" t="s">
        <v>486</v>
      </c>
    </row>
    <row r="48" spans="1:77" s="270" customFormat="1" ht="38.25" x14ac:dyDescent="0.2">
      <c r="A48" s="268" t="s">
        <v>7</v>
      </c>
      <c r="B48" s="257">
        <v>2014</v>
      </c>
      <c r="C48" s="258" t="s">
        <v>377</v>
      </c>
      <c r="D48" s="259" t="s">
        <v>799</v>
      </c>
      <c r="E48" s="442">
        <v>1017000</v>
      </c>
      <c r="F48" s="260" t="s">
        <v>677</v>
      </c>
      <c r="G48" s="443">
        <v>318644</v>
      </c>
      <c r="H48" s="257"/>
      <c r="I48" s="444">
        <v>318644</v>
      </c>
      <c r="J48" s="529">
        <v>42878</v>
      </c>
    </row>
    <row r="49" spans="1:13" s="270" customFormat="1" ht="38.25" x14ac:dyDescent="0.2">
      <c r="A49" s="268" t="s">
        <v>7</v>
      </c>
      <c r="B49" s="257">
        <v>2014</v>
      </c>
      <c r="C49" s="258" t="s">
        <v>378</v>
      </c>
      <c r="D49" s="259" t="s">
        <v>678</v>
      </c>
      <c r="E49" s="442">
        <v>521479</v>
      </c>
      <c r="F49" s="260" t="s">
        <v>379</v>
      </c>
      <c r="G49" s="443">
        <v>371479</v>
      </c>
      <c r="H49" s="257"/>
      <c r="I49" s="444">
        <v>371479</v>
      </c>
      <c r="J49" s="261">
        <v>42551</v>
      </c>
      <c r="K49" s="277"/>
      <c r="L49" s="278"/>
      <c r="M49" s="278"/>
    </row>
    <row r="50" spans="1:13" s="270" customFormat="1" ht="38.25" x14ac:dyDescent="0.2">
      <c r="A50" s="268" t="s">
        <v>7</v>
      </c>
      <c r="B50" s="257">
        <v>2014</v>
      </c>
      <c r="C50" s="258" t="s">
        <v>380</v>
      </c>
      <c r="D50" s="259" t="s">
        <v>381</v>
      </c>
      <c r="E50" s="442">
        <v>290000</v>
      </c>
      <c r="F50" s="260" t="s">
        <v>382</v>
      </c>
      <c r="G50" s="443">
        <v>92897</v>
      </c>
      <c r="H50" s="567"/>
      <c r="I50" s="444">
        <v>86341.37</v>
      </c>
      <c r="J50" s="529">
        <v>43646</v>
      </c>
      <c r="K50" s="278"/>
      <c r="L50" s="278"/>
      <c r="M50" s="278"/>
    </row>
    <row r="51" spans="1:13" s="270" customFormat="1" x14ac:dyDescent="0.2">
      <c r="A51" s="263"/>
      <c r="B51" s="271">
        <v>2014</v>
      </c>
      <c r="C51" s="265"/>
      <c r="D51" s="272"/>
      <c r="E51" s="272"/>
      <c r="F51" s="272"/>
      <c r="G51" s="272"/>
      <c r="H51" s="273" t="e">
        <f>SUM(#REF!)</f>
        <v>#REF!</v>
      </c>
      <c r="I51" s="272"/>
      <c r="J51" s="273" t="e">
        <f>SUM(#REF!)</f>
        <v>#REF!</v>
      </c>
    </row>
    <row r="52" spans="1:13" s="270" customFormat="1" ht="38.25" x14ac:dyDescent="0.2">
      <c r="A52" s="268" t="s">
        <v>7</v>
      </c>
      <c r="B52" s="279">
        <v>2013</v>
      </c>
      <c r="C52" s="260" t="s">
        <v>94</v>
      </c>
      <c r="D52" s="259" t="s">
        <v>515</v>
      </c>
      <c r="E52" s="442">
        <v>125800</v>
      </c>
      <c r="F52" s="260" t="s">
        <v>679</v>
      </c>
      <c r="G52" s="443">
        <v>78000</v>
      </c>
      <c r="H52" s="568"/>
      <c r="I52" s="444">
        <v>78000</v>
      </c>
      <c r="J52" s="269">
        <v>42233</v>
      </c>
    </row>
    <row r="53" spans="1:13" s="270" customFormat="1" ht="38.25" x14ac:dyDescent="0.2">
      <c r="A53" s="268" t="s">
        <v>7</v>
      </c>
      <c r="B53" s="279">
        <v>2013</v>
      </c>
      <c r="C53" s="260" t="s">
        <v>73</v>
      </c>
      <c r="D53" s="259" t="s">
        <v>516</v>
      </c>
      <c r="E53" s="442">
        <v>535544</v>
      </c>
      <c r="F53" s="260" t="s">
        <v>87</v>
      </c>
      <c r="G53" s="443">
        <v>400000</v>
      </c>
      <c r="H53" s="568"/>
      <c r="I53" s="444">
        <v>400000</v>
      </c>
      <c r="J53" s="269">
        <v>42130</v>
      </c>
    </row>
    <row r="54" spans="1:13" s="270" customFormat="1" ht="51" x14ac:dyDescent="0.2">
      <c r="A54" s="268" t="s">
        <v>7</v>
      </c>
      <c r="B54" s="279">
        <v>2013</v>
      </c>
      <c r="C54" s="260" t="s">
        <v>95</v>
      </c>
      <c r="D54" s="259" t="s">
        <v>800</v>
      </c>
      <c r="E54" s="442">
        <v>1190931</v>
      </c>
      <c r="F54" s="260" t="s">
        <v>680</v>
      </c>
      <c r="G54" s="443">
        <v>700000</v>
      </c>
      <c r="H54" s="568"/>
      <c r="I54" s="442">
        <v>700000</v>
      </c>
      <c r="J54" s="261">
        <v>42978</v>
      </c>
      <c r="K54" s="277"/>
      <c r="L54" s="278"/>
      <c r="M54" s="278"/>
    </row>
    <row r="55" spans="1:13" s="270" customFormat="1" ht="38.25" x14ac:dyDescent="0.2">
      <c r="A55" s="268" t="s">
        <v>7</v>
      </c>
      <c r="B55" s="279">
        <v>2013</v>
      </c>
      <c r="C55" s="260" t="s">
        <v>78</v>
      </c>
      <c r="D55" s="259" t="s">
        <v>663</v>
      </c>
      <c r="E55" s="442">
        <v>2100000</v>
      </c>
      <c r="F55" s="260" t="s">
        <v>681</v>
      </c>
      <c r="G55" s="443">
        <v>441000</v>
      </c>
      <c r="H55" s="568"/>
      <c r="I55" s="442">
        <v>441000</v>
      </c>
      <c r="J55" s="261">
        <v>42762</v>
      </c>
      <c r="K55" s="277"/>
      <c r="L55" s="278"/>
      <c r="M55" s="278"/>
    </row>
    <row r="56" spans="1:13" s="270" customFormat="1" ht="38.25" x14ac:dyDescent="0.2">
      <c r="A56" s="268" t="s">
        <v>7</v>
      </c>
      <c r="B56" s="279">
        <v>2013</v>
      </c>
      <c r="C56" s="260" t="s">
        <v>74</v>
      </c>
      <c r="D56" s="259" t="s">
        <v>516</v>
      </c>
      <c r="E56" s="442">
        <v>227333</v>
      </c>
      <c r="F56" s="260" t="s">
        <v>88</v>
      </c>
      <c r="G56" s="443">
        <v>170500</v>
      </c>
      <c r="H56" s="568"/>
      <c r="I56" s="442">
        <v>170500</v>
      </c>
      <c r="J56" s="261">
        <v>42551</v>
      </c>
      <c r="K56" s="277"/>
      <c r="L56" s="278"/>
      <c r="M56" s="278"/>
    </row>
    <row r="57" spans="1:13" s="270" customFormat="1" ht="38.25" x14ac:dyDescent="0.2">
      <c r="A57" s="268" t="s">
        <v>7</v>
      </c>
      <c r="B57" s="279">
        <v>2013</v>
      </c>
      <c r="C57" s="260" t="s">
        <v>75</v>
      </c>
      <c r="D57" s="259" t="s">
        <v>458</v>
      </c>
      <c r="E57" s="442">
        <v>984400</v>
      </c>
      <c r="F57" s="260" t="s">
        <v>89</v>
      </c>
      <c r="G57" s="443">
        <v>381100</v>
      </c>
      <c r="H57" s="568"/>
      <c r="I57" s="442">
        <v>362045</v>
      </c>
      <c r="J57" s="261">
        <v>43646</v>
      </c>
      <c r="K57" s="277"/>
      <c r="L57" s="278"/>
      <c r="M57" s="278"/>
    </row>
    <row r="58" spans="1:13" s="270" customFormat="1" ht="38.25" x14ac:dyDescent="0.2">
      <c r="A58" s="268" t="s">
        <v>7</v>
      </c>
      <c r="B58" s="279">
        <v>2013</v>
      </c>
      <c r="C58" s="260" t="s">
        <v>76</v>
      </c>
      <c r="D58" s="259" t="s">
        <v>942</v>
      </c>
      <c r="E58" s="442">
        <v>1007592</v>
      </c>
      <c r="F58" s="260" t="s">
        <v>682</v>
      </c>
      <c r="G58" s="443">
        <v>755694</v>
      </c>
      <c r="H58" s="568"/>
      <c r="I58" s="442">
        <v>659506.71</v>
      </c>
      <c r="J58" s="261">
        <v>43281</v>
      </c>
      <c r="K58" s="277"/>
      <c r="L58" s="278"/>
      <c r="M58" s="278"/>
    </row>
    <row r="59" spans="1:13" s="270" customFormat="1" ht="38.25" x14ac:dyDescent="0.2">
      <c r="A59" s="268" t="s">
        <v>7</v>
      </c>
      <c r="B59" s="279">
        <v>2013</v>
      </c>
      <c r="C59" s="260" t="s">
        <v>77</v>
      </c>
      <c r="D59" s="259" t="s">
        <v>801</v>
      </c>
      <c r="E59" s="442">
        <v>354000</v>
      </c>
      <c r="F59" s="260" t="s">
        <v>25</v>
      </c>
      <c r="G59" s="443">
        <v>204000</v>
      </c>
      <c r="H59" s="568"/>
      <c r="I59" s="442">
        <v>204000</v>
      </c>
      <c r="J59" s="261">
        <v>42842</v>
      </c>
      <c r="K59" s="277"/>
      <c r="L59" s="278"/>
      <c r="M59" s="278"/>
    </row>
    <row r="60" spans="1:13" s="270" customFormat="1" x14ac:dyDescent="0.2">
      <c r="A60" s="272"/>
      <c r="B60" s="272"/>
      <c r="C60" s="272"/>
      <c r="D60" s="272"/>
      <c r="E60" s="273" t="e">
        <f>SUM(#REF!)</f>
        <v>#REF!</v>
      </c>
      <c r="F60" s="272"/>
      <c r="G60" s="273" t="e">
        <f>SUM(#REF!)</f>
        <v>#REF!</v>
      </c>
      <c r="H60" s="280"/>
      <c r="I60" s="272"/>
      <c r="J60" s="272"/>
      <c r="K60" s="277"/>
      <c r="L60" s="278"/>
      <c r="M60" s="278"/>
    </row>
    <row r="61" spans="1:13" s="270" customFormat="1" ht="38.25" x14ac:dyDescent="0.2">
      <c r="A61" s="268" t="s">
        <v>7</v>
      </c>
      <c r="B61" s="279">
        <v>2012</v>
      </c>
      <c r="C61" s="281" t="s">
        <v>91</v>
      </c>
      <c r="D61" s="259" t="s">
        <v>517</v>
      </c>
      <c r="E61" s="282">
        <v>506100</v>
      </c>
      <c r="F61" s="260" t="s">
        <v>683</v>
      </c>
      <c r="G61" s="283">
        <v>100000</v>
      </c>
      <c r="H61" s="568"/>
      <c r="I61" s="442">
        <v>98300</v>
      </c>
      <c r="J61" s="269">
        <v>43646</v>
      </c>
      <c r="K61" s="277"/>
      <c r="L61" s="278"/>
      <c r="M61" s="278"/>
    </row>
    <row r="62" spans="1:13" s="270" customFormat="1" ht="38.25" x14ac:dyDescent="0.2">
      <c r="A62" s="268" t="s">
        <v>7</v>
      </c>
      <c r="B62" s="279">
        <v>2012</v>
      </c>
      <c r="C62" s="281" t="s">
        <v>943</v>
      </c>
      <c r="D62" s="259" t="s">
        <v>459</v>
      </c>
      <c r="E62" s="282">
        <v>80000</v>
      </c>
      <c r="F62" s="260" t="s">
        <v>48</v>
      </c>
      <c r="G62" s="283">
        <v>60000</v>
      </c>
      <c r="H62" s="569" t="s">
        <v>936</v>
      </c>
      <c r="I62" s="442">
        <v>25959.74</v>
      </c>
      <c r="J62" s="261">
        <v>43281</v>
      </c>
      <c r="K62" s="277"/>
      <c r="L62" s="278"/>
      <c r="M62" s="278"/>
    </row>
    <row r="63" spans="1:13" s="270" customFormat="1" ht="38.25" x14ac:dyDescent="0.2">
      <c r="A63" s="268" t="s">
        <v>7</v>
      </c>
      <c r="B63" s="279">
        <v>2012</v>
      </c>
      <c r="C63" s="281" t="s">
        <v>49</v>
      </c>
      <c r="D63" s="259" t="s">
        <v>944</v>
      </c>
      <c r="E63" s="282">
        <v>562500</v>
      </c>
      <c r="F63" s="260" t="s">
        <v>518</v>
      </c>
      <c r="G63" s="283">
        <v>108500</v>
      </c>
      <c r="H63" s="568"/>
      <c r="I63" s="442">
        <v>108500</v>
      </c>
      <c r="J63" s="529">
        <v>43281</v>
      </c>
      <c r="K63" s="277"/>
      <c r="L63" s="278"/>
      <c r="M63" s="278"/>
    </row>
    <row r="64" spans="1:13" s="270" customFormat="1" ht="51" x14ac:dyDescent="0.2">
      <c r="A64" s="268" t="s">
        <v>7</v>
      </c>
      <c r="B64" s="279">
        <v>2012</v>
      </c>
      <c r="C64" s="281" t="s">
        <v>802</v>
      </c>
      <c r="D64" s="259" t="s">
        <v>383</v>
      </c>
      <c r="E64" s="282">
        <v>3612516</v>
      </c>
      <c r="F64" s="260" t="s">
        <v>684</v>
      </c>
      <c r="G64" s="283">
        <v>396516</v>
      </c>
      <c r="H64" s="569" t="s">
        <v>803</v>
      </c>
      <c r="I64" s="442" t="s">
        <v>46</v>
      </c>
      <c r="J64" s="269" t="s">
        <v>17</v>
      </c>
      <c r="K64" s="277"/>
      <c r="L64" s="278"/>
      <c r="M64" s="278"/>
    </row>
    <row r="65" spans="1:13" s="270" customFormat="1" ht="38.25" x14ac:dyDescent="0.2">
      <c r="A65" s="268" t="s">
        <v>7</v>
      </c>
      <c r="B65" s="279">
        <v>2012</v>
      </c>
      <c r="C65" s="281" t="s">
        <v>50</v>
      </c>
      <c r="D65" s="259" t="s">
        <v>519</v>
      </c>
      <c r="E65" s="282">
        <v>10891016</v>
      </c>
      <c r="F65" s="260" t="s">
        <v>685</v>
      </c>
      <c r="G65" s="283">
        <v>753750</v>
      </c>
      <c r="H65" s="568"/>
      <c r="I65" s="442">
        <v>753750</v>
      </c>
      <c r="J65" s="269">
        <v>42311</v>
      </c>
      <c r="K65" s="277"/>
      <c r="L65" s="278"/>
      <c r="M65" s="278"/>
    </row>
    <row r="66" spans="1:13" s="270" customFormat="1" ht="38.25" x14ac:dyDescent="0.2">
      <c r="A66" s="268" t="s">
        <v>7</v>
      </c>
      <c r="B66" s="279">
        <v>2012</v>
      </c>
      <c r="C66" s="281" t="s">
        <v>51</v>
      </c>
      <c r="D66" s="259" t="s">
        <v>384</v>
      </c>
      <c r="E66" s="282">
        <v>165500</v>
      </c>
      <c r="F66" s="260" t="s">
        <v>379</v>
      </c>
      <c r="G66" s="283">
        <v>115850</v>
      </c>
      <c r="H66" s="568"/>
      <c r="I66" s="442">
        <v>115850</v>
      </c>
      <c r="J66" s="269">
        <v>41555</v>
      </c>
    </row>
    <row r="67" spans="1:13" s="270" customFormat="1" ht="38.25" x14ac:dyDescent="0.2">
      <c r="A67" s="268" t="s">
        <v>7</v>
      </c>
      <c r="B67" s="279">
        <v>2012</v>
      </c>
      <c r="C67" s="281" t="s">
        <v>804</v>
      </c>
      <c r="D67" s="259" t="s">
        <v>686</v>
      </c>
      <c r="E67" s="282">
        <v>586570</v>
      </c>
      <c r="F67" s="260" t="s">
        <v>52</v>
      </c>
      <c r="G67" s="283">
        <v>439920</v>
      </c>
      <c r="H67" s="569" t="s">
        <v>805</v>
      </c>
      <c r="I67" s="442">
        <v>439920</v>
      </c>
      <c r="J67" s="261">
        <v>42551</v>
      </c>
      <c r="K67" s="446" t="s">
        <v>486</v>
      </c>
      <c r="L67" s="278"/>
      <c r="M67" s="278"/>
    </row>
    <row r="68" spans="1:13" s="270" customFormat="1" ht="38.25" x14ac:dyDescent="0.2">
      <c r="A68" s="268" t="s">
        <v>7</v>
      </c>
      <c r="B68" s="279">
        <v>2012</v>
      </c>
      <c r="C68" s="281" t="s">
        <v>53</v>
      </c>
      <c r="D68" s="259" t="s">
        <v>520</v>
      </c>
      <c r="E68" s="282">
        <v>626349</v>
      </c>
      <c r="F68" s="260" t="s">
        <v>687</v>
      </c>
      <c r="G68" s="283">
        <v>211500</v>
      </c>
      <c r="H68" s="568"/>
      <c r="I68" s="442">
        <v>211500</v>
      </c>
      <c r="J68" s="269">
        <v>42550</v>
      </c>
      <c r="K68" s="284"/>
      <c r="L68" s="284"/>
      <c r="M68" s="284"/>
    </row>
    <row r="69" spans="1:13" s="270" customFormat="1" ht="38.25" x14ac:dyDescent="0.2">
      <c r="A69" s="268" t="s">
        <v>7</v>
      </c>
      <c r="B69" s="279">
        <v>2012</v>
      </c>
      <c r="C69" s="281" t="s">
        <v>54</v>
      </c>
      <c r="D69" s="259" t="s">
        <v>459</v>
      </c>
      <c r="E69" s="282">
        <v>350000</v>
      </c>
      <c r="F69" s="260" t="s">
        <v>666</v>
      </c>
      <c r="G69" s="283">
        <v>262500</v>
      </c>
      <c r="H69" s="568"/>
      <c r="I69" s="442">
        <v>262500</v>
      </c>
      <c r="J69" s="269">
        <v>41988</v>
      </c>
    </row>
    <row r="70" spans="1:13" s="270" customFormat="1" ht="38.25" x14ac:dyDescent="0.2">
      <c r="A70" s="268" t="s">
        <v>7</v>
      </c>
      <c r="B70" s="279">
        <v>2012</v>
      </c>
      <c r="C70" s="281" t="s">
        <v>55</v>
      </c>
      <c r="D70" s="259" t="s">
        <v>688</v>
      </c>
      <c r="E70" s="282">
        <v>2400000</v>
      </c>
      <c r="F70" s="260" t="s">
        <v>56</v>
      </c>
      <c r="G70" s="283">
        <v>181464</v>
      </c>
      <c r="H70" s="568"/>
      <c r="I70" s="442">
        <v>181464</v>
      </c>
      <c r="J70" s="261">
        <v>42551</v>
      </c>
    </row>
    <row r="71" spans="1:13" s="270" customFormat="1" ht="38.25" x14ac:dyDescent="0.2">
      <c r="A71" s="268" t="s">
        <v>7</v>
      </c>
      <c r="B71" s="279">
        <v>2012</v>
      </c>
      <c r="C71" s="281" t="s">
        <v>57</v>
      </c>
      <c r="D71" s="259" t="s">
        <v>460</v>
      </c>
      <c r="E71" s="282">
        <v>880576</v>
      </c>
      <c r="F71" s="260" t="s">
        <v>689</v>
      </c>
      <c r="G71" s="283">
        <v>220000</v>
      </c>
      <c r="H71" s="568"/>
      <c r="I71" s="442">
        <v>13050.94</v>
      </c>
      <c r="J71" s="529">
        <v>43646</v>
      </c>
    </row>
    <row r="72" spans="1:13" s="270" customFormat="1" ht="38.25" x14ac:dyDescent="0.2">
      <c r="A72" s="268" t="s">
        <v>7</v>
      </c>
      <c r="B72" s="279">
        <v>2012</v>
      </c>
      <c r="C72" s="281" t="s">
        <v>58</v>
      </c>
      <c r="D72" s="259" t="s">
        <v>521</v>
      </c>
      <c r="E72" s="282">
        <v>160000</v>
      </c>
      <c r="F72" s="260" t="s">
        <v>59</v>
      </c>
      <c r="G72" s="283">
        <v>120000</v>
      </c>
      <c r="H72" s="568"/>
      <c r="I72" s="442">
        <v>120000</v>
      </c>
      <c r="J72" s="269">
        <v>42067</v>
      </c>
    </row>
    <row r="73" spans="1:13" s="270" customFormat="1" x14ac:dyDescent="0.2">
      <c r="A73" s="272"/>
      <c r="B73" s="272"/>
      <c r="C73" s="272"/>
      <c r="D73" s="272"/>
      <c r="E73" s="285" t="e">
        <f>SUM(#REF!)</f>
        <v>#REF!</v>
      </c>
      <c r="F73" s="272"/>
      <c r="G73" s="273">
        <f>SUM(G61:G72)</f>
        <v>2970000</v>
      </c>
      <c r="H73" s="280"/>
      <c r="I73" s="272"/>
      <c r="J73" s="272"/>
    </row>
    <row r="74" spans="1:13" s="270" customFormat="1" ht="38.25" x14ac:dyDescent="0.2">
      <c r="A74" s="268" t="s">
        <v>7</v>
      </c>
      <c r="B74" s="279">
        <v>2010</v>
      </c>
      <c r="C74" s="571" t="s">
        <v>945</v>
      </c>
      <c r="D74" s="572" t="s">
        <v>690</v>
      </c>
      <c r="E74" s="573">
        <v>7245382</v>
      </c>
      <c r="F74" s="571" t="s">
        <v>39</v>
      </c>
      <c r="G74" s="574">
        <v>750000</v>
      </c>
      <c r="H74" s="575" t="s">
        <v>790</v>
      </c>
      <c r="I74" s="573">
        <v>750000</v>
      </c>
      <c r="J74" s="576">
        <v>42551</v>
      </c>
      <c r="K74" s="270" t="s">
        <v>486</v>
      </c>
    </row>
    <row r="75" spans="1:13" s="270" customFormat="1" ht="38.25" x14ac:dyDescent="0.2">
      <c r="A75" s="268" t="s">
        <v>7</v>
      </c>
      <c r="B75" s="279">
        <v>2010</v>
      </c>
      <c r="C75" s="260" t="s">
        <v>38</v>
      </c>
      <c r="D75" s="259" t="s">
        <v>385</v>
      </c>
      <c r="E75" s="442">
        <v>2658938</v>
      </c>
      <c r="F75" s="260" t="s">
        <v>691</v>
      </c>
      <c r="G75" s="443">
        <v>250000</v>
      </c>
      <c r="H75" s="568"/>
      <c r="I75" s="442">
        <v>250000</v>
      </c>
      <c r="J75" s="269">
        <v>41182</v>
      </c>
    </row>
    <row r="76" spans="1:13" s="270" customFormat="1" ht="38.25" x14ac:dyDescent="0.2">
      <c r="A76" s="268" t="s">
        <v>7</v>
      </c>
      <c r="B76" s="279">
        <v>2010</v>
      </c>
      <c r="C76" s="260" t="s">
        <v>806</v>
      </c>
      <c r="D76" s="259" t="s">
        <v>83</v>
      </c>
      <c r="E76" s="442">
        <f>1426504.65+511493.03</f>
        <v>1937997.68</v>
      </c>
      <c r="F76" s="260" t="s">
        <v>692</v>
      </c>
      <c r="G76" s="443">
        <v>73474</v>
      </c>
      <c r="H76" s="569" t="s">
        <v>807</v>
      </c>
      <c r="I76" s="442">
        <v>73474</v>
      </c>
      <c r="J76" s="269">
        <v>42016</v>
      </c>
    </row>
    <row r="77" spans="1:13" s="270" customFormat="1" ht="38.25" x14ac:dyDescent="0.2">
      <c r="A77" s="268" t="s">
        <v>7</v>
      </c>
      <c r="B77" s="279">
        <v>2010</v>
      </c>
      <c r="C77" s="260" t="s">
        <v>37</v>
      </c>
      <c r="D77" s="259" t="s">
        <v>93</v>
      </c>
      <c r="E77" s="442">
        <v>350000</v>
      </c>
      <c r="F77" s="260" t="s">
        <v>666</v>
      </c>
      <c r="G77" s="443">
        <v>262500</v>
      </c>
      <c r="H77" s="568"/>
      <c r="I77" s="442">
        <v>262500</v>
      </c>
      <c r="J77" s="269">
        <v>41246</v>
      </c>
    </row>
    <row r="78" spans="1:13" s="270" customFormat="1" ht="38.25" x14ac:dyDescent="0.2">
      <c r="A78" s="268" t="s">
        <v>7</v>
      </c>
      <c r="B78" s="279">
        <v>2010</v>
      </c>
      <c r="C78" s="260" t="s">
        <v>808</v>
      </c>
      <c r="D78" s="259" t="s">
        <v>83</v>
      </c>
      <c r="E78" s="442">
        <v>375000</v>
      </c>
      <c r="F78" s="260" t="s">
        <v>36</v>
      </c>
      <c r="G78" s="443">
        <v>281000</v>
      </c>
      <c r="H78" s="569" t="s">
        <v>809</v>
      </c>
      <c r="I78" s="442">
        <v>180059.72</v>
      </c>
      <c r="J78" s="269">
        <v>41127</v>
      </c>
    </row>
    <row r="79" spans="1:13" s="270" customFormat="1" ht="38.25" x14ac:dyDescent="0.2">
      <c r="A79" s="268" t="s">
        <v>7</v>
      </c>
      <c r="B79" s="279">
        <v>2010</v>
      </c>
      <c r="C79" s="260" t="s">
        <v>810</v>
      </c>
      <c r="D79" s="259" t="s">
        <v>386</v>
      </c>
      <c r="E79" s="442">
        <v>1600000</v>
      </c>
      <c r="F79" s="260" t="s">
        <v>35</v>
      </c>
      <c r="G79" s="443">
        <v>128000</v>
      </c>
      <c r="H79" s="569" t="s">
        <v>807</v>
      </c>
      <c r="I79" s="442">
        <v>128000</v>
      </c>
      <c r="J79" s="269">
        <v>41493</v>
      </c>
    </row>
    <row r="80" spans="1:13" s="270" customFormat="1" ht="38.25" x14ac:dyDescent="0.2">
      <c r="A80" s="268" t="s">
        <v>7</v>
      </c>
      <c r="B80" s="279">
        <v>2010</v>
      </c>
      <c r="C80" s="260" t="s">
        <v>811</v>
      </c>
      <c r="D80" s="259" t="s">
        <v>388</v>
      </c>
      <c r="E80" s="442">
        <v>666667</v>
      </c>
      <c r="F80" s="260" t="s">
        <v>34</v>
      </c>
      <c r="G80" s="443">
        <v>500000</v>
      </c>
      <c r="H80" s="569" t="s">
        <v>812</v>
      </c>
      <c r="I80" s="442">
        <v>500000</v>
      </c>
      <c r="J80" s="269">
        <v>41148</v>
      </c>
    </row>
    <row r="81" spans="1:10" s="270" customFormat="1" ht="38.25" x14ac:dyDescent="0.2">
      <c r="A81" s="268" t="s">
        <v>7</v>
      </c>
      <c r="B81" s="279">
        <v>2010</v>
      </c>
      <c r="C81" s="260" t="s">
        <v>813</v>
      </c>
      <c r="D81" s="259" t="s">
        <v>387</v>
      </c>
      <c r="E81" s="442">
        <v>1000000</v>
      </c>
      <c r="F81" s="260" t="s">
        <v>33</v>
      </c>
      <c r="G81" s="443">
        <v>750000</v>
      </c>
      <c r="H81" s="569" t="s">
        <v>812</v>
      </c>
      <c r="I81" s="442">
        <v>750000</v>
      </c>
      <c r="J81" s="269">
        <v>41379</v>
      </c>
    </row>
    <row r="82" spans="1:10" s="270" customFormat="1" ht="204" x14ac:dyDescent="0.2">
      <c r="A82" s="268" t="s">
        <v>7</v>
      </c>
      <c r="B82" s="279">
        <v>2010</v>
      </c>
      <c r="C82" s="260" t="s">
        <v>814</v>
      </c>
      <c r="D82" s="259" t="s">
        <v>86</v>
      </c>
      <c r="E82" s="442">
        <v>6655696</v>
      </c>
      <c r="F82" s="260" t="s">
        <v>92</v>
      </c>
      <c r="G82" s="443">
        <v>484995</v>
      </c>
      <c r="H82" s="569" t="s">
        <v>807</v>
      </c>
      <c r="I82" s="442">
        <v>460745.25</v>
      </c>
      <c r="J82" s="269">
        <v>41144</v>
      </c>
    </row>
    <row r="83" spans="1:10" s="270" customFormat="1" ht="38.25" x14ac:dyDescent="0.2">
      <c r="A83" s="268" t="s">
        <v>7</v>
      </c>
      <c r="B83" s="279">
        <v>2010</v>
      </c>
      <c r="C83" s="260" t="s">
        <v>32</v>
      </c>
      <c r="D83" s="259" t="s">
        <v>60</v>
      </c>
      <c r="E83" s="442">
        <v>1203795</v>
      </c>
      <c r="F83" s="260" t="s">
        <v>693</v>
      </c>
      <c r="G83" s="443">
        <v>525000</v>
      </c>
      <c r="H83" s="568"/>
      <c r="I83" s="442">
        <v>525000</v>
      </c>
      <c r="J83" s="269">
        <v>40378</v>
      </c>
    </row>
    <row r="84" spans="1:10" s="270" customFormat="1" ht="38.25" x14ac:dyDescent="0.2">
      <c r="A84" s="268" t="s">
        <v>7</v>
      </c>
      <c r="B84" s="279">
        <v>2010</v>
      </c>
      <c r="C84" s="260" t="s">
        <v>815</v>
      </c>
      <c r="D84" s="259" t="s">
        <v>79</v>
      </c>
      <c r="E84" s="442">
        <v>143028</v>
      </c>
      <c r="F84" s="260" t="s">
        <v>31</v>
      </c>
      <c r="G84" s="443">
        <v>107271</v>
      </c>
      <c r="H84" s="569" t="s">
        <v>816</v>
      </c>
      <c r="I84" s="442">
        <v>107271</v>
      </c>
      <c r="J84" s="269">
        <v>41058</v>
      </c>
    </row>
    <row r="85" spans="1:10" s="270" customFormat="1" ht="38.25" x14ac:dyDescent="0.2">
      <c r="A85" s="268" t="s">
        <v>7</v>
      </c>
      <c r="B85" s="279">
        <v>2010</v>
      </c>
      <c r="C85" s="260" t="s">
        <v>30</v>
      </c>
      <c r="D85" s="259" t="s">
        <v>80</v>
      </c>
      <c r="E85" s="442">
        <v>782722</v>
      </c>
      <c r="F85" s="260" t="s">
        <v>694</v>
      </c>
      <c r="G85" s="443">
        <v>300000</v>
      </c>
      <c r="H85" s="568"/>
      <c r="I85" s="442">
        <v>300000</v>
      </c>
      <c r="J85" s="269">
        <v>40973</v>
      </c>
    </row>
    <row r="86" spans="1:10" s="270" customFormat="1" ht="38.25" x14ac:dyDescent="0.2">
      <c r="A86" s="268" t="s">
        <v>7</v>
      </c>
      <c r="B86" s="279">
        <v>2010</v>
      </c>
      <c r="C86" s="260" t="s">
        <v>461</v>
      </c>
      <c r="D86" s="259" t="s">
        <v>81</v>
      </c>
      <c r="E86" s="442">
        <v>105000</v>
      </c>
      <c r="F86" s="260" t="s">
        <v>695</v>
      </c>
      <c r="G86" s="443">
        <v>75000</v>
      </c>
      <c r="H86" s="568"/>
      <c r="I86" s="442">
        <v>75000</v>
      </c>
      <c r="J86" s="269">
        <v>41092</v>
      </c>
    </row>
    <row r="87" spans="1:10" s="270" customFormat="1" x14ac:dyDescent="0.2">
      <c r="A87" s="272"/>
      <c r="B87" s="272"/>
      <c r="C87" s="272"/>
      <c r="D87" s="272"/>
      <c r="E87" s="285">
        <f>SUM(E74:E86)</f>
        <v>24724225.68</v>
      </c>
      <c r="F87" s="272"/>
      <c r="G87" s="273">
        <f>SUM(G74:G86)</f>
        <v>4487240</v>
      </c>
      <c r="H87" s="280"/>
      <c r="I87" s="272"/>
      <c r="J87" s="272"/>
    </row>
    <row r="88" spans="1:10" s="270" customFormat="1" ht="38.25" x14ac:dyDescent="0.2">
      <c r="A88" s="268" t="s">
        <v>7</v>
      </c>
      <c r="B88" s="279">
        <v>2009</v>
      </c>
      <c r="C88" s="260" t="s">
        <v>817</v>
      </c>
      <c r="D88" s="259" t="s">
        <v>63</v>
      </c>
      <c r="E88" s="286">
        <v>133333</v>
      </c>
      <c r="F88" s="260" t="s">
        <v>29</v>
      </c>
      <c r="G88" s="443">
        <v>100000</v>
      </c>
      <c r="H88" s="569" t="s">
        <v>812</v>
      </c>
      <c r="I88" s="442">
        <v>100000</v>
      </c>
      <c r="J88" s="269">
        <v>43281</v>
      </c>
    </row>
    <row r="89" spans="1:10" s="270" customFormat="1" ht="38.25" x14ac:dyDescent="0.2">
      <c r="A89" s="268" t="s">
        <v>7</v>
      </c>
      <c r="B89" s="279">
        <v>2009</v>
      </c>
      <c r="C89" s="260" t="s">
        <v>818</v>
      </c>
      <c r="D89" s="259" t="s">
        <v>61</v>
      </c>
      <c r="E89" s="286">
        <v>40000</v>
      </c>
      <c r="F89" s="260" t="s">
        <v>6</v>
      </c>
      <c r="G89" s="443">
        <v>30000</v>
      </c>
      <c r="H89" s="569" t="s">
        <v>812</v>
      </c>
      <c r="I89" s="442">
        <v>30000</v>
      </c>
      <c r="J89" s="287">
        <v>40441</v>
      </c>
    </row>
    <row r="90" spans="1:10" s="270" customFormat="1" ht="38.25" x14ac:dyDescent="0.2">
      <c r="A90" s="268" t="s">
        <v>7</v>
      </c>
      <c r="B90" s="279">
        <v>2009</v>
      </c>
      <c r="C90" s="260" t="s">
        <v>819</v>
      </c>
      <c r="D90" s="259" t="s">
        <v>84</v>
      </c>
      <c r="E90" s="286">
        <v>653550</v>
      </c>
      <c r="F90" s="260" t="s">
        <v>696</v>
      </c>
      <c r="G90" s="443">
        <v>490162</v>
      </c>
      <c r="H90" s="569" t="s">
        <v>803</v>
      </c>
      <c r="I90" s="442">
        <v>408425.41</v>
      </c>
      <c r="J90" s="287">
        <v>41191</v>
      </c>
    </row>
    <row r="91" spans="1:10" s="270" customFormat="1" ht="38.25" x14ac:dyDescent="0.2">
      <c r="A91" s="268" t="s">
        <v>7</v>
      </c>
      <c r="B91" s="279">
        <v>2009</v>
      </c>
      <c r="C91" s="260" t="s">
        <v>28</v>
      </c>
      <c r="D91" s="259" t="s">
        <v>388</v>
      </c>
      <c r="E91" s="286">
        <v>1476000</v>
      </c>
      <c r="F91" s="260" t="s">
        <v>6</v>
      </c>
      <c r="G91" s="443">
        <v>800000</v>
      </c>
      <c r="H91" s="568"/>
      <c r="I91" s="442">
        <v>800000</v>
      </c>
      <c r="J91" s="287">
        <v>41157</v>
      </c>
    </row>
    <row r="92" spans="1:10" s="270" customFormat="1" ht="38.25" x14ac:dyDescent="0.2">
      <c r="A92" s="268" t="s">
        <v>7</v>
      </c>
      <c r="B92" s="279">
        <v>2009</v>
      </c>
      <c r="C92" s="260" t="s">
        <v>820</v>
      </c>
      <c r="D92" s="259" t="s">
        <v>62</v>
      </c>
      <c r="E92" s="286">
        <v>133334</v>
      </c>
      <c r="F92" s="260" t="s">
        <v>6</v>
      </c>
      <c r="G92" s="443">
        <v>100000</v>
      </c>
      <c r="H92" s="569" t="s">
        <v>812</v>
      </c>
      <c r="I92" s="442">
        <v>100000</v>
      </c>
      <c r="J92" s="287">
        <v>40763</v>
      </c>
    </row>
    <row r="93" spans="1:10" s="270" customFormat="1" ht="38.25" x14ac:dyDescent="0.2">
      <c r="A93" s="268" t="s">
        <v>7</v>
      </c>
      <c r="B93" s="279">
        <v>2009</v>
      </c>
      <c r="C93" s="260" t="s">
        <v>27</v>
      </c>
      <c r="D93" s="259" t="s">
        <v>63</v>
      </c>
      <c r="E93" s="286">
        <v>469000</v>
      </c>
      <c r="F93" s="260" t="s">
        <v>697</v>
      </c>
      <c r="G93" s="443">
        <v>351750</v>
      </c>
      <c r="H93" s="568"/>
      <c r="I93" s="442">
        <v>351750</v>
      </c>
      <c r="J93" s="287">
        <v>40294</v>
      </c>
    </row>
    <row r="94" spans="1:10" s="270" customFormat="1" ht="38.25" x14ac:dyDescent="0.2">
      <c r="A94" s="268" t="s">
        <v>7</v>
      </c>
      <c r="B94" s="279">
        <v>2009</v>
      </c>
      <c r="C94" s="260" t="s">
        <v>821</v>
      </c>
      <c r="D94" s="259" t="s">
        <v>389</v>
      </c>
      <c r="E94" s="286">
        <v>1000000</v>
      </c>
      <c r="F94" s="260" t="s">
        <v>698</v>
      </c>
      <c r="G94" s="443">
        <v>750000</v>
      </c>
      <c r="H94" s="569" t="s">
        <v>812</v>
      </c>
      <c r="I94" s="442">
        <v>750000</v>
      </c>
      <c r="J94" s="287">
        <v>41379</v>
      </c>
    </row>
    <row r="95" spans="1:10" s="270" customFormat="1" ht="38.25" x14ac:dyDescent="0.2">
      <c r="A95" s="268" t="s">
        <v>7</v>
      </c>
      <c r="B95" s="279">
        <v>2009</v>
      </c>
      <c r="C95" s="260" t="s">
        <v>822</v>
      </c>
      <c r="D95" s="259" t="s">
        <v>90</v>
      </c>
      <c r="E95" s="286">
        <v>71000</v>
      </c>
      <c r="F95" s="260" t="s">
        <v>10</v>
      </c>
      <c r="G95" s="443">
        <v>40000</v>
      </c>
      <c r="H95" s="569" t="s">
        <v>803</v>
      </c>
      <c r="I95" s="442" t="s">
        <v>46</v>
      </c>
      <c r="J95" s="287" t="s">
        <v>17</v>
      </c>
    </row>
    <row r="96" spans="1:10" s="270" customFormat="1" ht="38.25" x14ac:dyDescent="0.2">
      <c r="A96" s="268" t="s">
        <v>7</v>
      </c>
      <c r="B96" s="279">
        <v>2009</v>
      </c>
      <c r="C96" s="260" t="s">
        <v>823</v>
      </c>
      <c r="D96" s="259" t="s">
        <v>26</v>
      </c>
      <c r="E96" s="286">
        <v>133333</v>
      </c>
      <c r="F96" s="260" t="s">
        <v>6</v>
      </c>
      <c r="G96" s="443">
        <v>100000</v>
      </c>
      <c r="H96" s="569" t="s">
        <v>812</v>
      </c>
      <c r="I96" s="442">
        <v>0</v>
      </c>
      <c r="J96" s="269">
        <v>43646</v>
      </c>
    </row>
    <row r="97" spans="1:10" s="270" customFormat="1" ht="38.25" x14ac:dyDescent="0.2">
      <c r="A97" s="268" t="s">
        <v>7</v>
      </c>
      <c r="B97" s="279">
        <v>2009</v>
      </c>
      <c r="C97" s="260" t="s">
        <v>824</v>
      </c>
      <c r="D97" s="259" t="s">
        <v>946</v>
      </c>
      <c r="E97" s="286">
        <v>133333</v>
      </c>
      <c r="F97" s="260" t="s">
        <v>699</v>
      </c>
      <c r="G97" s="443">
        <v>100000</v>
      </c>
      <c r="H97" s="569" t="s">
        <v>812</v>
      </c>
      <c r="I97" s="442">
        <v>100000</v>
      </c>
      <c r="J97" s="269">
        <v>43281</v>
      </c>
    </row>
    <row r="98" spans="1:10" s="270" customFormat="1" ht="38.25" x14ac:dyDescent="0.2">
      <c r="A98" s="268" t="s">
        <v>7</v>
      </c>
      <c r="B98" s="279">
        <v>2009</v>
      </c>
      <c r="C98" s="260" t="s">
        <v>24</v>
      </c>
      <c r="D98" s="259" t="s">
        <v>64</v>
      </c>
      <c r="E98" s="286">
        <v>443750</v>
      </c>
      <c r="F98" s="260" t="s">
        <v>700</v>
      </c>
      <c r="G98" s="443">
        <v>138088</v>
      </c>
      <c r="H98" s="568"/>
      <c r="I98" s="442">
        <v>138088</v>
      </c>
      <c r="J98" s="287">
        <v>40469</v>
      </c>
    </row>
    <row r="99" spans="1:10" s="270" customFormat="1" x14ac:dyDescent="0.2">
      <c r="A99" s="288"/>
      <c r="B99" s="289"/>
      <c r="C99" s="289"/>
      <c r="D99" s="290"/>
      <c r="E99" s="291">
        <f>SUM(E88:E98)</f>
        <v>4686633</v>
      </c>
      <c r="F99" s="289"/>
      <c r="G99" s="292">
        <f>SUM(G88:G98)</f>
        <v>3000000</v>
      </c>
      <c r="H99" s="293"/>
      <c r="I99" s="294"/>
      <c r="J99" s="295"/>
    </row>
    <row r="100" spans="1:10" s="270" customFormat="1" ht="38.25" x14ac:dyDescent="0.2">
      <c r="A100" s="268" t="s">
        <v>7</v>
      </c>
      <c r="B100" s="279">
        <v>2008</v>
      </c>
      <c r="C100" s="260" t="s">
        <v>23</v>
      </c>
      <c r="D100" s="259" t="s">
        <v>390</v>
      </c>
      <c r="E100" s="286">
        <v>3415960</v>
      </c>
      <c r="F100" s="260" t="s">
        <v>701</v>
      </c>
      <c r="G100" s="443">
        <v>565960</v>
      </c>
      <c r="H100" s="568"/>
      <c r="I100" s="442">
        <v>565960</v>
      </c>
      <c r="J100" s="287">
        <v>41121</v>
      </c>
    </row>
    <row r="101" spans="1:10" s="270" customFormat="1" ht="38.25" x14ac:dyDescent="0.2">
      <c r="A101" s="268" t="s">
        <v>7</v>
      </c>
      <c r="B101" s="279">
        <v>2008</v>
      </c>
      <c r="C101" s="260" t="s">
        <v>825</v>
      </c>
      <c r="D101" s="259" t="s">
        <v>61</v>
      </c>
      <c r="E101" s="286">
        <v>40000</v>
      </c>
      <c r="F101" s="260" t="s">
        <v>22</v>
      </c>
      <c r="G101" s="443">
        <v>30000</v>
      </c>
      <c r="H101" s="569" t="s">
        <v>812</v>
      </c>
      <c r="I101" s="442">
        <v>30000</v>
      </c>
      <c r="J101" s="287">
        <v>40441</v>
      </c>
    </row>
    <row r="102" spans="1:10" s="270" customFormat="1" ht="38.25" x14ac:dyDescent="0.2">
      <c r="A102" s="268" t="s">
        <v>7</v>
      </c>
      <c r="B102" s="279">
        <v>2008</v>
      </c>
      <c r="C102" s="260" t="s">
        <v>826</v>
      </c>
      <c r="D102" s="259" t="s">
        <v>82</v>
      </c>
      <c r="E102" s="286">
        <v>266667</v>
      </c>
      <c r="F102" s="260" t="s">
        <v>6</v>
      </c>
      <c r="G102" s="443">
        <v>200000</v>
      </c>
      <c r="H102" s="569" t="s">
        <v>812</v>
      </c>
      <c r="I102" s="442">
        <v>200000</v>
      </c>
      <c r="J102" s="287">
        <v>41058</v>
      </c>
    </row>
    <row r="103" spans="1:10" s="270" customFormat="1" ht="38.25" x14ac:dyDescent="0.2">
      <c r="A103" s="268" t="s">
        <v>7</v>
      </c>
      <c r="B103" s="279">
        <v>2008</v>
      </c>
      <c r="C103" s="260" t="s">
        <v>21</v>
      </c>
      <c r="D103" s="259" t="s">
        <v>462</v>
      </c>
      <c r="E103" s="286">
        <v>1937254</v>
      </c>
      <c r="F103" s="260" t="s">
        <v>6</v>
      </c>
      <c r="G103" s="443">
        <v>100000</v>
      </c>
      <c r="H103" s="568"/>
      <c r="I103" s="442">
        <v>100000</v>
      </c>
      <c r="J103" s="287">
        <v>41638</v>
      </c>
    </row>
    <row r="104" spans="1:10" s="270" customFormat="1" ht="38.25" x14ac:dyDescent="0.2">
      <c r="A104" s="268" t="s">
        <v>7</v>
      </c>
      <c r="B104" s="279">
        <v>2008</v>
      </c>
      <c r="C104" s="260" t="s">
        <v>827</v>
      </c>
      <c r="D104" s="259" t="s">
        <v>947</v>
      </c>
      <c r="E104" s="286">
        <v>246667</v>
      </c>
      <c r="F104" s="260" t="s">
        <v>6</v>
      </c>
      <c r="G104" s="443">
        <v>185000</v>
      </c>
      <c r="H104" s="569" t="s">
        <v>812</v>
      </c>
      <c r="I104" s="442">
        <v>182908</v>
      </c>
      <c r="J104" s="269">
        <v>43281</v>
      </c>
    </row>
    <row r="105" spans="1:10" s="270" customFormat="1" ht="25.5" x14ac:dyDescent="0.2">
      <c r="A105" s="268" t="s">
        <v>7</v>
      </c>
      <c r="B105" s="279">
        <v>2008</v>
      </c>
      <c r="C105" s="260" t="s">
        <v>20</v>
      </c>
      <c r="D105" s="259" t="s">
        <v>702</v>
      </c>
      <c r="E105" s="286">
        <v>66667</v>
      </c>
      <c r="F105" s="260" t="s">
        <v>6</v>
      </c>
      <c r="G105" s="443">
        <v>50000</v>
      </c>
      <c r="H105" s="568"/>
      <c r="I105" s="442">
        <v>50000</v>
      </c>
      <c r="J105" s="287">
        <v>40735</v>
      </c>
    </row>
    <row r="106" spans="1:10" s="270" customFormat="1" ht="38.25" x14ac:dyDescent="0.2">
      <c r="A106" s="268" t="s">
        <v>7</v>
      </c>
      <c r="B106" s="279">
        <v>2008</v>
      </c>
      <c r="C106" s="260" t="s">
        <v>19</v>
      </c>
      <c r="D106" s="259" t="s">
        <v>65</v>
      </c>
      <c r="E106" s="286">
        <v>549605</v>
      </c>
      <c r="F106" s="260" t="s">
        <v>6</v>
      </c>
      <c r="G106" s="443">
        <v>69300</v>
      </c>
      <c r="H106" s="568"/>
      <c r="I106" s="442">
        <v>69300</v>
      </c>
      <c r="J106" s="287">
        <v>40763</v>
      </c>
    </row>
    <row r="107" spans="1:10" s="270" customFormat="1" ht="51" x14ac:dyDescent="0.2">
      <c r="A107" s="268" t="s">
        <v>7</v>
      </c>
      <c r="B107" s="279">
        <v>2008</v>
      </c>
      <c r="C107" s="260" t="s">
        <v>828</v>
      </c>
      <c r="D107" s="259" t="s">
        <v>18</v>
      </c>
      <c r="E107" s="286">
        <v>1227779</v>
      </c>
      <c r="F107" s="260" t="s">
        <v>6</v>
      </c>
      <c r="G107" s="443">
        <v>799740</v>
      </c>
      <c r="H107" s="569" t="s">
        <v>807</v>
      </c>
      <c r="I107" s="442" t="s">
        <v>46</v>
      </c>
      <c r="J107" s="287" t="s">
        <v>17</v>
      </c>
    </row>
    <row r="108" spans="1:10" s="270" customFormat="1" x14ac:dyDescent="0.2">
      <c r="A108" s="288"/>
      <c r="B108" s="289"/>
      <c r="C108" s="289"/>
      <c r="D108" s="290"/>
      <c r="E108" s="291">
        <f>SUM(E100:E107)</f>
        <v>7750599</v>
      </c>
      <c r="F108" s="289"/>
      <c r="G108" s="292">
        <f>SUM(G100:G107)</f>
        <v>2000000</v>
      </c>
      <c r="H108" s="293"/>
      <c r="I108" s="447">
        <v>0</v>
      </c>
      <c r="J108" s="295"/>
    </row>
    <row r="109" spans="1:10" s="270" customFormat="1" ht="38.25" x14ac:dyDescent="0.2">
      <c r="A109" s="268" t="s">
        <v>9</v>
      </c>
      <c r="B109" s="279">
        <v>2007</v>
      </c>
      <c r="C109" s="260" t="s">
        <v>16</v>
      </c>
      <c r="D109" s="259" t="s">
        <v>391</v>
      </c>
      <c r="E109" s="286">
        <v>1334331</v>
      </c>
      <c r="F109" s="260" t="s">
        <v>703</v>
      </c>
      <c r="G109" s="443">
        <v>690000</v>
      </c>
      <c r="H109" s="568"/>
      <c r="I109" s="442">
        <v>690000</v>
      </c>
      <c r="J109" s="287">
        <v>41059</v>
      </c>
    </row>
    <row r="110" spans="1:10" s="270" customFormat="1" ht="38.25" x14ac:dyDescent="0.2">
      <c r="A110" s="268" t="s">
        <v>9</v>
      </c>
      <c r="B110" s="279">
        <v>2007</v>
      </c>
      <c r="C110" s="260" t="s">
        <v>15</v>
      </c>
      <c r="D110" s="259" t="s">
        <v>66</v>
      </c>
      <c r="E110" s="286">
        <v>336250</v>
      </c>
      <c r="F110" s="260" t="s">
        <v>14</v>
      </c>
      <c r="G110" s="443">
        <v>252187</v>
      </c>
      <c r="H110" s="568"/>
      <c r="I110" s="442">
        <v>252187</v>
      </c>
      <c r="J110" s="287">
        <v>40637</v>
      </c>
    </row>
    <row r="111" spans="1:10" s="270" customFormat="1" ht="38.25" x14ac:dyDescent="0.2">
      <c r="A111" s="268" t="s">
        <v>9</v>
      </c>
      <c r="B111" s="279">
        <v>2007</v>
      </c>
      <c r="C111" s="260" t="s">
        <v>13</v>
      </c>
      <c r="D111" s="259" t="s">
        <v>463</v>
      </c>
      <c r="E111" s="286">
        <v>536540</v>
      </c>
      <c r="F111" s="260" t="s">
        <v>704</v>
      </c>
      <c r="G111" s="443">
        <v>402405</v>
      </c>
      <c r="H111" s="568"/>
      <c r="I111" s="442">
        <v>402405</v>
      </c>
      <c r="J111" s="287">
        <v>41900</v>
      </c>
    </row>
    <row r="112" spans="1:10" s="262" customFormat="1" ht="38.25" x14ac:dyDescent="0.2">
      <c r="A112" s="268" t="s">
        <v>9</v>
      </c>
      <c r="B112" s="279">
        <v>2007</v>
      </c>
      <c r="C112" s="260" t="s">
        <v>948</v>
      </c>
      <c r="D112" s="259" t="s">
        <v>949</v>
      </c>
      <c r="E112" s="286">
        <v>200000</v>
      </c>
      <c r="F112" s="260" t="s">
        <v>705</v>
      </c>
      <c r="G112" s="443">
        <v>150000</v>
      </c>
      <c r="H112" s="569" t="s">
        <v>936</v>
      </c>
      <c r="I112" s="442">
        <v>129112.3</v>
      </c>
      <c r="J112" s="269">
        <v>43281</v>
      </c>
    </row>
    <row r="113" spans="1:11" s="270" customFormat="1" ht="38.25" x14ac:dyDescent="0.2">
      <c r="A113" s="268" t="s">
        <v>9</v>
      </c>
      <c r="B113" s="279">
        <v>2007</v>
      </c>
      <c r="C113" s="260" t="s">
        <v>11</v>
      </c>
      <c r="D113" s="259" t="s">
        <v>67</v>
      </c>
      <c r="E113" s="286">
        <v>142500</v>
      </c>
      <c r="F113" s="260" t="s">
        <v>706</v>
      </c>
      <c r="G113" s="443">
        <v>106875</v>
      </c>
      <c r="H113" s="568"/>
      <c r="I113" s="442">
        <v>106875</v>
      </c>
      <c r="J113" s="287">
        <v>40252</v>
      </c>
    </row>
    <row r="114" spans="1:11" s="270" customFormat="1" ht="38.25" x14ac:dyDescent="0.2">
      <c r="A114" s="268" t="s">
        <v>9</v>
      </c>
      <c r="B114" s="279">
        <v>2007</v>
      </c>
      <c r="C114" s="260" t="s">
        <v>829</v>
      </c>
      <c r="D114" s="259" t="s">
        <v>830</v>
      </c>
      <c r="E114" s="286">
        <v>480000</v>
      </c>
      <c r="F114" s="260" t="s">
        <v>707</v>
      </c>
      <c r="G114" s="443">
        <v>360000</v>
      </c>
      <c r="H114" s="569" t="s">
        <v>790</v>
      </c>
      <c r="I114" s="442">
        <v>357491.87</v>
      </c>
      <c r="J114" s="269">
        <v>42773</v>
      </c>
    </row>
    <row r="115" spans="1:11" s="262" customFormat="1" ht="38.25" x14ac:dyDescent="0.2">
      <c r="A115" s="268" t="s">
        <v>9</v>
      </c>
      <c r="B115" s="279">
        <v>2007</v>
      </c>
      <c r="C115" s="260" t="s">
        <v>831</v>
      </c>
      <c r="D115" s="259" t="s">
        <v>708</v>
      </c>
      <c r="E115" s="286">
        <v>52420</v>
      </c>
      <c r="F115" s="260" t="s">
        <v>10</v>
      </c>
      <c r="G115" s="443">
        <v>39315</v>
      </c>
      <c r="H115" s="569" t="s">
        <v>805</v>
      </c>
      <c r="I115" s="442">
        <v>39315</v>
      </c>
      <c r="J115" s="269">
        <v>42551</v>
      </c>
      <c r="K115" s="448" t="s">
        <v>486</v>
      </c>
    </row>
    <row r="116" spans="1:11" s="270" customFormat="1" ht="51" x14ac:dyDescent="0.2">
      <c r="A116" s="268" t="s">
        <v>9</v>
      </c>
      <c r="B116" s="279">
        <v>2007</v>
      </c>
      <c r="C116" s="260" t="s">
        <v>832</v>
      </c>
      <c r="D116" s="259" t="s">
        <v>85</v>
      </c>
      <c r="E116" s="286">
        <v>266667</v>
      </c>
      <c r="F116" s="260" t="s">
        <v>6</v>
      </c>
      <c r="G116" s="443">
        <v>200000</v>
      </c>
      <c r="H116" s="569" t="s">
        <v>812</v>
      </c>
      <c r="I116" s="442">
        <v>196072.35</v>
      </c>
      <c r="J116" s="287">
        <v>40259</v>
      </c>
    </row>
    <row r="117" spans="1:11" s="262" customFormat="1" x14ac:dyDescent="0.2">
      <c r="A117" s="288"/>
      <c r="B117" s="289"/>
      <c r="C117" s="289"/>
      <c r="D117" s="290"/>
      <c r="E117" s="291">
        <f>SUM(E122:E123)</f>
        <v>4674520</v>
      </c>
      <c r="F117" s="289"/>
      <c r="G117" s="292">
        <f>SUM(G122:G123)</f>
        <v>1124651</v>
      </c>
      <c r="H117" s="293"/>
      <c r="I117" s="294"/>
      <c r="J117" s="295"/>
    </row>
    <row r="118" spans="1:11" s="270" customFormat="1" ht="38.25" x14ac:dyDescent="0.2">
      <c r="A118" s="268" t="s">
        <v>7</v>
      </c>
      <c r="B118" s="279">
        <v>2006</v>
      </c>
      <c r="C118" s="260" t="s">
        <v>464</v>
      </c>
      <c r="D118" s="259" t="s">
        <v>68</v>
      </c>
      <c r="E118" s="286">
        <v>1660250</v>
      </c>
      <c r="F118" s="260" t="s">
        <v>709</v>
      </c>
      <c r="G118" s="443">
        <v>250000</v>
      </c>
      <c r="H118" s="568"/>
      <c r="I118" s="442">
        <v>250000</v>
      </c>
      <c r="J118" s="287">
        <v>40365</v>
      </c>
    </row>
    <row r="119" spans="1:11" s="270" customFormat="1" ht="38.25" x14ac:dyDescent="0.2">
      <c r="A119" s="268" t="s">
        <v>7</v>
      </c>
      <c r="B119" s="279">
        <v>2006</v>
      </c>
      <c r="C119" s="260" t="s">
        <v>465</v>
      </c>
      <c r="D119" s="259" t="s">
        <v>69</v>
      </c>
      <c r="E119" s="286">
        <v>1027760</v>
      </c>
      <c r="F119" s="260" t="s">
        <v>710</v>
      </c>
      <c r="G119" s="443">
        <v>150000</v>
      </c>
      <c r="H119" s="568"/>
      <c r="I119" s="442">
        <v>150000</v>
      </c>
      <c r="J119" s="287">
        <v>39356</v>
      </c>
    </row>
    <row r="120" spans="1:11" s="270" customFormat="1" ht="76.5" x14ac:dyDescent="0.2">
      <c r="A120" s="268" t="s">
        <v>7</v>
      </c>
      <c r="B120" s="279">
        <v>2006</v>
      </c>
      <c r="C120" s="260" t="s">
        <v>466</v>
      </c>
      <c r="D120" s="259" t="s">
        <v>711</v>
      </c>
      <c r="E120" s="286">
        <v>437216</v>
      </c>
      <c r="F120" s="260" t="s">
        <v>8</v>
      </c>
      <c r="G120" s="443">
        <v>327912</v>
      </c>
      <c r="H120" s="568"/>
      <c r="I120" s="442">
        <v>327912</v>
      </c>
      <c r="J120" s="287">
        <v>39569</v>
      </c>
    </row>
    <row r="121" spans="1:11" s="270" customFormat="1" ht="38.25" x14ac:dyDescent="0.2">
      <c r="A121" s="268" t="s">
        <v>7</v>
      </c>
      <c r="B121" s="279">
        <v>2006</v>
      </c>
      <c r="C121" s="260" t="s">
        <v>467</v>
      </c>
      <c r="D121" s="259" t="s">
        <v>70</v>
      </c>
      <c r="E121" s="286">
        <v>1406960</v>
      </c>
      <c r="F121" s="260" t="s">
        <v>712</v>
      </c>
      <c r="G121" s="443">
        <v>346739</v>
      </c>
      <c r="H121" s="568"/>
      <c r="I121" s="442">
        <v>346739</v>
      </c>
      <c r="J121" s="287">
        <v>40350</v>
      </c>
    </row>
    <row r="122" spans="1:11" s="270" customFormat="1" ht="38.25" x14ac:dyDescent="0.2">
      <c r="A122" s="268" t="s">
        <v>7</v>
      </c>
      <c r="B122" s="279">
        <v>2006</v>
      </c>
      <c r="C122" s="260" t="s">
        <v>468</v>
      </c>
      <c r="D122" s="259" t="s">
        <v>69</v>
      </c>
      <c r="E122" s="286">
        <v>71167</v>
      </c>
      <c r="F122" s="260" t="s">
        <v>6</v>
      </c>
      <c r="G122" s="443">
        <v>50000</v>
      </c>
      <c r="H122" s="568"/>
      <c r="I122" s="442">
        <v>50000</v>
      </c>
      <c r="J122" s="287">
        <v>39577</v>
      </c>
    </row>
    <row r="123" spans="1:11" x14ac:dyDescent="0.2">
      <c r="A123" s="296"/>
      <c r="B123" s="296"/>
      <c r="C123" s="296"/>
      <c r="D123" s="297"/>
      <c r="E123" s="9">
        <f>SUM(E118:E122)</f>
        <v>4603353</v>
      </c>
      <c r="F123" s="296"/>
      <c r="G123" s="8">
        <f>SUM(G118:G121)</f>
        <v>1074651</v>
      </c>
      <c r="H123" s="7"/>
      <c r="I123" s="298"/>
      <c r="J123" s="12"/>
    </row>
    <row r="124" spans="1:11" x14ac:dyDescent="0.2">
      <c r="G124" s="6"/>
      <c r="H124" s="5"/>
      <c r="I124" s="4"/>
    </row>
    <row r="125" spans="1:11" x14ac:dyDescent="0.2">
      <c r="A125" s="617" t="s">
        <v>392</v>
      </c>
      <c r="B125" s="617"/>
      <c r="C125" s="617"/>
      <c r="D125" s="617"/>
      <c r="E125" s="617"/>
      <c r="F125" s="617"/>
      <c r="G125" s="617"/>
      <c r="H125" s="617"/>
      <c r="I125" s="617"/>
      <c r="J125" s="617"/>
    </row>
    <row r="126" spans="1:11" x14ac:dyDescent="0.2">
      <c r="A126" s="617"/>
      <c r="B126" s="617"/>
      <c r="C126" s="617"/>
      <c r="D126" s="617"/>
      <c r="E126" s="617"/>
      <c r="F126" s="617"/>
      <c r="G126" s="617"/>
      <c r="H126" s="617"/>
      <c r="I126" s="617"/>
      <c r="J126" s="617"/>
    </row>
    <row r="127" spans="1:11" x14ac:dyDescent="0.2">
      <c r="A127" s="487"/>
      <c r="B127" s="487"/>
      <c r="C127" s="487"/>
      <c r="D127" s="487"/>
      <c r="E127" s="487"/>
      <c r="F127" s="487"/>
      <c r="G127" s="487"/>
      <c r="I127" s="487"/>
      <c r="J127" s="487"/>
    </row>
    <row r="128" spans="1:11" x14ac:dyDescent="0.2">
      <c r="A128" s="618" t="s">
        <v>950</v>
      </c>
      <c r="B128" s="618"/>
      <c r="C128" s="618"/>
      <c r="D128" s="618"/>
      <c r="E128" s="618"/>
      <c r="F128" s="618"/>
      <c r="G128" s="618"/>
      <c r="H128" s="618"/>
      <c r="I128" s="618"/>
      <c r="J128" s="618"/>
    </row>
    <row r="129" spans="1:10" x14ac:dyDescent="0.2">
      <c r="A129" s="617" t="s">
        <v>951</v>
      </c>
      <c r="B129" s="617"/>
      <c r="C129" s="617"/>
      <c r="D129" s="617"/>
      <c r="E129" s="617"/>
      <c r="F129" s="617"/>
      <c r="G129" s="617"/>
      <c r="H129" s="617"/>
      <c r="I129" s="617"/>
      <c r="J129" s="617"/>
    </row>
    <row r="130" spans="1:10" x14ac:dyDescent="0.2">
      <c r="A130" s="617" t="s">
        <v>833</v>
      </c>
      <c r="B130" s="617"/>
      <c r="C130" s="617"/>
      <c r="D130" s="617"/>
      <c r="E130" s="617"/>
      <c r="F130" s="617"/>
      <c r="G130" s="617"/>
      <c r="H130" s="617"/>
      <c r="I130" s="617"/>
      <c r="J130" s="617"/>
    </row>
    <row r="131" spans="1:10" x14ac:dyDescent="0.2">
      <c r="A131" s="617" t="s">
        <v>834</v>
      </c>
      <c r="B131" s="617"/>
      <c r="C131" s="617"/>
      <c r="D131" s="617"/>
      <c r="E131" s="617"/>
      <c r="F131" s="617"/>
      <c r="G131" s="617"/>
      <c r="H131" s="617"/>
      <c r="I131" s="617"/>
      <c r="J131" s="617"/>
    </row>
    <row r="132" spans="1:10" x14ac:dyDescent="0.2">
      <c r="A132" s="199" t="s">
        <v>835</v>
      </c>
      <c r="B132" s="487"/>
      <c r="C132" s="487"/>
      <c r="D132" s="487"/>
      <c r="E132" s="487"/>
      <c r="F132" s="487"/>
      <c r="G132" s="487"/>
      <c r="I132" s="487"/>
      <c r="J132" s="487"/>
    </row>
    <row r="133" spans="1:10" x14ac:dyDescent="0.2">
      <c r="A133" s="199" t="s">
        <v>952</v>
      </c>
      <c r="B133" s="487"/>
      <c r="C133" s="487"/>
      <c r="D133" s="487"/>
      <c r="E133" s="487"/>
      <c r="F133" s="487"/>
      <c r="G133" s="487"/>
      <c r="I133" s="487"/>
      <c r="J133" s="487"/>
    </row>
    <row r="134" spans="1:10" x14ac:dyDescent="0.2">
      <c r="A134" s="199" t="s">
        <v>836</v>
      </c>
      <c r="B134" s="487"/>
      <c r="C134" s="487"/>
      <c r="D134" s="487"/>
      <c r="E134" s="487"/>
      <c r="F134" s="487"/>
      <c r="G134" s="487"/>
      <c r="I134" s="487"/>
      <c r="J134" s="487"/>
    </row>
    <row r="135" spans="1:10" s="579" customFormat="1" x14ac:dyDescent="0.2">
      <c r="A135" s="577" t="s">
        <v>953</v>
      </c>
      <c r="B135" s="578"/>
      <c r="C135" s="578"/>
      <c r="D135" s="578"/>
      <c r="E135" s="578"/>
      <c r="F135" s="578"/>
      <c r="G135" s="578"/>
      <c r="H135" s="578"/>
      <c r="I135" s="578"/>
      <c r="J135" s="578"/>
    </row>
    <row r="136" spans="1:10" s="579" customFormat="1" x14ac:dyDescent="0.2">
      <c r="A136" s="577" t="s">
        <v>954</v>
      </c>
      <c r="B136" s="578"/>
      <c r="C136" s="578"/>
      <c r="D136" s="578"/>
      <c r="E136" s="578"/>
      <c r="F136" s="578"/>
      <c r="G136" s="578"/>
      <c r="H136" s="578"/>
      <c r="I136" s="578"/>
      <c r="J136" s="578"/>
    </row>
    <row r="137" spans="1:10" x14ac:dyDescent="0.2">
      <c r="A137" s="487"/>
      <c r="B137" s="487"/>
      <c r="C137" s="487"/>
      <c r="D137" s="487"/>
      <c r="E137" s="487"/>
      <c r="F137" s="487"/>
      <c r="G137" s="487"/>
      <c r="I137" s="487"/>
      <c r="J137" s="487"/>
    </row>
    <row r="138" spans="1:10" x14ac:dyDescent="0.2">
      <c r="A138" s="618" t="s">
        <v>5</v>
      </c>
      <c r="B138" s="618"/>
      <c r="C138" s="618"/>
      <c r="D138" s="618"/>
      <c r="E138" s="618"/>
      <c r="F138" s="618"/>
      <c r="G138" s="618"/>
      <c r="H138" s="618"/>
      <c r="I138" s="618"/>
      <c r="J138" s="618"/>
    </row>
    <row r="139" spans="1:10" x14ac:dyDescent="0.2">
      <c r="A139" s="618" t="s">
        <v>4</v>
      </c>
      <c r="B139" s="618"/>
      <c r="C139" s="618"/>
      <c r="D139" s="618"/>
      <c r="E139" s="618"/>
      <c r="F139" s="618"/>
      <c r="G139" s="618"/>
      <c r="H139" s="618"/>
      <c r="I139" s="618"/>
      <c r="J139" s="618"/>
    </row>
    <row r="140" spans="1:10" x14ac:dyDescent="0.2">
      <c r="A140" s="618" t="s">
        <v>393</v>
      </c>
      <c r="B140" s="618"/>
      <c r="C140" s="618"/>
      <c r="D140" s="618"/>
      <c r="E140" s="618"/>
      <c r="F140" s="618"/>
      <c r="G140" s="618"/>
      <c r="H140" s="618"/>
      <c r="I140" s="618"/>
      <c r="J140" s="618"/>
    </row>
    <row r="141" spans="1:10" x14ac:dyDescent="0.2">
      <c r="A141" s="618" t="s">
        <v>3</v>
      </c>
      <c r="B141" s="618"/>
      <c r="C141" s="618"/>
      <c r="D141" s="618"/>
      <c r="E141" s="618"/>
      <c r="F141" s="618"/>
      <c r="G141" s="618"/>
      <c r="H141" s="618"/>
      <c r="I141" s="618"/>
      <c r="J141" s="618"/>
    </row>
    <row r="142" spans="1:10" x14ac:dyDescent="0.2">
      <c r="A142" s="617" t="s">
        <v>2</v>
      </c>
      <c r="B142" s="617"/>
      <c r="C142" s="617"/>
      <c r="D142" s="617"/>
      <c r="E142" s="617"/>
      <c r="F142" s="617"/>
      <c r="G142" s="617"/>
      <c r="H142" s="617"/>
      <c r="I142" s="617"/>
      <c r="J142" s="617"/>
    </row>
    <row r="143" spans="1:10" x14ac:dyDescent="0.2">
      <c r="A143" s="617" t="s">
        <v>394</v>
      </c>
      <c r="B143" s="617"/>
      <c r="C143" s="617"/>
    </row>
    <row r="144" spans="1:10" x14ac:dyDescent="0.2">
      <c r="A144" s="617" t="s">
        <v>71</v>
      </c>
      <c r="B144" s="617"/>
      <c r="C144" s="617"/>
      <c r="D144" s="617"/>
      <c r="E144" s="617"/>
      <c r="F144" s="617"/>
    </row>
    <row r="145" spans="1:10" x14ac:dyDescent="0.2">
      <c r="A145" s="617" t="s">
        <v>72</v>
      </c>
      <c r="B145" s="617"/>
      <c r="C145" s="617"/>
      <c r="D145" s="617"/>
      <c r="E145" s="617"/>
      <c r="F145" s="617"/>
      <c r="G145" s="617"/>
      <c r="H145" s="617"/>
      <c r="I145" s="617"/>
      <c r="J145" s="617"/>
    </row>
    <row r="146" spans="1:10" x14ac:dyDescent="0.2">
      <c r="A146" s="617" t="s">
        <v>395</v>
      </c>
      <c r="B146" s="617"/>
      <c r="C146" s="617"/>
      <c r="D146" s="617"/>
      <c r="E146" s="617"/>
      <c r="F146" s="617"/>
      <c r="G146" s="617"/>
      <c r="H146" s="617"/>
      <c r="I146" s="617"/>
      <c r="J146" s="617"/>
    </row>
    <row r="147" spans="1:10" x14ac:dyDescent="0.2">
      <c r="A147" s="617" t="s">
        <v>469</v>
      </c>
      <c r="B147" s="617"/>
      <c r="C147" s="617"/>
      <c r="D147" s="617"/>
      <c r="E147" s="617"/>
      <c r="F147" s="617"/>
      <c r="G147" s="617"/>
      <c r="H147" s="617"/>
      <c r="I147" s="617"/>
      <c r="J147" s="617"/>
    </row>
    <row r="148" spans="1:10" ht="12.75" customHeight="1" x14ac:dyDescent="0.2">
      <c r="A148" s="617" t="s">
        <v>522</v>
      </c>
      <c r="B148" s="617"/>
      <c r="C148" s="617"/>
      <c r="D148" s="617"/>
      <c r="E148" s="617"/>
      <c r="F148" s="617"/>
      <c r="G148" s="617"/>
      <c r="H148" s="617"/>
      <c r="I148" s="617"/>
      <c r="J148" s="617"/>
    </row>
    <row r="149" spans="1:10" x14ac:dyDescent="0.2">
      <c r="A149" s="617" t="s">
        <v>713</v>
      </c>
      <c r="B149" s="617"/>
      <c r="C149" s="617"/>
      <c r="D149" s="617"/>
      <c r="E149" s="617"/>
      <c r="F149" s="617"/>
      <c r="G149" s="617"/>
      <c r="H149" s="617"/>
      <c r="I149" s="617"/>
      <c r="J149" s="617"/>
    </row>
    <row r="150" spans="1:10" s="570" customFormat="1" x14ac:dyDescent="0.2">
      <c r="A150" s="616" t="s">
        <v>837</v>
      </c>
      <c r="B150" s="616"/>
      <c r="C150" s="616"/>
      <c r="D150" s="616"/>
      <c r="E150" s="616"/>
      <c r="F150" s="616"/>
      <c r="G150" s="616"/>
      <c r="H150" s="616"/>
      <c r="I150" s="616"/>
      <c r="J150" s="616"/>
    </row>
    <row r="151" spans="1:10" x14ac:dyDescent="0.2">
      <c r="A151" s="617" t="s">
        <v>955</v>
      </c>
      <c r="B151" s="617"/>
      <c r="C151" s="617"/>
      <c r="D151" s="617"/>
      <c r="E151" s="617"/>
      <c r="F151" s="617"/>
      <c r="G151" s="617"/>
      <c r="H151" s="617"/>
      <c r="I151" s="617"/>
      <c r="J151" s="617"/>
    </row>
  </sheetData>
  <mergeCells count="21">
    <mergeCell ref="A1:J1"/>
    <mergeCell ref="G2:H2"/>
    <mergeCell ref="A140:J140"/>
    <mergeCell ref="A141:J141"/>
    <mergeCell ref="A142:J142"/>
    <mergeCell ref="A138:J138"/>
    <mergeCell ref="A139:J139"/>
    <mergeCell ref="A125:J126"/>
    <mergeCell ref="A128:J128"/>
    <mergeCell ref="A129:J129"/>
    <mergeCell ref="A143:C143"/>
    <mergeCell ref="A144:F144"/>
    <mergeCell ref="A130:J130"/>
    <mergeCell ref="A131:J131"/>
    <mergeCell ref="A150:J150"/>
    <mergeCell ref="A151:J151"/>
    <mergeCell ref="A145:J145"/>
    <mergeCell ref="A146:J146"/>
    <mergeCell ref="A147:J147"/>
    <mergeCell ref="A148:J148"/>
    <mergeCell ref="A149:J149"/>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1"/>
  <sheetViews>
    <sheetView zoomScaleNormal="100" workbookViewId="0">
      <selection activeCell="B6" sqref="B6"/>
    </sheetView>
  </sheetViews>
  <sheetFormatPr defaultRowHeight="12.75" x14ac:dyDescent="0.2"/>
  <cols>
    <col min="1" max="1" width="44.28515625" customWidth="1"/>
    <col min="2" max="2" width="39.85546875" customWidth="1"/>
    <col min="3" max="3" width="15.7109375" customWidth="1"/>
    <col min="4" max="4" width="15.140625" bestFit="1" customWidth="1"/>
    <col min="5" max="5" width="17.28515625" customWidth="1"/>
    <col min="6" max="6" width="15.140625" bestFit="1" customWidth="1"/>
    <col min="7" max="7" width="16" customWidth="1"/>
    <col min="8" max="8" width="24.85546875" customWidth="1"/>
    <col min="9" max="9" width="26" customWidth="1"/>
    <col min="257" max="257" width="22" customWidth="1"/>
    <col min="258" max="258" width="17.140625" customWidth="1"/>
    <col min="259" max="259" width="15.7109375" customWidth="1"/>
    <col min="260" max="260" width="12.7109375" customWidth="1"/>
    <col min="261" max="261" width="17.28515625" customWidth="1"/>
    <col min="262" max="262" width="12.7109375" customWidth="1"/>
    <col min="263" max="263" width="16" customWidth="1"/>
    <col min="264" max="264" width="15.28515625" customWidth="1"/>
    <col min="265" max="265" width="13.140625" customWidth="1"/>
    <col min="513" max="513" width="22" customWidth="1"/>
    <col min="514" max="514" width="17.140625" customWidth="1"/>
    <col min="515" max="515" width="15.7109375" customWidth="1"/>
    <col min="516" max="516" width="12.7109375" customWidth="1"/>
    <col min="517" max="517" width="17.28515625" customWidth="1"/>
    <col min="518" max="518" width="12.7109375" customWidth="1"/>
    <col min="519" max="519" width="16" customWidth="1"/>
    <col min="520" max="520" width="15.28515625" customWidth="1"/>
    <col min="521" max="521" width="13.140625" customWidth="1"/>
    <col min="769" max="769" width="22" customWidth="1"/>
    <col min="770" max="770" width="17.140625" customWidth="1"/>
    <col min="771" max="771" width="15.7109375" customWidth="1"/>
    <col min="772" max="772" width="12.7109375" customWidth="1"/>
    <col min="773" max="773" width="17.28515625" customWidth="1"/>
    <col min="774" max="774" width="12.7109375" customWidth="1"/>
    <col min="775" max="775" width="16" customWidth="1"/>
    <col min="776" max="776" width="15.28515625" customWidth="1"/>
    <col min="777" max="777" width="13.140625" customWidth="1"/>
    <col min="1025" max="1025" width="22" customWidth="1"/>
    <col min="1026" max="1026" width="17.140625" customWidth="1"/>
    <col min="1027" max="1027" width="15.7109375" customWidth="1"/>
    <col min="1028" max="1028" width="12.7109375" customWidth="1"/>
    <col min="1029" max="1029" width="17.28515625" customWidth="1"/>
    <col min="1030" max="1030" width="12.7109375" customWidth="1"/>
    <col min="1031" max="1031" width="16" customWidth="1"/>
    <col min="1032" max="1032" width="15.28515625" customWidth="1"/>
    <col min="1033" max="1033" width="13.140625" customWidth="1"/>
    <col min="1281" max="1281" width="22" customWidth="1"/>
    <col min="1282" max="1282" width="17.140625" customWidth="1"/>
    <col min="1283" max="1283" width="15.7109375" customWidth="1"/>
    <col min="1284" max="1284" width="12.7109375" customWidth="1"/>
    <col min="1285" max="1285" width="17.28515625" customWidth="1"/>
    <col min="1286" max="1286" width="12.7109375" customWidth="1"/>
    <col min="1287" max="1287" width="16" customWidth="1"/>
    <col min="1288" max="1288" width="15.28515625" customWidth="1"/>
    <col min="1289" max="1289" width="13.140625" customWidth="1"/>
    <col min="1537" max="1537" width="22" customWidth="1"/>
    <col min="1538" max="1538" width="17.140625" customWidth="1"/>
    <col min="1539" max="1539" width="15.7109375" customWidth="1"/>
    <col min="1540" max="1540" width="12.7109375" customWidth="1"/>
    <col min="1541" max="1541" width="17.28515625" customWidth="1"/>
    <col min="1542" max="1542" width="12.7109375" customWidth="1"/>
    <col min="1543" max="1543" width="16" customWidth="1"/>
    <col min="1544" max="1544" width="15.28515625" customWidth="1"/>
    <col min="1545" max="1545" width="13.140625" customWidth="1"/>
    <col min="1793" max="1793" width="22" customWidth="1"/>
    <col min="1794" max="1794" width="17.140625" customWidth="1"/>
    <col min="1795" max="1795" width="15.7109375" customWidth="1"/>
    <col min="1796" max="1796" width="12.7109375" customWidth="1"/>
    <col min="1797" max="1797" width="17.28515625" customWidth="1"/>
    <col min="1798" max="1798" width="12.7109375" customWidth="1"/>
    <col min="1799" max="1799" width="16" customWidth="1"/>
    <col min="1800" max="1800" width="15.28515625" customWidth="1"/>
    <col min="1801" max="1801" width="13.140625" customWidth="1"/>
    <col min="2049" max="2049" width="22" customWidth="1"/>
    <col min="2050" max="2050" width="17.140625" customWidth="1"/>
    <col min="2051" max="2051" width="15.7109375" customWidth="1"/>
    <col min="2052" max="2052" width="12.7109375" customWidth="1"/>
    <col min="2053" max="2053" width="17.28515625" customWidth="1"/>
    <col min="2054" max="2054" width="12.7109375" customWidth="1"/>
    <col min="2055" max="2055" width="16" customWidth="1"/>
    <col min="2056" max="2056" width="15.28515625" customWidth="1"/>
    <col min="2057" max="2057" width="13.140625" customWidth="1"/>
    <col min="2305" max="2305" width="22" customWidth="1"/>
    <col min="2306" max="2306" width="17.140625" customWidth="1"/>
    <col min="2307" max="2307" width="15.7109375" customWidth="1"/>
    <col min="2308" max="2308" width="12.7109375" customWidth="1"/>
    <col min="2309" max="2309" width="17.28515625" customWidth="1"/>
    <col min="2310" max="2310" width="12.7109375" customWidth="1"/>
    <col min="2311" max="2311" width="16" customWidth="1"/>
    <col min="2312" max="2312" width="15.28515625" customWidth="1"/>
    <col min="2313" max="2313" width="13.140625" customWidth="1"/>
    <col min="2561" max="2561" width="22" customWidth="1"/>
    <col min="2562" max="2562" width="17.140625" customWidth="1"/>
    <col min="2563" max="2563" width="15.7109375" customWidth="1"/>
    <col min="2564" max="2564" width="12.7109375" customWidth="1"/>
    <col min="2565" max="2565" width="17.28515625" customWidth="1"/>
    <col min="2566" max="2566" width="12.7109375" customWidth="1"/>
    <col min="2567" max="2567" width="16" customWidth="1"/>
    <col min="2568" max="2568" width="15.28515625" customWidth="1"/>
    <col min="2569" max="2569" width="13.140625" customWidth="1"/>
    <col min="2817" max="2817" width="22" customWidth="1"/>
    <col min="2818" max="2818" width="17.140625" customWidth="1"/>
    <col min="2819" max="2819" width="15.7109375" customWidth="1"/>
    <col min="2820" max="2820" width="12.7109375" customWidth="1"/>
    <col min="2821" max="2821" width="17.28515625" customWidth="1"/>
    <col min="2822" max="2822" width="12.7109375" customWidth="1"/>
    <col min="2823" max="2823" width="16" customWidth="1"/>
    <col min="2824" max="2824" width="15.28515625" customWidth="1"/>
    <col min="2825" max="2825" width="13.140625" customWidth="1"/>
    <col min="3073" max="3073" width="22" customWidth="1"/>
    <col min="3074" max="3074" width="17.140625" customWidth="1"/>
    <col min="3075" max="3075" width="15.7109375" customWidth="1"/>
    <col min="3076" max="3076" width="12.7109375" customWidth="1"/>
    <col min="3077" max="3077" width="17.28515625" customWidth="1"/>
    <col min="3078" max="3078" width="12.7109375" customWidth="1"/>
    <col min="3079" max="3079" width="16" customWidth="1"/>
    <col min="3080" max="3080" width="15.28515625" customWidth="1"/>
    <col min="3081" max="3081" width="13.140625" customWidth="1"/>
    <col min="3329" max="3329" width="22" customWidth="1"/>
    <col min="3330" max="3330" width="17.140625" customWidth="1"/>
    <col min="3331" max="3331" width="15.7109375" customWidth="1"/>
    <col min="3332" max="3332" width="12.7109375" customWidth="1"/>
    <col min="3333" max="3333" width="17.28515625" customWidth="1"/>
    <col min="3334" max="3334" width="12.7109375" customWidth="1"/>
    <col min="3335" max="3335" width="16" customWidth="1"/>
    <col min="3336" max="3336" width="15.28515625" customWidth="1"/>
    <col min="3337" max="3337" width="13.140625" customWidth="1"/>
    <col min="3585" max="3585" width="22" customWidth="1"/>
    <col min="3586" max="3586" width="17.140625" customWidth="1"/>
    <col min="3587" max="3587" width="15.7109375" customWidth="1"/>
    <col min="3588" max="3588" width="12.7109375" customWidth="1"/>
    <col min="3589" max="3589" width="17.28515625" customWidth="1"/>
    <col min="3590" max="3590" width="12.7109375" customWidth="1"/>
    <col min="3591" max="3591" width="16" customWidth="1"/>
    <col min="3592" max="3592" width="15.28515625" customWidth="1"/>
    <col min="3593" max="3593" width="13.140625" customWidth="1"/>
    <col min="3841" max="3841" width="22" customWidth="1"/>
    <col min="3842" max="3842" width="17.140625" customWidth="1"/>
    <col min="3843" max="3843" width="15.7109375" customWidth="1"/>
    <col min="3844" max="3844" width="12.7109375" customWidth="1"/>
    <col min="3845" max="3845" width="17.28515625" customWidth="1"/>
    <col min="3846" max="3846" width="12.7109375" customWidth="1"/>
    <col min="3847" max="3847" width="16" customWidth="1"/>
    <col min="3848" max="3848" width="15.28515625" customWidth="1"/>
    <col min="3849" max="3849" width="13.140625" customWidth="1"/>
    <col min="4097" max="4097" width="22" customWidth="1"/>
    <col min="4098" max="4098" width="17.140625" customWidth="1"/>
    <col min="4099" max="4099" width="15.7109375" customWidth="1"/>
    <col min="4100" max="4100" width="12.7109375" customWidth="1"/>
    <col min="4101" max="4101" width="17.28515625" customWidth="1"/>
    <col min="4102" max="4102" width="12.7109375" customWidth="1"/>
    <col min="4103" max="4103" width="16" customWidth="1"/>
    <col min="4104" max="4104" width="15.28515625" customWidth="1"/>
    <col min="4105" max="4105" width="13.140625" customWidth="1"/>
    <col min="4353" max="4353" width="22" customWidth="1"/>
    <col min="4354" max="4354" width="17.140625" customWidth="1"/>
    <col min="4355" max="4355" width="15.7109375" customWidth="1"/>
    <col min="4356" max="4356" width="12.7109375" customWidth="1"/>
    <col min="4357" max="4357" width="17.28515625" customWidth="1"/>
    <col min="4358" max="4358" width="12.7109375" customWidth="1"/>
    <col min="4359" max="4359" width="16" customWidth="1"/>
    <col min="4360" max="4360" width="15.28515625" customWidth="1"/>
    <col min="4361" max="4361" width="13.140625" customWidth="1"/>
    <col min="4609" max="4609" width="22" customWidth="1"/>
    <col min="4610" max="4610" width="17.140625" customWidth="1"/>
    <col min="4611" max="4611" width="15.7109375" customWidth="1"/>
    <col min="4612" max="4612" width="12.7109375" customWidth="1"/>
    <col min="4613" max="4613" width="17.28515625" customWidth="1"/>
    <col min="4614" max="4614" width="12.7109375" customWidth="1"/>
    <col min="4615" max="4615" width="16" customWidth="1"/>
    <col min="4616" max="4616" width="15.28515625" customWidth="1"/>
    <col min="4617" max="4617" width="13.140625" customWidth="1"/>
    <col min="4865" max="4865" width="22" customWidth="1"/>
    <col min="4866" max="4866" width="17.140625" customWidth="1"/>
    <col min="4867" max="4867" width="15.7109375" customWidth="1"/>
    <col min="4868" max="4868" width="12.7109375" customWidth="1"/>
    <col min="4869" max="4869" width="17.28515625" customWidth="1"/>
    <col min="4870" max="4870" width="12.7109375" customWidth="1"/>
    <col min="4871" max="4871" width="16" customWidth="1"/>
    <col min="4872" max="4872" width="15.28515625" customWidth="1"/>
    <col min="4873" max="4873" width="13.140625" customWidth="1"/>
    <col min="5121" max="5121" width="22" customWidth="1"/>
    <col min="5122" max="5122" width="17.140625" customWidth="1"/>
    <col min="5123" max="5123" width="15.7109375" customWidth="1"/>
    <col min="5124" max="5124" width="12.7109375" customWidth="1"/>
    <col min="5125" max="5125" width="17.28515625" customWidth="1"/>
    <col min="5126" max="5126" width="12.7109375" customWidth="1"/>
    <col min="5127" max="5127" width="16" customWidth="1"/>
    <col min="5128" max="5128" width="15.28515625" customWidth="1"/>
    <col min="5129" max="5129" width="13.140625" customWidth="1"/>
    <col min="5377" max="5377" width="22" customWidth="1"/>
    <col min="5378" max="5378" width="17.140625" customWidth="1"/>
    <col min="5379" max="5379" width="15.7109375" customWidth="1"/>
    <col min="5380" max="5380" width="12.7109375" customWidth="1"/>
    <col min="5381" max="5381" width="17.28515625" customWidth="1"/>
    <col min="5382" max="5382" width="12.7109375" customWidth="1"/>
    <col min="5383" max="5383" width="16" customWidth="1"/>
    <col min="5384" max="5384" width="15.28515625" customWidth="1"/>
    <col min="5385" max="5385" width="13.140625" customWidth="1"/>
    <col min="5633" max="5633" width="22" customWidth="1"/>
    <col min="5634" max="5634" width="17.140625" customWidth="1"/>
    <col min="5635" max="5635" width="15.7109375" customWidth="1"/>
    <col min="5636" max="5636" width="12.7109375" customWidth="1"/>
    <col min="5637" max="5637" width="17.28515625" customWidth="1"/>
    <col min="5638" max="5638" width="12.7109375" customWidth="1"/>
    <col min="5639" max="5639" width="16" customWidth="1"/>
    <col min="5640" max="5640" width="15.28515625" customWidth="1"/>
    <col min="5641" max="5641" width="13.140625" customWidth="1"/>
    <col min="5889" max="5889" width="22" customWidth="1"/>
    <col min="5890" max="5890" width="17.140625" customWidth="1"/>
    <col min="5891" max="5891" width="15.7109375" customWidth="1"/>
    <col min="5892" max="5892" width="12.7109375" customWidth="1"/>
    <col min="5893" max="5893" width="17.28515625" customWidth="1"/>
    <col min="5894" max="5894" width="12.7109375" customWidth="1"/>
    <col min="5895" max="5895" width="16" customWidth="1"/>
    <col min="5896" max="5896" width="15.28515625" customWidth="1"/>
    <col min="5897" max="5897" width="13.140625" customWidth="1"/>
    <col min="6145" max="6145" width="22" customWidth="1"/>
    <col min="6146" max="6146" width="17.140625" customWidth="1"/>
    <col min="6147" max="6147" width="15.7109375" customWidth="1"/>
    <col min="6148" max="6148" width="12.7109375" customWidth="1"/>
    <col min="6149" max="6149" width="17.28515625" customWidth="1"/>
    <col min="6150" max="6150" width="12.7109375" customWidth="1"/>
    <col min="6151" max="6151" width="16" customWidth="1"/>
    <col min="6152" max="6152" width="15.28515625" customWidth="1"/>
    <col min="6153" max="6153" width="13.140625" customWidth="1"/>
    <col min="6401" max="6401" width="22" customWidth="1"/>
    <col min="6402" max="6402" width="17.140625" customWidth="1"/>
    <col min="6403" max="6403" width="15.7109375" customWidth="1"/>
    <col min="6404" max="6404" width="12.7109375" customWidth="1"/>
    <col min="6405" max="6405" width="17.28515625" customWidth="1"/>
    <col min="6406" max="6406" width="12.7109375" customWidth="1"/>
    <col min="6407" max="6407" width="16" customWidth="1"/>
    <col min="6408" max="6408" width="15.28515625" customWidth="1"/>
    <col min="6409" max="6409" width="13.140625" customWidth="1"/>
    <col min="6657" max="6657" width="22" customWidth="1"/>
    <col min="6658" max="6658" width="17.140625" customWidth="1"/>
    <col min="6659" max="6659" width="15.7109375" customWidth="1"/>
    <col min="6660" max="6660" width="12.7109375" customWidth="1"/>
    <col min="6661" max="6661" width="17.28515625" customWidth="1"/>
    <col min="6662" max="6662" width="12.7109375" customWidth="1"/>
    <col min="6663" max="6663" width="16" customWidth="1"/>
    <col min="6664" max="6664" width="15.28515625" customWidth="1"/>
    <col min="6665" max="6665" width="13.140625" customWidth="1"/>
    <col min="6913" max="6913" width="22" customWidth="1"/>
    <col min="6914" max="6914" width="17.140625" customWidth="1"/>
    <col min="6915" max="6915" width="15.7109375" customWidth="1"/>
    <col min="6916" max="6916" width="12.7109375" customWidth="1"/>
    <col min="6917" max="6917" width="17.28515625" customWidth="1"/>
    <col min="6918" max="6918" width="12.7109375" customWidth="1"/>
    <col min="6919" max="6919" width="16" customWidth="1"/>
    <col min="6920" max="6920" width="15.28515625" customWidth="1"/>
    <col min="6921" max="6921" width="13.140625" customWidth="1"/>
    <col min="7169" max="7169" width="22" customWidth="1"/>
    <col min="7170" max="7170" width="17.140625" customWidth="1"/>
    <col min="7171" max="7171" width="15.7109375" customWidth="1"/>
    <col min="7172" max="7172" width="12.7109375" customWidth="1"/>
    <col min="7173" max="7173" width="17.28515625" customWidth="1"/>
    <col min="7174" max="7174" width="12.7109375" customWidth="1"/>
    <col min="7175" max="7175" width="16" customWidth="1"/>
    <col min="7176" max="7176" width="15.28515625" customWidth="1"/>
    <col min="7177" max="7177" width="13.140625" customWidth="1"/>
    <col min="7425" max="7425" width="22" customWidth="1"/>
    <col min="7426" max="7426" width="17.140625" customWidth="1"/>
    <col min="7427" max="7427" width="15.7109375" customWidth="1"/>
    <col min="7428" max="7428" width="12.7109375" customWidth="1"/>
    <col min="7429" max="7429" width="17.28515625" customWidth="1"/>
    <col min="7430" max="7430" width="12.7109375" customWidth="1"/>
    <col min="7431" max="7431" width="16" customWidth="1"/>
    <col min="7432" max="7432" width="15.28515625" customWidth="1"/>
    <col min="7433" max="7433" width="13.140625" customWidth="1"/>
    <col min="7681" max="7681" width="22" customWidth="1"/>
    <col min="7682" max="7682" width="17.140625" customWidth="1"/>
    <col min="7683" max="7683" width="15.7109375" customWidth="1"/>
    <col min="7684" max="7684" width="12.7109375" customWidth="1"/>
    <col min="7685" max="7685" width="17.28515625" customWidth="1"/>
    <col min="7686" max="7686" width="12.7109375" customWidth="1"/>
    <col min="7687" max="7687" width="16" customWidth="1"/>
    <col min="7688" max="7688" width="15.28515625" customWidth="1"/>
    <col min="7689" max="7689" width="13.140625" customWidth="1"/>
    <col min="7937" max="7937" width="22" customWidth="1"/>
    <col min="7938" max="7938" width="17.140625" customWidth="1"/>
    <col min="7939" max="7939" width="15.7109375" customWidth="1"/>
    <col min="7940" max="7940" width="12.7109375" customWidth="1"/>
    <col min="7941" max="7941" width="17.28515625" customWidth="1"/>
    <col min="7942" max="7942" width="12.7109375" customWidth="1"/>
    <col min="7943" max="7943" width="16" customWidth="1"/>
    <col min="7944" max="7944" width="15.28515625" customWidth="1"/>
    <col min="7945" max="7945" width="13.140625" customWidth="1"/>
    <col min="8193" max="8193" width="22" customWidth="1"/>
    <col min="8194" max="8194" width="17.140625" customWidth="1"/>
    <col min="8195" max="8195" width="15.7109375" customWidth="1"/>
    <col min="8196" max="8196" width="12.7109375" customWidth="1"/>
    <col min="8197" max="8197" width="17.28515625" customWidth="1"/>
    <col min="8198" max="8198" width="12.7109375" customWidth="1"/>
    <col min="8199" max="8199" width="16" customWidth="1"/>
    <col min="8200" max="8200" width="15.28515625" customWidth="1"/>
    <col min="8201" max="8201" width="13.140625" customWidth="1"/>
    <col min="8449" max="8449" width="22" customWidth="1"/>
    <col min="8450" max="8450" width="17.140625" customWidth="1"/>
    <col min="8451" max="8451" width="15.7109375" customWidth="1"/>
    <col min="8452" max="8452" width="12.7109375" customWidth="1"/>
    <col min="8453" max="8453" width="17.28515625" customWidth="1"/>
    <col min="8454" max="8454" width="12.7109375" customWidth="1"/>
    <col min="8455" max="8455" width="16" customWidth="1"/>
    <col min="8456" max="8456" width="15.28515625" customWidth="1"/>
    <col min="8457" max="8457" width="13.140625" customWidth="1"/>
    <col min="8705" max="8705" width="22" customWidth="1"/>
    <col min="8706" max="8706" width="17.140625" customWidth="1"/>
    <col min="8707" max="8707" width="15.7109375" customWidth="1"/>
    <col min="8708" max="8708" width="12.7109375" customWidth="1"/>
    <col min="8709" max="8709" width="17.28515625" customWidth="1"/>
    <col min="8710" max="8710" width="12.7109375" customWidth="1"/>
    <col min="8711" max="8711" width="16" customWidth="1"/>
    <col min="8712" max="8712" width="15.28515625" customWidth="1"/>
    <col min="8713" max="8713" width="13.140625" customWidth="1"/>
    <col min="8961" max="8961" width="22" customWidth="1"/>
    <col min="8962" max="8962" width="17.140625" customWidth="1"/>
    <col min="8963" max="8963" width="15.7109375" customWidth="1"/>
    <col min="8964" max="8964" width="12.7109375" customWidth="1"/>
    <col min="8965" max="8965" width="17.28515625" customWidth="1"/>
    <col min="8966" max="8966" width="12.7109375" customWidth="1"/>
    <col min="8967" max="8967" width="16" customWidth="1"/>
    <col min="8968" max="8968" width="15.28515625" customWidth="1"/>
    <col min="8969" max="8969" width="13.140625" customWidth="1"/>
    <col min="9217" max="9217" width="22" customWidth="1"/>
    <col min="9218" max="9218" width="17.140625" customWidth="1"/>
    <col min="9219" max="9219" width="15.7109375" customWidth="1"/>
    <col min="9220" max="9220" width="12.7109375" customWidth="1"/>
    <col min="9221" max="9221" width="17.28515625" customWidth="1"/>
    <col min="9222" max="9222" width="12.7109375" customWidth="1"/>
    <col min="9223" max="9223" width="16" customWidth="1"/>
    <col min="9224" max="9224" width="15.28515625" customWidth="1"/>
    <col min="9225" max="9225" width="13.140625" customWidth="1"/>
    <col min="9473" max="9473" width="22" customWidth="1"/>
    <col min="9474" max="9474" width="17.140625" customWidth="1"/>
    <col min="9475" max="9475" width="15.7109375" customWidth="1"/>
    <col min="9476" max="9476" width="12.7109375" customWidth="1"/>
    <col min="9477" max="9477" width="17.28515625" customWidth="1"/>
    <col min="9478" max="9478" width="12.7109375" customWidth="1"/>
    <col min="9479" max="9479" width="16" customWidth="1"/>
    <col min="9480" max="9480" width="15.28515625" customWidth="1"/>
    <col min="9481" max="9481" width="13.140625" customWidth="1"/>
    <col min="9729" max="9729" width="22" customWidth="1"/>
    <col min="9730" max="9730" width="17.140625" customWidth="1"/>
    <col min="9731" max="9731" width="15.7109375" customWidth="1"/>
    <col min="9732" max="9732" width="12.7109375" customWidth="1"/>
    <col min="9733" max="9733" width="17.28515625" customWidth="1"/>
    <col min="9734" max="9734" width="12.7109375" customWidth="1"/>
    <col min="9735" max="9735" width="16" customWidth="1"/>
    <col min="9736" max="9736" width="15.28515625" customWidth="1"/>
    <col min="9737" max="9737" width="13.140625" customWidth="1"/>
    <col min="9985" max="9985" width="22" customWidth="1"/>
    <col min="9986" max="9986" width="17.140625" customWidth="1"/>
    <col min="9987" max="9987" width="15.7109375" customWidth="1"/>
    <col min="9988" max="9988" width="12.7109375" customWidth="1"/>
    <col min="9989" max="9989" width="17.28515625" customWidth="1"/>
    <col min="9990" max="9990" width="12.7109375" customWidth="1"/>
    <col min="9991" max="9991" width="16" customWidth="1"/>
    <col min="9992" max="9992" width="15.28515625" customWidth="1"/>
    <col min="9993" max="9993" width="13.140625" customWidth="1"/>
    <col min="10241" max="10241" width="22" customWidth="1"/>
    <col min="10242" max="10242" width="17.140625" customWidth="1"/>
    <col min="10243" max="10243" width="15.7109375" customWidth="1"/>
    <col min="10244" max="10244" width="12.7109375" customWidth="1"/>
    <col min="10245" max="10245" width="17.28515625" customWidth="1"/>
    <col min="10246" max="10246" width="12.7109375" customWidth="1"/>
    <col min="10247" max="10247" width="16" customWidth="1"/>
    <col min="10248" max="10248" width="15.28515625" customWidth="1"/>
    <col min="10249" max="10249" width="13.140625" customWidth="1"/>
    <col min="10497" max="10497" width="22" customWidth="1"/>
    <col min="10498" max="10498" width="17.140625" customWidth="1"/>
    <col min="10499" max="10499" width="15.7109375" customWidth="1"/>
    <col min="10500" max="10500" width="12.7109375" customWidth="1"/>
    <col min="10501" max="10501" width="17.28515625" customWidth="1"/>
    <col min="10502" max="10502" width="12.7109375" customWidth="1"/>
    <col min="10503" max="10503" width="16" customWidth="1"/>
    <col min="10504" max="10504" width="15.28515625" customWidth="1"/>
    <col min="10505" max="10505" width="13.140625" customWidth="1"/>
    <col min="10753" max="10753" width="22" customWidth="1"/>
    <col min="10754" max="10754" width="17.140625" customWidth="1"/>
    <col min="10755" max="10755" width="15.7109375" customWidth="1"/>
    <col min="10756" max="10756" width="12.7109375" customWidth="1"/>
    <col min="10757" max="10757" width="17.28515625" customWidth="1"/>
    <col min="10758" max="10758" width="12.7109375" customWidth="1"/>
    <col min="10759" max="10759" width="16" customWidth="1"/>
    <col min="10760" max="10760" width="15.28515625" customWidth="1"/>
    <col min="10761" max="10761" width="13.140625" customWidth="1"/>
    <col min="11009" max="11009" width="22" customWidth="1"/>
    <col min="11010" max="11010" width="17.140625" customWidth="1"/>
    <col min="11011" max="11011" width="15.7109375" customWidth="1"/>
    <col min="11012" max="11012" width="12.7109375" customWidth="1"/>
    <col min="11013" max="11013" width="17.28515625" customWidth="1"/>
    <col min="11014" max="11014" width="12.7109375" customWidth="1"/>
    <col min="11015" max="11015" width="16" customWidth="1"/>
    <col min="11016" max="11016" width="15.28515625" customWidth="1"/>
    <col min="11017" max="11017" width="13.140625" customWidth="1"/>
    <col min="11265" max="11265" width="22" customWidth="1"/>
    <col min="11266" max="11266" width="17.140625" customWidth="1"/>
    <col min="11267" max="11267" width="15.7109375" customWidth="1"/>
    <col min="11268" max="11268" width="12.7109375" customWidth="1"/>
    <col min="11269" max="11269" width="17.28515625" customWidth="1"/>
    <col min="11270" max="11270" width="12.7109375" customWidth="1"/>
    <col min="11271" max="11271" width="16" customWidth="1"/>
    <col min="11272" max="11272" width="15.28515625" customWidth="1"/>
    <col min="11273" max="11273" width="13.140625" customWidth="1"/>
    <col min="11521" max="11521" width="22" customWidth="1"/>
    <col min="11522" max="11522" width="17.140625" customWidth="1"/>
    <col min="11523" max="11523" width="15.7109375" customWidth="1"/>
    <col min="11524" max="11524" width="12.7109375" customWidth="1"/>
    <col min="11525" max="11525" width="17.28515625" customWidth="1"/>
    <col min="11526" max="11526" width="12.7109375" customWidth="1"/>
    <col min="11527" max="11527" width="16" customWidth="1"/>
    <col min="11528" max="11528" width="15.28515625" customWidth="1"/>
    <col min="11529" max="11529" width="13.140625" customWidth="1"/>
    <col min="11777" max="11777" width="22" customWidth="1"/>
    <col min="11778" max="11778" width="17.140625" customWidth="1"/>
    <col min="11779" max="11779" width="15.7109375" customWidth="1"/>
    <col min="11780" max="11780" width="12.7109375" customWidth="1"/>
    <col min="11781" max="11781" width="17.28515625" customWidth="1"/>
    <col min="11782" max="11782" width="12.7109375" customWidth="1"/>
    <col min="11783" max="11783" width="16" customWidth="1"/>
    <col min="11784" max="11784" width="15.28515625" customWidth="1"/>
    <col min="11785" max="11785" width="13.140625" customWidth="1"/>
    <col min="12033" max="12033" width="22" customWidth="1"/>
    <col min="12034" max="12034" width="17.140625" customWidth="1"/>
    <col min="12035" max="12035" width="15.7109375" customWidth="1"/>
    <col min="12036" max="12036" width="12.7109375" customWidth="1"/>
    <col min="12037" max="12037" width="17.28515625" customWidth="1"/>
    <col min="12038" max="12038" width="12.7109375" customWidth="1"/>
    <col min="12039" max="12039" width="16" customWidth="1"/>
    <col min="12040" max="12040" width="15.28515625" customWidth="1"/>
    <col min="12041" max="12041" width="13.140625" customWidth="1"/>
    <col min="12289" max="12289" width="22" customWidth="1"/>
    <col min="12290" max="12290" width="17.140625" customWidth="1"/>
    <col min="12291" max="12291" width="15.7109375" customWidth="1"/>
    <col min="12292" max="12292" width="12.7109375" customWidth="1"/>
    <col min="12293" max="12293" width="17.28515625" customWidth="1"/>
    <col min="12294" max="12294" width="12.7109375" customWidth="1"/>
    <col min="12295" max="12295" width="16" customWidth="1"/>
    <col min="12296" max="12296" width="15.28515625" customWidth="1"/>
    <col min="12297" max="12297" width="13.140625" customWidth="1"/>
    <col min="12545" max="12545" width="22" customWidth="1"/>
    <col min="12546" max="12546" width="17.140625" customWidth="1"/>
    <col min="12547" max="12547" width="15.7109375" customWidth="1"/>
    <col min="12548" max="12548" width="12.7109375" customWidth="1"/>
    <col min="12549" max="12549" width="17.28515625" customWidth="1"/>
    <col min="12550" max="12550" width="12.7109375" customWidth="1"/>
    <col min="12551" max="12551" width="16" customWidth="1"/>
    <col min="12552" max="12552" width="15.28515625" customWidth="1"/>
    <col min="12553" max="12553" width="13.140625" customWidth="1"/>
    <col min="12801" max="12801" width="22" customWidth="1"/>
    <col min="12802" max="12802" width="17.140625" customWidth="1"/>
    <col min="12803" max="12803" width="15.7109375" customWidth="1"/>
    <col min="12804" max="12804" width="12.7109375" customWidth="1"/>
    <col min="12805" max="12805" width="17.28515625" customWidth="1"/>
    <col min="12806" max="12806" width="12.7109375" customWidth="1"/>
    <col min="12807" max="12807" width="16" customWidth="1"/>
    <col min="12808" max="12808" width="15.28515625" customWidth="1"/>
    <col min="12809" max="12809" width="13.140625" customWidth="1"/>
    <col min="13057" max="13057" width="22" customWidth="1"/>
    <col min="13058" max="13058" width="17.140625" customWidth="1"/>
    <col min="13059" max="13059" width="15.7109375" customWidth="1"/>
    <col min="13060" max="13060" width="12.7109375" customWidth="1"/>
    <col min="13061" max="13061" width="17.28515625" customWidth="1"/>
    <col min="13062" max="13062" width="12.7109375" customWidth="1"/>
    <col min="13063" max="13063" width="16" customWidth="1"/>
    <col min="13064" max="13064" width="15.28515625" customWidth="1"/>
    <col min="13065" max="13065" width="13.140625" customWidth="1"/>
    <col min="13313" max="13313" width="22" customWidth="1"/>
    <col min="13314" max="13314" width="17.140625" customWidth="1"/>
    <col min="13315" max="13315" width="15.7109375" customWidth="1"/>
    <col min="13316" max="13316" width="12.7109375" customWidth="1"/>
    <col min="13317" max="13317" width="17.28515625" customWidth="1"/>
    <col min="13318" max="13318" width="12.7109375" customWidth="1"/>
    <col min="13319" max="13319" width="16" customWidth="1"/>
    <col min="13320" max="13320" width="15.28515625" customWidth="1"/>
    <col min="13321" max="13321" width="13.140625" customWidth="1"/>
    <col min="13569" max="13569" width="22" customWidth="1"/>
    <col min="13570" max="13570" width="17.140625" customWidth="1"/>
    <col min="13571" max="13571" width="15.7109375" customWidth="1"/>
    <col min="13572" max="13572" width="12.7109375" customWidth="1"/>
    <col min="13573" max="13573" width="17.28515625" customWidth="1"/>
    <col min="13574" max="13574" width="12.7109375" customWidth="1"/>
    <col min="13575" max="13575" width="16" customWidth="1"/>
    <col min="13576" max="13576" width="15.28515625" customWidth="1"/>
    <col min="13577" max="13577" width="13.140625" customWidth="1"/>
    <col min="13825" max="13825" width="22" customWidth="1"/>
    <col min="13826" max="13826" width="17.140625" customWidth="1"/>
    <col min="13827" max="13827" width="15.7109375" customWidth="1"/>
    <col min="13828" max="13828" width="12.7109375" customWidth="1"/>
    <col min="13829" max="13829" width="17.28515625" customWidth="1"/>
    <col min="13830" max="13830" width="12.7109375" customWidth="1"/>
    <col min="13831" max="13831" width="16" customWidth="1"/>
    <col min="13832" max="13832" width="15.28515625" customWidth="1"/>
    <col min="13833" max="13833" width="13.140625" customWidth="1"/>
    <col min="14081" max="14081" width="22" customWidth="1"/>
    <col min="14082" max="14082" width="17.140625" customWidth="1"/>
    <col min="14083" max="14083" width="15.7109375" customWidth="1"/>
    <col min="14084" max="14084" width="12.7109375" customWidth="1"/>
    <col min="14085" max="14085" width="17.28515625" customWidth="1"/>
    <col min="14086" max="14086" width="12.7109375" customWidth="1"/>
    <col min="14087" max="14087" width="16" customWidth="1"/>
    <col min="14088" max="14088" width="15.28515625" customWidth="1"/>
    <col min="14089" max="14089" width="13.140625" customWidth="1"/>
    <col min="14337" max="14337" width="22" customWidth="1"/>
    <col min="14338" max="14338" width="17.140625" customWidth="1"/>
    <col min="14339" max="14339" width="15.7109375" customWidth="1"/>
    <col min="14340" max="14340" width="12.7109375" customWidth="1"/>
    <col min="14341" max="14341" width="17.28515625" customWidth="1"/>
    <col min="14342" max="14342" width="12.7109375" customWidth="1"/>
    <col min="14343" max="14343" width="16" customWidth="1"/>
    <col min="14344" max="14344" width="15.28515625" customWidth="1"/>
    <col min="14345" max="14345" width="13.140625" customWidth="1"/>
    <col min="14593" max="14593" width="22" customWidth="1"/>
    <col min="14594" max="14594" width="17.140625" customWidth="1"/>
    <col min="14595" max="14595" width="15.7109375" customWidth="1"/>
    <col min="14596" max="14596" width="12.7109375" customWidth="1"/>
    <col min="14597" max="14597" width="17.28515625" customWidth="1"/>
    <col min="14598" max="14598" width="12.7109375" customWidth="1"/>
    <col min="14599" max="14599" width="16" customWidth="1"/>
    <col min="14600" max="14600" width="15.28515625" customWidth="1"/>
    <col min="14601" max="14601" width="13.140625" customWidth="1"/>
    <col min="14849" max="14849" width="22" customWidth="1"/>
    <col min="14850" max="14850" width="17.140625" customWidth="1"/>
    <col min="14851" max="14851" width="15.7109375" customWidth="1"/>
    <col min="14852" max="14852" width="12.7109375" customWidth="1"/>
    <col min="14853" max="14853" width="17.28515625" customWidth="1"/>
    <col min="14854" max="14854" width="12.7109375" customWidth="1"/>
    <col min="14855" max="14855" width="16" customWidth="1"/>
    <col min="14856" max="14856" width="15.28515625" customWidth="1"/>
    <col min="14857" max="14857" width="13.140625" customWidth="1"/>
    <col min="15105" max="15105" width="22" customWidth="1"/>
    <col min="15106" max="15106" width="17.140625" customWidth="1"/>
    <col min="15107" max="15107" width="15.7109375" customWidth="1"/>
    <col min="15108" max="15108" width="12.7109375" customWidth="1"/>
    <col min="15109" max="15109" width="17.28515625" customWidth="1"/>
    <col min="15110" max="15110" width="12.7109375" customWidth="1"/>
    <col min="15111" max="15111" width="16" customWidth="1"/>
    <col min="15112" max="15112" width="15.28515625" customWidth="1"/>
    <col min="15113" max="15113" width="13.140625" customWidth="1"/>
    <col min="15361" max="15361" width="22" customWidth="1"/>
    <col min="15362" max="15362" width="17.140625" customWidth="1"/>
    <col min="15363" max="15363" width="15.7109375" customWidth="1"/>
    <col min="15364" max="15364" width="12.7109375" customWidth="1"/>
    <col min="15365" max="15365" width="17.28515625" customWidth="1"/>
    <col min="15366" max="15366" width="12.7109375" customWidth="1"/>
    <col min="15367" max="15367" width="16" customWidth="1"/>
    <col min="15368" max="15368" width="15.28515625" customWidth="1"/>
    <col min="15369" max="15369" width="13.140625" customWidth="1"/>
    <col min="15617" max="15617" width="22" customWidth="1"/>
    <col min="15618" max="15618" width="17.140625" customWidth="1"/>
    <col min="15619" max="15619" width="15.7109375" customWidth="1"/>
    <col min="15620" max="15620" width="12.7109375" customWidth="1"/>
    <col min="15621" max="15621" width="17.28515625" customWidth="1"/>
    <col min="15622" max="15622" width="12.7109375" customWidth="1"/>
    <col min="15623" max="15623" width="16" customWidth="1"/>
    <col min="15624" max="15624" width="15.28515625" customWidth="1"/>
    <col min="15625" max="15625" width="13.140625" customWidth="1"/>
    <col min="15873" max="15873" width="22" customWidth="1"/>
    <col min="15874" max="15874" width="17.140625" customWidth="1"/>
    <col min="15875" max="15875" width="15.7109375" customWidth="1"/>
    <col min="15876" max="15876" width="12.7109375" customWidth="1"/>
    <col min="15877" max="15877" width="17.28515625" customWidth="1"/>
    <col min="15878" max="15878" width="12.7109375" customWidth="1"/>
    <col min="15879" max="15879" width="16" customWidth="1"/>
    <col min="15880" max="15880" width="15.28515625" customWidth="1"/>
    <col min="15881" max="15881" width="13.140625" customWidth="1"/>
    <col min="16129" max="16129" width="22" customWidth="1"/>
    <col min="16130" max="16130" width="17.140625" customWidth="1"/>
    <col min="16131" max="16131" width="15.7109375" customWidth="1"/>
    <col min="16132" max="16132" width="12.7109375" customWidth="1"/>
    <col min="16133" max="16133" width="17.28515625" customWidth="1"/>
    <col min="16134" max="16134" width="12.7109375" customWidth="1"/>
    <col min="16135" max="16135" width="16" customWidth="1"/>
    <col min="16136" max="16136" width="15.28515625" customWidth="1"/>
    <col min="16137" max="16137" width="13.140625" customWidth="1"/>
  </cols>
  <sheetData>
    <row r="1" spans="1:9" ht="15.75" x14ac:dyDescent="0.2">
      <c r="A1" s="624" t="s">
        <v>886</v>
      </c>
      <c r="B1" s="624"/>
      <c r="C1" s="624"/>
      <c r="D1" s="624"/>
      <c r="E1" s="624"/>
      <c r="F1" s="624"/>
      <c r="G1" s="624"/>
      <c r="H1" s="624"/>
      <c r="I1" s="624"/>
    </row>
    <row r="2" spans="1:9" ht="60" x14ac:dyDescent="0.2">
      <c r="A2" s="139" t="s">
        <v>222</v>
      </c>
      <c r="B2" s="139" t="s">
        <v>0</v>
      </c>
      <c r="C2" s="200" t="s">
        <v>715</v>
      </c>
      <c r="D2" s="48" t="s">
        <v>98</v>
      </c>
      <c r="E2" s="200" t="s">
        <v>99</v>
      </c>
      <c r="F2" s="48" t="s">
        <v>100</v>
      </c>
      <c r="G2" s="48" t="s">
        <v>101</v>
      </c>
      <c r="H2" s="49" t="s">
        <v>102</v>
      </c>
      <c r="I2" s="201" t="s">
        <v>103</v>
      </c>
    </row>
    <row r="3" spans="1:9" ht="63.75" customHeight="1" x14ac:dyDescent="0.2">
      <c r="A3" s="132" t="s">
        <v>887</v>
      </c>
      <c r="B3" s="13" t="s">
        <v>888</v>
      </c>
      <c r="C3" s="555">
        <v>638070</v>
      </c>
      <c r="D3" s="530">
        <v>510456</v>
      </c>
      <c r="E3" s="132" t="s">
        <v>401</v>
      </c>
      <c r="F3" s="556" t="s">
        <v>165</v>
      </c>
      <c r="G3" s="530">
        <v>510456</v>
      </c>
      <c r="H3" s="132" t="s">
        <v>889</v>
      </c>
      <c r="I3" s="532" t="s">
        <v>890</v>
      </c>
    </row>
    <row r="4" spans="1:9" ht="63.75" customHeight="1" x14ac:dyDescent="0.2">
      <c r="A4" s="132" t="s">
        <v>554</v>
      </c>
      <c r="B4" s="557" t="s">
        <v>891</v>
      </c>
      <c r="C4" s="555">
        <v>2456000</v>
      </c>
      <c r="D4" s="530">
        <v>1028000</v>
      </c>
      <c r="E4" s="132" t="s">
        <v>892</v>
      </c>
      <c r="F4" s="556" t="s">
        <v>165</v>
      </c>
      <c r="G4" s="530">
        <v>1028000</v>
      </c>
      <c r="H4" s="132" t="s">
        <v>889</v>
      </c>
      <c r="I4" s="532" t="s">
        <v>890</v>
      </c>
    </row>
    <row r="5" spans="1:9" ht="54" customHeight="1" x14ac:dyDescent="0.2">
      <c r="A5" s="132" t="s">
        <v>846</v>
      </c>
      <c r="B5" s="557" t="s">
        <v>893</v>
      </c>
      <c r="C5" s="555">
        <v>5868666.8799999999</v>
      </c>
      <c r="D5" s="530">
        <v>835732</v>
      </c>
      <c r="E5" s="132" t="s">
        <v>401</v>
      </c>
      <c r="F5" s="556" t="s">
        <v>165</v>
      </c>
      <c r="G5" s="530">
        <v>835732</v>
      </c>
      <c r="H5" s="558" t="s">
        <v>894</v>
      </c>
      <c r="I5" s="532" t="s">
        <v>890</v>
      </c>
    </row>
    <row r="6" spans="1:9" ht="51" x14ac:dyDescent="0.2">
      <c r="A6" s="132" t="s">
        <v>895</v>
      </c>
      <c r="B6" s="557" t="s">
        <v>896</v>
      </c>
      <c r="C6" s="555">
        <v>881000</v>
      </c>
      <c r="D6" s="530">
        <v>660750</v>
      </c>
      <c r="E6" s="132" t="s">
        <v>401</v>
      </c>
      <c r="F6" s="556" t="s">
        <v>165</v>
      </c>
      <c r="G6" s="530">
        <v>660750</v>
      </c>
      <c r="H6" s="132" t="s">
        <v>889</v>
      </c>
      <c r="I6" s="532" t="s">
        <v>890</v>
      </c>
    </row>
    <row r="7" spans="1:9" ht="39.75" customHeight="1" x14ac:dyDescent="0.2">
      <c r="A7" s="132" t="s">
        <v>897</v>
      </c>
      <c r="B7" s="557" t="s">
        <v>898</v>
      </c>
      <c r="C7" s="555">
        <v>189905.62</v>
      </c>
      <c r="D7" s="530">
        <v>151925</v>
      </c>
      <c r="E7" s="132" t="s">
        <v>401</v>
      </c>
      <c r="F7" s="556" t="s">
        <v>165</v>
      </c>
      <c r="G7" s="530">
        <v>151925</v>
      </c>
      <c r="H7" s="132" t="s">
        <v>889</v>
      </c>
      <c r="I7" s="532" t="s">
        <v>890</v>
      </c>
    </row>
    <row r="8" spans="1:9" x14ac:dyDescent="0.2">
      <c r="A8" s="533"/>
      <c r="B8" s="533"/>
      <c r="C8" s="559">
        <f>SUM(C3:C7)</f>
        <v>10033642.499999998</v>
      </c>
      <c r="D8" s="559">
        <f>SUM(D3:D7)</f>
        <v>3186863</v>
      </c>
      <c r="E8" s="533"/>
      <c r="F8" s="559">
        <f>SUM(F3:F7)</f>
        <v>0</v>
      </c>
      <c r="G8" s="559">
        <f>SUM(G3:G7)</f>
        <v>3186863</v>
      </c>
      <c r="H8" s="533"/>
      <c r="I8" s="533"/>
    </row>
    <row r="9" spans="1:9" s="408" customFormat="1" x14ac:dyDescent="0.2">
      <c r="A9" s="560"/>
      <c r="B9" s="560"/>
      <c r="C9" s="561"/>
      <c r="D9" s="561"/>
      <c r="E9" s="560"/>
      <c r="F9" s="561"/>
      <c r="G9" s="560"/>
      <c r="H9" s="560"/>
      <c r="I9" s="560"/>
    </row>
    <row r="10" spans="1:9" ht="15.75" x14ac:dyDescent="0.2">
      <c r="A10" s="624" t="s">
        <v>838</v>
      </c>
      <c r="B10" s="624"/>
      <c r="C10" s="624"/>
      <c r="D10" s="624"/>
      <c r="E10" s="624"/>
      <c r="F10" s="624"/>
      <c r="G10" s="624"/>
      <c r="H10" s="624"/>
      <c r="I10" s="624"/>
    </row>
    <row r="11" spans="1:9" ht="60" x14ac:dyDescent="0.2">
      <c r="A11" s="139" t="s">
        <v>222</v>
      </c>
      <c r="B11" s="139" t="s">
        <v>0</v>
      </c>
      <c r="C11" s="200" t="s">
        <v>715</v>
      </c>
      <c r="D11" s="48" t="s">
        <v>98</v>
      </c>
      <c r="E11" s="200" t="s">
        <v>99</v>
      </c>
      <c r="F11" s="48" t="s">
        <v>100</v>
      </c>
      <c r="G11" s="48" t="s">
        <v>101</v>
      </c>
      <c r="H11" s="49" t="s">
        <v>102</v>
      </c>
      <c r="I11" s="201" t="s">
        <v>103</v>
      </c>
    </row>
    <row r="12" spans="1:9" ht="42.75" customHeight="1" x14ac:dyDescent="0.2">
      <c r="A12" s="132" t="s">
        <v>173</v>
      </c>
      <c r="B12" s="13" t="s">
        <v>839</v>
      </c>
      <c r="C12" s="530">
        <v>5169660</v>
      </c>
      <c r="D12" s="530">
        <v>1008000</v>
      </c>
      <c r="E12" s="132" t="s">
        <v>401</v>
      </c>
      <c r="F12" s="562">
        <v>1008000</v>
      </c>
      <c r="G12" s="530">
        <v>0</v>
      </c>
      <c r="H12" s="132" t="s">
        <v>718</v>
      </c>
      <c r="I12" s="563" t="s">
        <v>899</v>
      </c>
    </row>
    <row r="13" spans="1:9" ht="89.25" x14ac:dyDescent="0.2">
      <c r="A13" s="132" t="s">
        <v>724</v>
      </c>
      <c r="B13" s="13" t="s">
        <v>842</v>
      </c>
      <c r="C13" s="530">
        <v>1384000</v>
      </c>
      <c r="D13" s="530">
        <v>655000</v>
      </c>
      <c r="E13" s="132" t="s">
        <v>401</v>
      </c>
      <c r="F13" s="531" t="s">
        <v>840</v>
      </c>
      <c r="G13" s="530">
        <v>655000</v>
      </c>
      <c r="H13" s="132" t="s">
        <v>718</v>
      </c>
      <c r="I13" s="532" t="s">
        <v>841</v>
      </c>
    </row>
    <row r="14" spans="1:9" ht="51" x14ac:dyDescent="0.2">
      <c r="A14" s="132" t="s">
        <v>843</v>
      </c>
      <c r="B14" s="13" t="s">
        <v>844</v>
      </c>
      <c r="C14" s="530">
        <v>5334455.18</v>
      </c>
      <c r="D14" s="530">
        <v>952482</v>
      </c>
      <c r="E14" s="132" t="s">
        <v>401</v>
      </c>
      <c r="F14" s="564">
        <v>467122.49</v>
      </c>
      <c r="G14" s="530">
        <f>D14-F14</f>
        <v>485359.51</v>
      </c>
      <c r="H14" s="132" t="s">
        <v>718</v>
      </c>
      <c r="I14" s="532" t="s">
        <v>841</v>
      </c>
    </row>
    <row r="15" spans="1:9" x14ac:dyDescent="0.2">
      <c r="A15" s="533"/>
      <c r="B15" s="533"/>
      <c r="C15" s="559">
        <f>SUM(C12:C14)</f>
        <v>11888115.18</v>
      </c>
      <c r="D15" s="559">
        <f>SUM(D12:D14)</f>
        <v>2615482</v>
      </c>
      <c r="E15" s="533"/>
      <c r="F15" s="559">
        <f>SUM(F12:F14)</f>
        <v>1475122.49</v>
      </c>
      <c r="G15" s="559">
        <f>SUM(G12:G14)</f>
        <v>1140359.51</v>
      </c>
      <c r="H15" s="533"/>
      <c r="I15" s="533"/>
    </row>
    <row r="16" spans="1:9" s="408" customFormat="1" x14ac:dyDescent="0.2">
      <c r="A16" s="560"/>
      <c r="B16" s="560"/>
      <c r="C16" s="561"/>
      <c r="D16" s="561"/>
      <c r="E16" s="560"/>
      <c r="F16" s="561"/>
      <c r="G16" s="560"/>
      <c r="H16" s="560"/>
      <c r="I16" s="560"/>
    </row>
    <row r="17" spans="1:12" ht="15.75" x14ac:dyDescent="0.2">
      <c r="A17" s="624" t="s">
        <v>714</v>
      </c>
      <c r="B17" s="624"/>
      <c r="C17" s="624"/>
      <c r="D17" s="624"/>
      <c r="E17" s="624"/>
      <c r="F17" s="624"/>
      <c r="G17" s="624"/>
      <c r="H17" s="624"/>
      <c r="I17" s="624"/>
    </row>
    <row r="18" spans="1:12" ht="60" x14ac:dyDescent="0.2">
      <c r="A18" s="139" t="s">
        <v>222</v>
      </c>
      <c r="B18" s="139" t="s">
        <v>0</v>
      </c>
      <c r="C18" s="200" t="s">
        <v>715</v>
      </c>
      <c r="D18" s="48" t="s">
        <v>98</v>
      </c>
      <c r="E18" s="200" t="s">
        <v>99</v>
      </c>
      <c r="F18" s="48" t="s">
        <v>100</v>
      </c>
      <c r="G18" s="48" t="s">
        <v>101</v>
      </c>
      <c r="H18" s="49" t="s">
        <v>102</v>
      </c>
      <c r="I18" s="201" t="s">
        <v>103</v>
      </c>
    </row>
    <row r="19" spans="1:12" ht="25.5" x14ac:dyDescent="0.2">
      <c r="A19" s="13" t="s">
        <v>716</v>
      </c>
      <c r="B19" s="13" t="s">
        <v>717</v>
      </c>
      <c r="C19" s="216">
        <v>10282248</v>
      </c>
      <c r="D19" s="216">
        <v>926000</v>
      </c>
      <c r="E19" s="204" t="s">
        <v>401</v>
      </c>
      <c r="F19" s="449">
        <v>0</v>
      </c>
      <c r="G19" s="216">
        <v>0</v>
      </c>
      <c r="H19" s="13" t="s">
        <v>594</v>
      </c>
      <c r="I19" s="219" t="s">
        <v>295</v>
      </c>
    </row>
    <row r="20" spans="1:12" ht="63.75" x14ac:dyDescent="0.2">
      <c r="A20" s="41" t="s">
        <v>719</v>
      </c>
      <c r="B20" s="24" t="s">
        <v>720</v>
      </c>
      <c r="C20" s="216">
        <v>3268280</v>
      </c>
      <c r="D20" s="216">
        <v>156000</v>
      </c>
      <c r="E20" s="204" t="s">
        <v>401</v>
      </c>
      <c r="F20" s="449">
        <v>0</v>
      </c>
      <c r="G20" s="216">
        <v>156000</v>
      </c>
      <c r="H20" s="13" t="s">
        <v>900</v>
      </c>
      <c r="I20" s="534" t="s">
        <v>901</v>
      </c>
    </row>
    <row r="21" spans="1:12" s="3" customFormat="1" ht="51" x14ac:dyDescent="0.2">
      <c r="A21" s="13" t="s">
        <v>846</v>
      </c>
      <c r="B21" s="13" t="s">
        <v>721</v>
      </c>
      <c r="C21" s="216">
        <v>5427934</v>
      </c>
      <c r="D21" s="216">
        <v>1100000</v>
      </c>
      <c r="E21" s="13" t="s">
        <v>401</v>
      </c>
      <c r="F21" s="449">
        <v>1100000</v>
      </c>
      <c r="G21" s="216">
        <v>0</v>
      </c>
      <c r="H21" s="13" t="s">
        <v>739</v>
      </c>
      <c r="I21" s="534" t="s">
        <v>902</v>
      </c>
    </row>
    <row r="22" spans="1:12" ht="38.25" x14ac:dyDescent="0.2">
      <c r="A22" s="13" t="s">
        <v>722</v>
      </c>
      <c r="B22" s="13" t="s">
        <v>723</v>
      </c>
      <c r="C22" s="216">
        <v>1100000</v>
      </c>
      <c r="D22" s="216">
        <v>24000</v>
      </c>
      <c r="E22" s="13" t="s">
        <v>401</v>
      </c>
      <c r="F22" s="449">
        <v>0</v>
      </c>
      <c r="G22" s="216">
        <v>24000</v>
      </c>
      <c r="H22" s="13" t="s">
        <v>718</v>
      </c>
      <c r="I22" s="534" t="s">
        <v>845</v>
      </c>
    </row>
    <row r="23" spans="1:12" ht="38.25" x14ac:dyDescent="0.2">
      <c r="A23" s="13" t="s">
        <v>724</v>
      </c>
      <c r="B23" s="13" t="s">
        <v>725</v>
      </c>
      <c r="C23" s="216">
        <v>951866</v>
      </c>
      <c r="D23" s="216">
        <v>696436</v>
      </c>
      <c r="E23" s="13" t="s">
        <v>401</v>
      </c>
      <c r="F23" s="449">
        <v>287574</v>
      </c>
      <c r="G23" s="216">
        <v>417862</v>
      </c>
      <c r="H23" s="13" t="s">
        <v>718</v>
      </c>
      <c r="I23" s="534" t="s">
        <v>845</v>
      </c>
    </row>
    <row r="24" spans="1:12" ht="51" x14ac:dyDescent="0.2">
      <c r="A24" s="13" t="s">
        <v>726</v>
      </c>
      <c r="B24" s="13" t="s">
        <v>727</v>
      </c>
      <c r="C24" s="216">
        <v>196171</v>
      </c>
      <c r="D24" s="216">
        <v>156936</v>
      </c>
      <c r="E24" s="13" t="s">
        <v>401</v>
      </c>
      <c r="F24" s="449">
        <v>0</v>
      </c>
      <c r="G24" s="216">
        <v>156936</v>
      </c>
      <c r="H24" s="13" t="s">
        <v>718</v>
      </c>
      <c r="I24" s="534" t="s">
        <v>845</v>
      </c>
    </row>
    <row r="25" spans="1:12" ht="38.25" x14ac:dyDescent="0.2">
      <c r="A25" s="13" t="s">
        <v>728</v>
      </c>
      <c r="B25" s="13" t="s">
        <v>729</v>
      </c>
      <c r="C25" s="216">
        <v>602312</v>
      </c>
      <c r="D25" s="216">
        <v>385000</v>
      </c>
      <c r="E25" s="13" t="s">
        <v>401</v>
      </c>
      <c r="F25" s="449">
        <v>321611.17</v>
      </c>
      <c r="G25" s="216">
        <v>0</v>
      </c>
      <c r="H25" s="13" t="s">
        <v>903</v>
      </c>
      <c r="I25" s="534" t="s">
        <v>904</v>
      </c>
    </row>
    <row r="26" spans="1:12" ht="38.25" x14ac:dyDescent="0.2">
      <c r="A26" s="13" t="s">
        <v>730</v>
      </c>
      <c r="B26" s="13" t="s">
        <v>731</v>
      </c>
      <c r="C26" s="216">
        <v>987551</v>
      </c>
      <c r="D26" s="216">
        <v>493775</v>
      </c>
      <c r="E26" s="13" t="s">
        <v>401</v>
      </c>
      <c r="F26" s="449">
        <v>493775</v>
      </c>
      <c r="G26" s="216">
        <v>0</v>
      </c>
      <c r="H26" s="13" t="s">
        <v>905</v>
      </c>
      <c r="I26" s="534" t="s">
        <v>899</v>
      </c>
    </row>
    <row r="27" spans="1:12" ht="38.25" x14ac:dyDescent="0.2">
      <c r="A27" s="13" t="s">
        <v>732</v>
      </c>
      <c r="B27" s="13" t="s">
        <v>733</v>
      </c>
      <c r="C27" s="216">
        <v>2500000</v>
      </c>
      <c r="D27" s="216">
        <v>500000</v>
      </c>
      <c r="E27" s="13" t="s">
        <v>401</v>
      </c>
      <c r="F27" s="449">
        <v>0</v>
      </c>
      <c r="G27" s="216">
        <v>500000</v>
      </c>
      <c r="H27" s="13" t="s">
        <v>847</v>
      </c>
      <c r="I27" s="534" t="s">
        <v>845</v>
      </c>
    </row>
    <row r="28" spans="1:12" ht="51" x14ac:dyDescent="0.2">
      <c r="A28" s="13" t="s">
        <v>734</v>
      </c>
      <c r="B28" s="13" t="s">
        <v>735</v>
      </c>
      <c r="C28" s="216">
        <v>250196</v>
      </c>
      <c r="D28" s="216">
        <v>200157</v>
      </c>
      <c r="E28" s="13" t="s">
        <v>401</v>
      </c>
      <c r="F28" s="449">
        <v>200157</v>
      </c>
      <c r="G28" s="216">
        <v>110040</v>
      </c>
      <c r="H28" s="13" t="s">
        <v>718</v>
      </c>
      <c r="I28" s="534" t="s">
        <v>845</v>
      </c>
    </row>
    <row r="29" spans="1:12" ht="38.25" x14ac:dyDescent="0.2">
      <c r="A29" s="13" t="s">
        <v>736</v>
      </c>
      <c r="B29" s="13" t="s">
        <v>737</v>
      </c>
      <c r="C29" s="216">
        <v>70400</v>
      </c>
      <c r="D29" s="216">
        <v>56320</v>
      </c>
      <c r="E29" s="13" t="s">
        <v>401</v>
      </c>
      <c r="F29" s="449">
        <v>56320</v>
      </c>
      <c r="G29" s="216">
        <v>0</v>
      </c>
      <c r="H29" s="13" t="s">
        <v>906</v>
      </c>
      <c r="I29" s="534" t="s">
        <v>848</v>
      </c>
    </row>
    <row r="30" spans="1:12" x14ac:dyDescent="0.2">
      <c r="A30" s="144"/>
      <c r="B30" s="144"/>
      <c r="C30" s="151">
        <f>SUM(C19:C29)</f>
        <v>25636958</v>
      </c>
      <c r="D30" s="151">
        <f>SUM(D19:D29)</f>
        <v>4694624</v>
      </c>
      <c r="E30" s="151"/>
      <c r="F30" s="151">
        <f>SUM(F19:F29)</f>
        <v>2459437.17</v>
      </c>
      <c r="G30" s="151">
        <f>SUM(G19:G29)</f>
        <v>1364838</v>
      </c>
      <c r="H30" s="145"/>
      <c r="I30" s="145"/>
    </row>
    <row r="32" spans="1:12" ht="15.75" x14ac:dyDescent="0.2">
      <c r="A32" s="624" t="s">
        <v>582</v>
      </c>
      <c r="B32" s="624"/>
      <c r="C32" s="624"/>
      <c r="D32" s="624"/>
      <c r="E32" s="624"/>
      <c r="F32" s="624"/>
      <c r="G32" s="624"/>
      <c r="H32" s="624"/>
      <c r="I32" s="624"/>
      <c r="J32" s="138"/>
      <c r="K32" s="138"/>
      <c r="L32" s="138"/>
    </row>
    <row r="33" spans="1:12" ht="45" x14ac:dyDescent="0.2">
      <c r="A33" s="139" t="s">
        <v>222</v>
      </c>
      <c r="B33" s="139" t="s">
        <v>0</v>
      </c>
      <c r="C33" s="200" t="s">
        <v>1</v>
      </c>
      <c r="D33" s="48" t="s">
        <v>98</v>
      </c>
      <c r="E33" s="200" t="s">
        <v>99</v>
      </c>
      <c r="F33" s="48" t="s">
        <v>100</v>
      </c>
      <c r="G33" s="48" t="s">
        <v>101</v>
      </c>
      <c r="H33" s="49" t="s">
        <v>102</v>
      </c>
      <c r="I33" s="201" t="s">
        <v>103</v>
      </c>
    </row>
    <row r="34" spans="1:12" ht="51" x14ac:dyDescent="0.2">
      <c r="A34" s="13" t="s">
        <v>583</v>
      </c>
      <c r="B34" s="13" t="s">
        <v>584</v>
      </c>
      <c r="C34" s="216">
        <v>450000</v>
      </c>
      <c r="D34" s="217">
        <v>165600</v>
      </c>
      <c r="E34" s="204" t="s">
        <v>401</v>
      </c>
      <c r="F34" s="218">
        <v>0</v>
      </c>
      <c r="G34" s="217">
        <v>0</v>
      </c>
      <c r="H34" s="13" t="s">
        <v>738</v>
      </c>
      <c r="I34" s="219" t="s">
        <v>295</v>
      </c>
    </row>
    <row r="35" spans="1:12" s="3" customFormat="1" ht="38.25" x14ac:dyDescent="0.2">
      <c r="A35" s="41" t="s">
        <v>585</v>
      </c>
      <c r="B35" s="24" t="s">
        <v>586</v>
      </c>
      <c r="C35" s="216">
        <v>419375</v>
      </c>
      <c r="D35" s="217">
        <v>200000</v>
      </c>
      <c r="E35" s="204" t="s">
        <v>401</v>
      </c>
      <c r="F35" s="218">
        <v>0</v>
      </c>
      <c r="G35" s="216">
        <v>0</v>
      </c>
      <c r="H35" s="13" t="s">
        <v>594</v>
      </c>
      <c r="I35" s="219" t="s">
        <v>295</v>
      </c>
    </row>
    <row r="36" spans="1:12" ht="89.25" x14ac:dyDescent="0.2">
      <c r="A36" s="13" t="s">
        <v>587</v>
      </c>
      <c r="B36" s="13" t="s">
        <v>588</v>
      </c>
      <c r="C36" s="216">
        <v>706050</v>
      </c>
      <c r="D36" s="217">
        <v>556050</v>
      </c>
      <c r="E36" s="13" t="s">
        <v>589</v>
      </c>
      <c r="F36" s="218">
        <v>556050</v>
      </c>
      <c r="G36" s="217">
        <v>0</v>
      </c>
      <c r="H36" s="13" t="s">
        <v>114</v>
      </c>
      <c r="I36" s="450" t="s">
        <v>849</v>
      </c>
    </row>
    <row r="37" spans="1:12" s="3" customFormat="1" ht="63.75" x14ac:dyDescent="0.2">
      <c r="A37" s="13" t="s">
        <v>590</v>
      </c>
      <c r="B37" s="13" t="s">
        <v>591</v>
      </c>
      <c r="C37" s="216">
        <v>119306</v>
      </c>
      <c r="D37" s="217">
        <v>95445</v>
      </c>
      <c r="E37" s="13" t="s">
        <v>401</v>
      </c>
      <c r="F37" s="218">
        <v>95445</v>
      </c>
      <c r="G37" s="216">
        <v>0</v>
      </c>
      <c r="H37" s="13" t="s">
        <v>485</v>
      </c>
      <c r="I37" s="534" t="s">
        <v>907</v>
      </c>
      <c r="J37" s="357"/>
    </row>
    <row r="38" spans="1:12" s="3" customFormat="1" ht="38.25" x14ac:dyDescent="0.2">
      <c r="A38" s="13" t="s">
        <v>592</v>
      </c>
      <c r="B38" s="13" t="s">
        <v>593</v>
      </c>
      <c r="C38" s="216">
        <v>350356</v>
      </c>
      <c r="D38" s="217">
        <v>280285</v>
      </c>
      <c r="E38" s="13" t="s">
        <v>401</v>
      </c>
      <c r="F38" s="218">
        <v>228800</v>
      </c>
      <c r="G38" s="216">
        <v>0</v>
      </c>
      <c r="H38" s="13" t="s">
        <v>908</v>
      </c>
      <c r="I38" s="534" t="s">
        <v>848</v>
      </c>
      <c r="J38" s="357"/>
    </row>
    <row r="39" spans="1:12" x14ac:dyDescent="0.2">
      <c r="A39" s="144"/>
      <c r="B39" s="144"/>
      <c r="C39" s="151">
        <f>SUM(C34:C38)</f>
        <v>2045087</v>
      </c>
      <c r="D39" s="151">
        <f>SUM(D34:D38)</f>
        <v>1297380</v>
      </c>
      <c r="E39" s="151"/>
      <c r="F39" s="151">
        <f>SUM(F34:F38)</f>
        <v>880295</v>
      </c>
      <c r="G39" s="151">
        <f>SUM(G34:G38)</f>
        <v>0</v>
      </c>
      <c r="H39" s="145"/>
      <c r="I39" s="145"/>
    </row>
    <row r="40" spans="1:12" s="3" customFormat="1" x14ac:dyDescent="0.2">
      <c r="A40" s="355"/>
      <c r="B40" s="355"/>
      <c r="C40" s="250"/>
      <c r="D40" s="250"/>
      <c r="E40" s="250"/>
      <c r="F40" s="250"/>
      <c r="G40" s="250"/>
      <c r="H40" s="356"/>
      <c r="I40" s="356"/>
    </row>
    <row r="41" spans="1:12" ht="15.75" x14ac:dyDescent="0.2">
      <c r="A41" s="624" t="s">
        <v>470</v>
      </c>
      <c r="B41" s="624"/>
      <c r="C41" s="624"/>
      <c r="D41" s="624"/>
      <c r="E41" s="624"/>
      <c r="F41" s="624"/>
      <c r="G41" s="624"/>
      <c r="H41" s="624"/>
      <c r="I41" s="624"/>
      <c r="J41" s="138"/>
      <c r="K41" s="138"/>
      <c r="L41" s="138"/>
    </row>
    <row r="42" spans="1:12" ht="45" x14ac:dyDescent="0.2">
      <c r="A42" s="139" t="s">
        <v>222</v>
      </c>
      <c r="B42" s="139" t="s">
        <v>0</v>
      </c>
      <c r="C42" s="200" t="s">
        <v>1</v>
      </c>
      <c r="D42" s="48" t="s">
        <v>98</v>
      </c>
      <c r="E42" s="200" t="s">
        <v>99</v>
      </c>
      <c r="F42" s="48" t="s">
        <v>100</v>
      </c>
      <c r="G42" s="48" t="s">
        <v>101</v>
      </c>
      <c r="H42" s="49" t="s">
        <v>102</v>
      </c>
      <c r="I42" s="201" t="s">
        <v>103</v>
      </c>
    </row>
    <row r="43" spans="1:12" s="3" customFormat="1" ht="38.25" x14ac:dyDescent="0.2">
      <c r="A43" s="13" t="s">
        <v>471</v>
      </c>
      <c r="B43" s="10" t="s">
        <v>472</v>
      </c>
      <c r="C43" s="216">
        <v>654315</v>
      </c>
      <c r="D43" s="217">
        <v>523452</v>
      </c>
      <c r="E43" s="202" t="s">
        <v>473</v>
      </c>
      <c r="F43" s="217">
        <v>523452</v>
      </c>
      <c r="G43" s="217">
        <v>0</v>
      </c>
      <c r="H43" s="13" t="s">
        <v>243</v>
      </c>
      <c r="I43" s="219">
        <v>43174</v>
      </c>
    </row>
    <row r="44" spans="1:12" ht="25.5" x14ac:dyDescent="0.2">
      <c r="A44" s="41" t="s">
        <v>474</v>
      </c>
      <c r="B44" s="24" t="s">
        <v>475</v>
      </c>
      <c r="C44" s="216">
        <v>9614000</v>
      </c>
      <c r="D44" s="217">
        <v>500000</v>
      </c>
      <c r="E44" s="204" t="s">
        <v>401</v>
      </c>
      <c r="F44" s="218">
        <v>0</v>
      </c>
      <c r="G44" s="216">
        <v>0</v>
      </c>
      <c r="H44" s="13" t="s">
        <v>594</v>
      </c>
      <c r="I44" s="219" t="s">
        <v>295</v>
      </c>
    </row>
    <row r="45" spans="1:12" s="3" customFormat="1" ht="38.25" x14ac:dyDescent="0.2">
      <c r="A45" s="13" t="s">
        <v>476</v>
      </c>
      <c r="B45" s="13" t="s">
        <v>477</v>
      </c>
      <c r="C45" s="216">
        <v>10000000</v>
      </c>
      <c r="D45" s="217">
        <v>1700000</v>
      </c>
      <c r="E45" s="13" t="s">
        <v>401</v>
      </c>
      <c r="F45" s="218">
        <v>0</v>
      </c>
      <c r="G45" s="217">
        <v>1700000</v>
      </c>
      <c r="H45" s="13" t="s">
        <v>850</v>
      </c>
      <c r="I45" s="534" t="s">
        <v>851</v>
      </c>
    </row>
    <row r="46" spans="1:12" s="3" customFormat="1" ht="25.5" x14ac:dyDescent="0.2">
      <c r="A46" s="13" t="s">
        <v>478</v>
      </c>
      <c r="B46" s="13" t="s">
        <v>479</v>
      </c>
      <c r="C46" s="216">
        <v>2100000</v>
      </c>
      <c r="D46" s="217">
        <v>1600000</v>
      </c>
      <c r="E46" s="10" t="s">
        <v>473</v>
      </c>
      <c r="F46" s="218">
        <v>0</v>
      </c>
      <c r="G46" s="216">
        <v>1600000</v>
      </c>
      <c r="H46" s="13" t="s">
        <v>909</v>
      </c>
      <c r="I46" s="219" t="s">
        <v>295</v>
      </c>
      <c r="J46" s="357"/>
    </row>
    <row r="47" spans="1:12" s="3" customFormat="1" ht="25.5" x14ac:dyDescent="0.2">
      <c r="A47" s="13" t="s">
        <v>480</v>
      </c>
      <c r="B47" s="13" t="s">
        <v>481</v>
      </c>
      <c r="C47" s="216">
        <v>286000</v>
      </c>
      <c r="D47" s="217">
        <v>228800</v>
      </c>
      <c r="E47" s="10" t="s">
        <v>473</v>
      </c>
      <c r="F47" s="218">
        <v>228800</v>
      </c>
      <c r="G47" s="216">
        <v>0</v>
      </c>
      <c r="H47" s="13" t="s">
        <v>739</v>
      </c>
      <c r="I47" s="219" t="s">
        <v>899</v>
      </c>
      <c r="J47" s="357"/>
    </row>
    <row r="48" spans="1:12" s="357" customFormat="1" ht="38.25" x14ac:dyDescent="0.2">
      <c r="A48" s="13" t="s">
        <v>482</v>
      </c>
      <c r="B48" s="13" t="s">
        <v>483</v>
      </c>
      <c r="C48" s="216">
        <v>130000</v>
      </c>
      <c r="D48" s="216">
        <v>100000</v>
      </c>
      <c r="E48" s="13" t="s">
        <v>484</v>
      </c>
      <c r="F48" s="449">
        <v>95796.41</v>
      </c>
      <c r="G48" s="216">
        <v>0</v>
      </c>
      <c r="H48" s="13" t="s">
        <v>852</v>
      </c>
      <c r="I48" s="219">
        <v>42467</v>
      </c>
    </row>
    <row r="49" spans="1:12" x14ac:dyDescent="0.2">
      <c r="A49" s="144"/>
      <c r="B49" s="144"/>
      <c r="C49" s="151">
        <f>SUM(C43:C48)</f>
        <v>22784315</v>
      </c>
      <c r="D49" s="151">
        <f>SUM(D43:D48)</f>
        <v>4652252</v>
      </c>
      <c r="E49" s="151"/>
      <c r="F49" s="151">
        <f>SUM(F43:F48)</f>
        <v>848048.41</v>
      </c>
      <c r="G49" s="151">
        <f>SUM(G43:G48)</f>
        <v>3300000</v>
      </c>
      <c r="H49" s="145"/>
      <c r="I49" s="145"/>
    </row>
    <row r="50" spans="1:12" ht="15.75" x14ac:dyDescent="0.2">
      <c r="A50" s="628" t="s">
        <v>396</v>
      </c>
      <c r="B50" s="628"/>
      <c r="C50" s="628"/>
      <c r="D50" s="628"/>
      <c r="E50" s="628"/>
      <c r="F50" s="628"/>
      <c r="G50" s="628"/>
      <c r="H50" s="628"/>
      <c r="I50" s="628"/>
      <c r="J50" s="138"/>
      <c r="K50" s="138"/>
      <c r="L50" s="138"/>
    </row>
    <row r="51" spans="1:12" ht="45" x14ac:dyDescent="0.2">
      <c r="A51" s="139" t="s">
        <v>222</v>
      </c>
      <c r="B51" s="139" t="s">
        <v>0</v>
      </c>
      <c r="C51" s="200" t="s">
        <v>1</v>
      </c>
      <c r="D51" s="48" t="s">
        <v>98</v>
      </c>
      <c r="E51" s="200" t="s">
        <v>99</v>
      </c>
      <c r="F51" s="48" t="s">
        <v>100</v>
      </c>
      <c r="G51" s="48" t="s">
        <v>101</v>
      </c>
      <c r="H51" s="49" t="s">
        <v>102</v>
      </c>
      <c r="I51" s="201" t="s">
        <v>103</v>
      </c>
    </row>
    <row r="52" spans="1:12" ht="25.5" x14ac:dyDescent="0.2">
      <c r="A52" s="11" t="s">
        <v>397</v>
      </c>
      <c r="B52" s="2" t="s">
        <v>398</v>
      </c>
      <c r="C52" s="216">
        <v>150000000</v>
      </c>
      <c r="D52" s="146">
        <v>324000</v>
      </c>
      <c r="E52" s="202" t="s">
        <v>227</v>
      </c>
      <c r="F52" s="133">
        <v>324000</v>
      </c>
      <c r="G52" s="140">
        <v>0</v>
      </c>
      <c r="H52" s="11" t="s">
        <v>114</v>
      </c>
      <c r="I52" s="203">
        <v>42109</v>
      </c>
    </row>
    <row r="53" spans="1:12" ht="25.5" x14ac:dyDescent="0.2">
      <c r="A53" s="197" t="s">
        <v>399</v>
      </c>
      <c r="B53" s="24" t="s">
        <v>400</v>
      </c>
      <c r="C53" s="216">
        <v>14832000</v>
      </c>
      <c r="D53" s="146">
        <v>419000</v>
      </c>
      <c r="E53" s="204" t="s">
        <v>401</v>
      </c>
      <c r="F53" s="133">
        <v>419000</v>
      </c>
      <c r="G53" s="141">
        <v>0</v>
      </c>
      <c r="H53" s="11" t="s">
        <v>114</v>
      </c>
      <c r="I53" s="203">
        <v>41801</v>
      </c>
    </row>
    <row r="54" spans="1:12" s="137" customFormat="1" ht="25.5" x14ac:dyDescent="0.2">
      <c r="A54" s="11" t="s">
        <v>402</v>
      </c>
      <c r="B54" s="11" t="s">
        <v>403</v>
      </c>
      <c r="C54" s="216">
        <v>30000000</v>
      </c>
      <c r="D54" s="150">
        <v>108000</v>
      </c>
      <c r="E54" s="13" t="s">
        <v>401</v>
      </c>
      <c r="F54" s="153">
        <v>0</v>
      </c>
      <c r="G54" s="141">
        <v>0</v>
      </c>
      <c r="H54" s="11" t="s">
        <v>740</v>
      </c>
      <c r="I54" s="219" t="s">
        <v>295</v>
      </c>
    </row>
    <row r="55" spans="1:12" x14ac:dyDescent="0.2">
      <c r="A55" s="11" t="s">
        <v>404</v>
      </c>
      <c r="B55" s="11" t="s">
        <v>405</v>
      </c>
      <c r="C55" s="216">
        <v>24000000</v>
      </c>
      <c r="D55" s="146">
        <v>1450000</v>
      </c>
      <c r="E55" s="10" t="s">
        <v>401</v>
      </c>
      <c r="F55" s="133">
        <v>1450000</v>
      </c>
      <c r="G55" s="141">
        <v>0</v>
      </c>
      <c r="H55" s="11" t="s">
        <v>114</v>
      </c>
      <c r="I55" s="205">
        <v>42325</v>
      </c>
      <c r="J55" s="137"/>
    </row>
    <row r="56" spans="1:12" x14ac:dyDescent="0.2">
      <c r="A56" s="11" t="s">
        <v>406</v>
      </c>
      <c r="B56" s="11" t="s">
        <v>407</v>
      </c>
      <c r="C56" s="216">
        <v>2840000</v>
      </c>
      <c r="D56" s="146">
        <v>725000</v>
      </c>
      <c r="E56" s="10" t="s">
        <v>401</v>
      </c>
      <c r="F56" s="133">
        <v>725000</v>
      </c>
      <c r="G56" s="141">
        <v>0</v>
      </c>
      <c r="H56" s="11" t="s">
        <v>114</v>
      </c>
      <c r="I56" s="205">
        <v>42143</v>
      </c>
      <c r="J56" s="137"/>
    </row>
    <row r="57" spans="1:12" ht="25.5" x14ac:dyDescent="0.2">
      <c r="A57" s="11" t="s">
        <v>408</v>
      </c>
      <c r="B57" s="11" t="s">
        <v>233</v>
      </c>
      <c r="C57" s="216">
        <v>118000</v>
      </c>
      <c r="D57" s="146">
        <v>94400</v>
      </c>
      <c r="E57" s="10" t="s">
        <v>223</v>
      </c>
      <c r="F57" s="133">
        <v>92568</v>
      </c>
      <c r="G57" s="141">
        <v>0</v>
      </c>
      <c r="H57" s="11" t="s">
        <v>741</v>
      </c>
      <c r="I57" s="205">
        <v>42370</v>
      </c>
    </row>
    <row r="58" spans="1:12" x14ac:dyDescent="0.2">
      <c r="A58" s="144"/>
      <c r="B58" s="144"/>
      <c r="C58" s="151">
        <f>SUM(C52:C57)</f>
        <v>221790000</v>
      </c>
      <c r="D58" s="151">
        <f>SUM(D52:D57)</f>
        <v>3120400</v>
      </c>
      <c r="E58" s="151"/>
      <c r="F58" s="151">
        <f>SUM(F52:F57)</f>
        <v>3010568</v>
      </c>
      <c r="G58" s="151">
        <f>SUM(G52:G57)</f>
        <v>0</v>
      </c>
      <c r="H58" s="145"/>
      <c r="I58" s="145"/>
    </row>
    <row r="60" spans="1:12" s="138" customFormat="1" ht="15.75" x14ac:dyDescent="0.2">
      <c r="A60" s="624" t="s">
        <v>224</v>
      </c>
      <c r="B60" s="624"/>
      <c r="C60" s="624"/>
      <c r="D60" s="624"/>
      <c r="E60" s="624"/>
      <c r="F60" s="624"/>
      <c r="G60" s="624"/>
      <c r="H60" s="624"/>
      <c r="I60" s="624"/>
    </row>
    <row r="61" spans="1:12" ht="45" x14ac:dyDescent="0.2">
      <c r="A61" s="139" t="s">
        <v>222</v>
      </c>
      <c r="B61" s="139" t="s">
        <v>0</v>
      </c>
      <c r="C61" s="48" t="s">
        <v>1</v>
      </c>
      <c r="D61" s="48" t="s">
        <v>98</v>
      </c>
      <c r="E61" s="48" t="s">
        <v>99</v>
      </c>
      <c r="F61" s="48" t="s">
        <v>100</v>
      </c>
      <c r="G61" s="48" t="s">
        <v>101</v>
      </c>
      <c r="H61" s="49" t="s">
        <v>102</v>
      </c>
      <c r="I61" s="49" t="s">
        <v>103</v>
      </c>
    </row>
    <row r="62" spans="1:12" x14ac:dyDescent="0.2">
      <c r="A62" s="11" t="s">
        <v>225</v>
      </c>
      <c r="B62" s="2" t="s">
        <v>226</v>
      </c>
      <c r="C62" s="146">
        <v>2840400</v>
      </c>
      <c r="D62" s="146">
        <v>1500000</v>
      </c>
      <c r="E62" s="132" t="s">
        <v>227</v>
      </c>
      <c r="F62" s="133">
        <v>1500000</v>
      </c>
      <c r="G62" s="150">
        <v>0</v>
      </c>
      <c r="H62" s="11" t="s">
        <v>114</v>
      </c>
      <c r="I62" s="134">
        <v>41744</v>
      </c>
    </row>
    <row r="63" spans="1:12" s="3" customFormat="1" ht="25.5" x14ac:dyDescent="0.2">
      <c r="A63" s="13" t="s">
        <v>228</v>
      </c>
      <c r="B63" s="24" t="s">
        <v>229</v>
      </c>
      <c r="C63" s="217">
        <v>5711369</v>
      </c>
      <c r="D63" s="217">
        <v>900000</v>
      </c>
      <c r="E63" s="204" t="s">
        <v>223</v>
      </c>
      <c r="F63" s="218">
        <v>0</v>
      </c>
      <c r="G63" s="216">
        <v>900000</v>
      </c>
      <c r="H63" s="13" t="s">
        <v>910</v>
      </c>
      <c r="I63" s="219" t="s">
        <v>911</v>
      </c>
    </row>
    <row r="64" spans="1:12" x14ac:dyDescent="0.2">
      <c r="A64" s="11" t="s">
        <v>230</v>
      </c>
      <c r="B64" s="11" t="s">
        <v>231</v>
      </c>
      <c r="C64" s="150">
        <v>4397880</v>
      </c>
      <c r="D64" s="146">
        <v>1116000</v>
      </c>
      <c r="E64" s="11" t="s">
        <v>227</v>
      </c>
      <c r="F64" s="133">
        <v>1116000</v>
      </c>
      <c r="G64" s="140">
        <v>0</v>
      </c>
      <c r="H64" s="11" t="s">
        <v>114</v>
      </c>
      <c r="I64" s="134">
        <v>42399</v>
      </c>
    </row>
    <row r="65" spans="1:9" s="357" customFormat="1" ht="25.5" x14ac:dyDescent="0.2">
      <c r="A65" s="13" t="s">
        <v>232</v>
      </c>
      <c r="B65" s="13" t="s">
        <v>233</v>
      </c>
      <c r="C65" s="216">
        <v>50000</v>
      </c>
      <c r="D65" s="216">
        <v>40000</v>
      </c>
      <c r="E65" s="13" t="s">
        <v>223</v>
      </c>
      <c r="F65" s="449">
        <v>17542.78</v>
      </c>
      <c r="G65" s="216">
        <v>22457.22</v>
      </c>
      <c r="H65" s="13" t="s">
        <v>912</v>
      </c>
      <c r="I65" s="219">
        <v>43196</v>
      </c>
    </row>
    <row r="66" spans="1:9" ht="25.5" x14ac:dyDescent="0.2">
      <c r="A66" s="13" t="s">
        <v>234</v>
      </c>
      <c r="B66" s="13" t="s">
        <v>233</v>
      </c>
      <c r="C66" s="217">
        <v>125000</v>
      </c>
      <c r="D66" s="217">
        <v>100000</v>
      </c>
      <c r="E66" s="10" t="s">
        <v>223</v>
      </c>
      <c r="F66" s="218">
        <v>98824.2</v>
      </c>
      <c r="G66" s="216">
        <v>0</v>
      </c>
      <c r="H66" s="13" t="s">
        <v>742</v>
      </c>
      <c r="I66" s="205">
        <v>41914</v>
      </c>
    </row>
    <row r="67" spans="1:9" x14ac:dyDescent="0.2">
      <c r="A67" s="11" t="s">
        <v>235</v>
      </c>
      <c r="B67" s="11" t="s">
        <v>233</v>
      </c>
      <c r="C67" s="146">
        <v>125000</v>
      </c>
      <c r="D67" s="146">
        <v>100000</v>
      </c>
      <c r="E67" s="2" t="s">
        <v>223</v>
      </c>
      <c r="F67" s="133">
        <v>100000</v>
      </c>
      <c r="G67" s="150">
        <v>0</v>
      </c>
      <c r="H67" s="11" t="s">
        <v>743</v>
      </c>
      <c r="I67" s="206">
        <v>41913</v>
      </c>
    </row>
    <row r="68" spans="1:9" x14ac:dyDescent="0.2">
      <c r="A68" s="11" t="s">
        <v>236</v>
      </c>
      <c r="B68" s="11" t="s">
        <v>233</v>
      </c>
      <c r="C68" s="146">
        <v>98000</v>
      </c>
      <c r="D68" s="146">
        <v>78400</v>
      </c>
      <c r="E68" s="2" t="s">
        <v>223</v>
      </c>
      <c r="F68" s="133">
        <v>78400</v>
      </c>
      <c r="G68" s="150">
        <v>0</v>
      </c>
      <c r="H68" s="11" t="s">
        <v>743</v>
      </c>
      <c r="I68" s="206">
        <v>41919</v>
      </c>
    </row>
    <row r="69" spans="1:9" ht="25.5" x14ac:dyDescent="0.2">
      <c r="A69" s="11" t="s">
        <v>237</v>
      </c>
      <c r="B69" s="11" t="s">
        <v>233</v>
      </c>
      <c r="C69" s="146">
        <v>100000</v>
      </c>
      <c r="D69" s="146">
        <v>80000</v>
      </c>
      <c r="E69" s="11" t="s">
        <v>223</v>
      </c>
      <c r="F69" s="133">
        <v>0</v>
      </c>
      <c r="G69" s="150">
        <v>0</v>
      </c>
      <c r="H69" s="11" t="s">
        <v>594</v>
      </c>
      <c r="I69" s="220" t="s">
        <v>295</v>
      </c>
    </row>
    <row r="70" spans="1:9" s="3" customFormat="1" x14ac:dyDescent="0.2">
      <c r="A70" s="13" t="s">
        <v>238</v>
      </c>
      <c r="B70" s="13" t="s">
        <v>233</v>
      </c>
      <c r="C70" s="217">
        <v>350000</v>
      </c>
      <c r="D70" s="217">
        <v>100000</v>
      </c>
      <c r="E70" s="10" t="s">
        <v>223</v>
      </c>
      <c r="F70" s="218">
        <v>0</v>
      </c>
      <c r="G70" s="216">
        <v>100000</v>
      </c>
      <c r="H70" s="13" t="s">
        <v>913</v>
      </c>
      <c r="I70" s="205" t="s">
        <v>899</v>
      </c>
    </row>
    <row r="71" spans="1:9" x14ac:dyDescent="0.2">
      <c r="A71" s="144"/>
      <c r="B71" s="144"/>
      <c r="C71" s="151">
        <f>SUM(C62:C70)</f>
        <v>13797649</v>
      </c>
      <c r="D71" s="151">
        <f>SUM(D62:D70)</f>
        <v>4014400</v>
      </c>
      <c r="E71" s="151"/>
      <c r="F71" s="151">
        <f>SUM(F62:F70)</f>
        <v>2910766.98</v>
      </c>
      <c r="G71" s="151">
        <f>SUM(G62:G70)</f>
        <v>1022457.22</v>
      </c>
      <c r="H71" s="144"/>
      <c r="I71" s="135"/>
    </row>
    <row r="73" spans="1:9" ht="15.75" x14ac:dyDescent="0.2">
      <c r="A73" s="624" t="s">
        <v>239</v>
      </c>
      <c r="B73" s="624"/>
      <c r="C73" s="624"/>
      <c r="D73" s="624"/>
      <c r="E73" s="624"/>
      <c r="F73" s="624"/>
      <c r="G73" s="624"/>
      <c r="H73" s="624"/>
      <c r="I73" s="624"/>
    </row>
    <row r="74" spans="1:9" ht="45" x14ac:dyDescent="0.2">
      <c r="A74" s="139" t="s">
        <v>222</v>
      </c>
      <c r="B74" s="139" t="s">
        <v>0</v>
      </c>
      <c r="C74" s="48" t="s">
        <v>1</v>
      </c>
      <c r="D74" s="48" t="s">
        <v>98</v>
      </c>
      <c r="E74" s="48" t="s">
        <v>99</v>
      </c>
      <c r="F74" s="48" t="s">
        <v>100</v>
      </c>
      <c r="G74" s="48" t="s">
        <v>101</v>
      </c>
      <c r="H74" s="49" t="s">
        <v>102</v>
      </c>
      <c r="I74" s="49" t="s">
        <v>103</v>
      </c>
    </row>
    <row r="75" spans="1:9" s="357" customFormat="1" ht="25.5" x14ac:dyDescent="0.2">
      <c r="A75" s="13" t="s">
        <v>240</v>
      </c>
      <c r="B75" s="13" t="s">
        <v>231</v>
      </c>
      <c r="C75" s="216">
        <v>197435</v>
      </c>
      <c r="D75" s="451">
        <v>157948</v>
      </c>
      <c r="E75" s="204" t="s">
        <v>227</v>
      </c>
      <c r="F75" s="449">
        <v>87025.34</v>
      </c>
      <c r="G75" s="216">
        <v>0</v>
      </c>
      <c r="H75" s="13" t="s">
        <v>853</v>
      </c>
      <c r="I75" s="452">
        <v>42452</v>
      </c>
    </row>
    <row r="76" spans="1:9" s="357" customFormat="1" ht="25.5" x14ac:dyDescent="0.2">
      <c r="A76" s="13" t="s">
        <v>241</v>
      </c>
      <c r="B76" s="13" t="s">
        <v>231</v>
      </c>
      <c r="C76" s="216">
        <v>1758922</v>
      </c>
      <c r="D76" s="224">
        <v>705621</v>
      </c>
      <c r="E76" s="204" t="s">
        <v>223</v>
      </c>
      <c r="F76" s="449">
        <v>477295</v>
      </c>
      <c r="G76" s="216">
        <v>0</v>
      </c>
      <c r="H76" s="13" t="s">
        <v>744</v>
      </c>
      <c r="I76" s="452">
        <v>42809</v>
      </c>
    </row>
    <row r="77" spans="1:9" x14ac:dyDescent="0.2">
      <c r="A77" s="2" t="s">
        <v>242</v>
      </c>
      <c r="B77" s="2" t="s">
        <v>231</v>
      </c>
      <c r="C77" s="146">
        <v>771818</v>
      </c>
      <c r="D77" s="148">
        <v>617454</v>
      </c>
      <c r="E77" s="2" t="s">
        <v>223</v>
      </c>
      <c r="F77" s="530">
        <v>617454</v>
      </c>
      <c r="G77" s="149">
        <v>0</v>
      </c>
      <c r="H77" s="11" t="s">
        <v>114</v>
      </c>
      <c r="I77" s="142">
        <v>41016</v>
      </c>
    </row>
    <row r="78" spans="1:9" x14ac:dyDescent="0.2">
      <c r="A78" s="10" t="s">
        <v>244</v>
      </c>
      <c r="B78" s="10" t="s">
        <v>226</v>
      </c>
      <c r="C78" s="217">
        <v>3200000</v>
      </c>
      <c r="D78" s="223">
        <v>1613596</v>
      </c>
      <c r="E78" s="10" t="s">
        <v>227</v>
      </c>
      <c r="F78" s="218">
        <v>0</v>
      </c>
      <c r="G78" s="217">
        <v>0</v>
      </c>
      <c r="H78" s="13" t="s">
        <v>114</v>
      </c>
      <c r="I78" s="222">
        <v>41744</v>
      </c>
    </row>
    <row r="79" spans="1:9" ht="25.5" x14ac:dyDescent="0.2">
      <c r="A79" s="2" t="s">
        <v>245</v>
      </c>
      <c r="B79" s="2" t="s">
        <v>246</v>
      </c>
      <c r="C79" s="146">
        <v>358525</v>
      </c>
      <c r="D79" s="148">
        <v>72000</v>
      </c>
      <c r="E79" s="2" t="s">
        <v>223</v>
      </c>
      <c r="F79" s="133">
        <v>0</v>
      </c>
      <c r="G79" s="146">
        <v>0</v>
      </c>
      <c r="H79" s="11" t="s">
        <v>249</v>
      </c>
      <c r="I79" s="142" t="s">
        <v>250</v>
      </c>
    </row>
    <row r="80" spans="1:9" ht="25.5" x14ac:dyDescent="0.2">
      <c r="A80" s="2" t="s">
        <v>247</v>
      </c>
      <c r="B80" s="2" t="s">
        <v>248</v>
      </c>
      <c r="C80" s="146">
        <v>2500000</v>
      </c>
      <c r="D80" s="148">
        <v>1000000</v>
      </c>
      <c r="E80" s="2" t="s">
        <v>227</v>
      </c>
      <c r="F80" s="133">
        <v>0</v>
      </c>
      <c r="G80" s="150">
        <v>0</v>
      </c>
      <c r="H80" s="11" t="s">
        <v>249</v>
      </c>
      <c r="I80" s="143" t="s">
        <v>250</v>
      </c>
    </row>
    <row r="81" spans="1:9" x14ac:dyDescent="0.2">
      <c r="A81" s="11" t="s">
        <v>251</v>
      </c>
      <c r="B81" s="11" t="s">
        <v>248</v>
      </c>
      <c r="C81" s="146">
        <v>1900000</v>
      </c>
      <c r="D81" s="148">
        <v>400000</v>
      </c>
      <c r="E81" s="11" t="s">
        <v>223</v>
      </c>
      <c r="F81" s="133">
        <v>400000</v>
      </c>
      <c r="G81" s="146">
        <v>0</v>
      </c>
      <c r="H81" s="11" t="s">
        <v>114</v>
      </c>
      <c r="I81" s="143">
        <v>41025</v>
      </c>
    </row>
    <row r="82" spans="1:9" x14ac:dyDescent="0.2">
      <c r="A82" s="11" t="s">
        <v>252</v>
      </c>
      <c r="B82" s="11" t="s">
        <v>231</v>
      </c>
      <c r="C82" s="150" t="s">
        <v>253</v>
      </c>
      <c r="D82" s="148">
        <v>218652</v>
      </c>
      <c r="E82" s="11" t="s">
        <v>227</v>
      </c>
      <c r="F82" s="133">
        <v>218652</v>
      </c>
      <c r="G82" s="146">
        <v>0</v>
      </c>
      <c r="H82" s="11" t="s">
        <v>114</v>
      </c>
      <c r="I82" s="142">
        <v>41017</v>
      </c>
    </row>
    <row r="83" spans="1:9" s="3" customFormat="1" x14ac:dyDescent="0.2">
      <c r="A83" s="13" t="s">
        <v>254</v>
      </c>
      <c r="B83" s="13" t="s">
        <v>231</v>
      </c>
      <c r="C83" s="217">
        <v>538100</v>
      </c>
      <c r="D83" s="224">
        <v>204000</v>
      </c>
      <c r="E83" s="13" t="s">
        <v>227</v>
      </c>
      <c r="F83" s="218">
        <v>204000</v>
      </c>
      <c r="G83" s="216">
        <v>0</v>
      </c>
      <c r="H83" s="13" t="s">
        <v>114</v>
      </c>
      <c r="I83" s="222">
        <v>41953</v>
      </c>
    </row>
    <row r="84" spans="1:9" x14ac:dyDescent="0.2">
      <c r="A84" s="144"/>
      <c r="B84" s="144"/>
      <c r="C84" s="151">
        <f>SUM(C75:C83)</f>
        <v>11224800</v>
      </c>
      <c r="D84" s="136">
        <f>SUM(D75:D83)</f>
        <v>4989271</v>
      </c>
      <c r="E84" s="135"/>
      <c r="F84" s="151">
        <f>SUM(F75:F83)</f>
        <v>2004426.3399999999</v>
      </c>
      <c r="G84" s="151">
        <f>SUM(G75:G83)</f>
        <v>0</v>
      </c>
      <c r="H84" s="144"/>
      <c r="I84" s="135"/>
    </row>
    <row r="85" spans="1:9" x14ac:dyDescent="0.2">
      <c r="B85" s="137" t="s">
        <v>425</v>
      </c>
      <c r="H85" s="1"/>
    </row>
    <row r="86" spans="1:9" x14ac:dyDescent="0.2">
      <c r="B86" s="137"/>
      <c r="H86" s="1"/>
    </row>
    <row r="87" spans="1:9" ht="18" x14ac:dyDescent="0.25">
      <c r="A87" s="625" t="s">
        <v>255</v>
      </c>
      <c r="B87" s="625"/>
      <c r="C87" s="625"/>
      <c r="D87" s="625"/>
      <c r="E87" s="625"/>
      <c r="F87" s="625"/>
      <c r="G87" s="625"/>
      <c r="H87" s="625"/>
      <c r="I87" s="625"/>
    </row>
    <row r="88" spans="1:9" ht="45" x14ac:dyDescent="0.2">
      <c r="A88" s="128" t="s">
        <v>222</v>
      </c>
      <c r="B88" s="129" t="s">
        <v>0</v>
      </c>
      <c r="C88" s="130" t="s">
        <v>1</v>
      </c>
      <c r="D88" s="130" t="s">
        <v>98</v>
      </c>
      <c r="E88" s="130" t="s">
        <v>99</v>
      </c>
      <c r="F88" s="130" t="s">
        <v>100</v>
      </c>
      <c r="G88" s="130" t="s">
        <v>101</v>
      </c>
      <c r="H88" s="131" t="s">
        <v>102</v>
      </c>
      <c r="I88" s="131" t="s">
        <v>103</v>
      </c>
    </row>
    <row r="89" spans="1:9" x14ac:dyDescent="0.2">
      <c r="A89" s="2" t="s">
        <v>256</v>
      </c>
      <c r="B89" s="2" t="s">
        <v>257</v>
      </c>
      <c r="C89" s="225">
        <v>1758922</v>
      </c>
      <c r="D89" s="148">
        <v>879461</v>
      </c>
      <c r="E89" s="132" t="s">
        <v>223</v>
      </c>
      <c r="F89" s="133">
        <v>0</v>
      </c>
      <c r="G89" s="152">
        <v>0</v>
      </c>
      <c r="H89" s="132" t="s">
        <v>258</v>
      </c>
      <c r="I89" s="22" t="s">
        <v>250</v>
      </c>
    </row>
    <row r="90" spans="1:9" ht="25.5" x14ac:dyDescent="0.2">
      <c r="A90" s="10" t="s">
        <v>259</v>
      </c>
      <c r="B90" s="13" t="s">
        <v>260</v>
      </c>
      <c r="C90" s="221">
        <v>8474244</v>
      </c>
      <c r="D90" s="223">
        <v>2000000</v>
      </c>
      <c r="E90" s="10" t="s">
        <v>261</v>
      </c>
      <c r="F90" s="218">
        <v>2000000</v>
      </c>
      <c r="G90" s="221">
        <v>0</v>
      </c>
      <c r="H90" s="13" t="s">
        <v>114</v>
      </c>
      <c r="I90" s="226">
        <v>42486</v>
      </c>
    </row>
    <row r="91" spans="1:9" x14ac:dyDescent="0.2">
      <c r="A91" s="2" t="s">
        <v>262</v>
      </c>
      <c r="B91" s="2" t="s">
        <v>246</v>
      </c>
      <c r="C91" s="147">
        <v>138560</v>
      </c>
      <c r="D91" s="148">
        <v>110848</v>
      </c>
      <c r="E91" s="2" t="s">
        <v>227</v>
      </c>
      <c r="F91" s="133">
        <v>0</v>
      </c>
      <c r="G91" s="152">
        <v>0</v>
      </c>
      <c r="H91" s="132" t="s">
        <v>258</v>
      </c>
      <c r="I91" s="22" t="s">
        <v>250</v>
      </c>
    </row>
    <row r="92" spans="1:9" x14ac:dyDescent="0.2">
      <c r="A92" s="2" t="s">
        <v>263</v>
      </c>
      <c r="B92" s="2" t="s">
        <v>246</v>
      </c>
      <c r="C92" s="147">
        <v>255951</v>
      </c>
      <c r="D92" s="148">
        <v>174022</v>
      </c>
      <c r="E92" s="2" t="s">
        <v>227</v>
      </c>
      <c r="F92" s="153">
        <v>174022</v>
      </c>
      <c r="G92" s="152">
        <v>0</v>
      </c>
      <c r="H92" s="11" t="s">
        <v>114</v>
      </c>
      <c r="I92" s="34">
        <v>41227</v>
      </c>
    </row>
    <row r="93" spans="1:9" x14ac:dyDescent="0.2">
      <c r="A93" s="135"/>
      <c r="B93" s="135"/>
      <c r="C93" s="136">
        <f>SUM(C89:C92)</f>
        <v>10627677</v>
      </c>
      <c r="D93" s="154">
        <f>SUM(D89:D92)</f>
        <v>3164331</v>
      </c>
      <c r="E93" s="135"/>
      <c r="F93" s="154">
        <f>SUM(F89:F92)</f>
        <v>2174022</v>
      </c>
      <c r="G93" s="154">
        <f>SUM(G89:G92)</f>
        <v>0</v>
      </c>
      <c r="H93" s="135"/>
      <c r="I93" s="135"/>
    </row>
    <row r="95" spans="1:9" ht="20.25" customHeight="1" x14ac:dyDescent="0.2">
      <c r="A95" s="626" t="s">
        <v>264</v>
      </c>
      <c r="B95" s="627"/>
      <c r="C95" s="627"/>
      <c r="D95" s="627"/>
      <c r="E95" s="627"/>
      <c r="F95" s="627"/>
      <c r="G95" s="627"/>
      <c r="H95" s="627"/>
      <c r="I95" s="627"/>
    </row>
    <row r="96" spans="1:9" ht="45" x14ac:dyDescent="0.2">
      <c r="A96" s="155" t="s">
        <v>222</v>
      </c>
      <c r="B96" s="139" t="s">
        <v>0</v>
      </c>
      <c r="C96" s="48" t="s">
        <v>1</v>
      </c>
      <c r="D96" s="48" t="s">
        <v>98</v>
      </c>
      <c r="E96" s="48" t="s">
        <v>99</v>
      </c>
      <c r="F96" s="48" t="s">
        <v>100</v>
      </c>
      <c r="G96" s="48" t="s">
        <v>101</v>
      </c>
      <c r="H96" s="49" t="s">
        <v>102</v>
      </c>
      <c r="I96" s="49" t="s">
        <v>103</v>
      </c>
    </row>
    <row r="97" spans="1:9" s="137" customFormat="1" x14ac:dyDescent="0.2">
      <c r="A97" s="453" t="s">
        <v>265</v>
      </c>
      <c r="B97" s="24" t="s">
        <v>266</v>
      </c>
      <c r="C97" s="454">
        <v>88000</v>
      </c>
      <c r="D97" s="169">
        <v>55400</v>
      </c>
      <c r="E97" s="44" t="s">
        <v>267</v>
      </c>
      <c r="F97" s="455">
        <v>55400</v>
      </c>
      <c r="G97" s="456">
        <v>0</v>
      </c>
      <c r="H97" s="42" t="s">
        <v>114</v>
      </c>
      <c r="I97" s="34">
        <v>40553</v>
      </c>
    </row>
    <row r="98" spans="1:9" s="137" customFormat="1" x14ac:dyDescent="0.2">
      <c r="A98" s="453" t="s">
        <v>268</v>
      </c>
      <c r="B98" s="24" t="s">
        <v>269</v>
      </c>
      <c r="C98" s="454">
        <v>886500</v>
      </c>
      <c r="D98" s="169">
        <v>700000</v>
      </c>
      <c r="E98" s="38" t="s">
        <v>267</v>
      </c>
      <c r="F98" s="455">
        <v>700000</v>
      </c>
      <c r="G98" s="456">
        <v>0</v>
      </c>
      <c r="H98" s="453" t="s">
        <v>114</v>
      </c>
      <c r="I98" s="34">
        <v>40647</v>
      </c>
    </row>
    <row r="99" spans="1:9" s="137" customFormat="1" x14ac:dyDescent="0.2">
      <c r="A99" s="453" t="s">
        <v>270</v>
      </c>
      <c r="B99" s="24" t="s">
        <v>271</v>
      </c>
      <c r="C99" s="454">
        <v>450000</v>
      </c>
      <c r="D99" s="169">
        <v>225000</v>
      </c>
      <c r="E99" s="457" t="s">
        <v>227</v>
      </c>
      <c r="F99" s="456">
        <v>145187</v>
      </c>
      <c r="G99" s="458">
        <v>0</v>
      </c>
      <c r="H99" s="459" t="s">
        <v>114</v>
      </c>
      <c r="I99" s="34">
        <v>41333</v>
      </c>
    </row>
    <row r="100" spans="1:9" s="137" customFormat="1" x14ac:dyDescent="0.2">
      <c r="A100" s="453" t="s">
        <v>272</v>
      </c>
      <c r="B100" s="24" t="s">
        <v>229</v>
      </c>
      <c r="C100" s="454">
        <v>467589</v>
      </c>
      <c r="D100" s="169">
        <v>311071</v>
      </c>
      <c r="E100" s="44" t="s">
        <v>227</v>
      </c>
      <c r="F100" s="455">
        <v>311071</v>
      </c>
      <c r="G100" s="458">
        <v>0</v>
      </c>
      <c r="H100" s="42" t="s">
        <v>114</v>
      </c>
      <c r="I100" s="34">
        <v>40831</v>
      </c>
    </row>
    <row r="101" spans="1:9" s="137" customFormat="1" x14ac:dyDescent="0.2">
      <c r="A101" s="453" t="s">
        <v>273</v>
      </c>
      <c r="B101" s="24" t="s">
        <v>271</v>
      </c>
      <c r="C101" s="454">
        <v>252005</v>
      </c>
      <c r="D101" s="169">
        <v>126000</v>
      </c>
      <c r="E101" s="44" t="s">
        <v>274</v>
      </c>
      <c r="F101" s="456">
        <v>118691</v>
      </c>
      <c r="G101" s="458">
        <v>0</v>
      </c>
      <c r="H101" s="42" t="s">
        <v>114</v>
      </c>
      <c r="I101" s="34">
        <v>41639</v>
      </c>
    </row>
    <row r="102" spans="1:9" s="137" customFormat="1" ht="38.25" x14ac:dyDescent="0.2">
      <c r="A102" s="453" t="s">
        <v>275</v>
      </c>
      <c r="B102" s="24" t="s">
        <v>276</v>
      </c>
      <c r="C102" s="454">
        <v>10900000</v>
      </c>
      <c r="D102" s="169">
        <v>900000</v>
      </c>
      <c r="E102" s="44" t="s">
        <v>277</v>
      </c>
      <c r="F102" s="456">
        <v>0</v>
      </c>
      <c r="G102" s="458" t="s">
        <v>486</v>
      </c>
      <c r="H102" s="42" t="s">
        <v>278</v>
      </c>
      <c r="I102" s="34" t="s">
        <v>250</v>
      </c>
    </row>
    <row r="103" spans="1:9" s="137" customFormat="1" ht="25.5" x14ac:dyDescent="0.2">
      <c r="A103" s="453" t="s">
        <v>279</v>
      </c>
      <c r="B103" s="24" t="s">
        <v>280</v>
      </c>
      <c r="C103" s="454">
        <v>5437200</v>
      </c>
      <c r="D103" s="169">
        <v>1000000</v>
      </c>
      <c r="E103" s="44" t="s">
        <v>281</v>
      </c>
      <c r="F103" s="456">
        <v>1000000</v>
      </c>
      <c r="G103" s="458">
        <f>D103-F103</f>
        <v>0</v>
      </c>
      <c r="H103" s="42" t="s">
        <v>114</v>
      </c>
      <c r="I103" s="34">
        <v>40178</v>
      </c>
    </row>
    <row r="104" spans="1:9" s="137" customFormat="1" x14ac:dyDescent="0.2">
      <c r="A104" s="460"/>
      <c r="B104" s="43" t="s">
        <v>138</v>
      </c>
      <c r="C104" s="173">
        <f>SUM(C97:C103)</f>
        <v>18481294</v>
      </c>
      <c r="D104" s="173">
        <f>SUM(D97:D103)</f>
        <v>3317471</v>
      </c>
      <c r="E104" s="18"/>
      <c r="F104" s="46">
        <f>SUM(F97:F103)</f>
        <v>2330349</v>
      </c>
      <c r="G104" s="46">
        <f>SUM(G97:G103)</f>
        <v>0</v>
      </c>
      <c r="H104" s="47"/>
      <c r="I104" s="19"/>
    </row>
    <row r="106" spans="1:9" x14ac:dyDescent="0.2">
      <c r="A106" s="626" t="s">
        <v>282</v>
      </c>
      <c r="B106" s="627"/>
      <c r="C106" s="627"/>
      <c r="D106" s="627"/>
      <c r="E106" s="627"/>
      <c r="F106" s="627"/>
      <c r="G106" s="627"/>
      <c r="H106" s="627"/>
      <c r="I106" s="627"/>
    </row>
    <row r="107" spans="1:9" ht="45" x14ac:dyDescent="0.2">
      <c r="A107" s="155" t="s">
        <v>222</v>
      </c>
      <c r="B107" s="139" t="s">
        <v>0</v>
      </c>
      <c r="C107" s="160" t="s">
        <v>1</v>
      </c>
      <c r="D107" s="160" t="s">
        <v>98</v>
      </c>
      <c r="E107" s="48" t="s">
        <v>99</v>
      </c>
      <c r="F107" s="48" t="s">
        <v>100</v>
      </c>
      <c r="G107" s="48" t="s">
        <v>101</v>
      </c>
      <c r="H107" s="49" t="s">
        <v>102</v>
      </c>
      <c r="I107" s="49" t="s">
        <v>103</v>
      </c>
    </row>
    <row r="108" spans="1:9" s="137" customFormat="1" x14ac:dyDescent="0.2">
      <c r="A108" s="453" t="s">
        <v>265</v>
      </c>
      <c r="B108" s="24" t="s">
        <v>283</v>
      </c>
      <c r="C108" s="454">
        <v>89333</v>
      </c>
      <c r="D108" s="169">
        <v>71000</v>
      </c>
      <c r="E108" s="44" t="s">
        <v>267</v>
      </c>
      <c r="F108" s="455">
        <v>61164</v>
      </c>
      <c r="G108" s="456">
        <v>0</v>
      </c>
      <c r="H108" s="42" t="s">
        <v>114</v>
      </c>
      <c r="I108" s="34">
        <v>39814</v>
      </c>
    </row>
    <row r="109" spans="1:9" s="137" customFormat="1" x14ac:dyDescent="0.2">
      <c r="A109" s="453" t="s">
        <v>268</v>
      </c>
      <c r="B109" s="24" t="s">
        <v>283</v>
      </c>
      <c r="C109" s="454">
        <v>400000</v>
      </c>
      <c r="D109" s="169">
        <v>320000</v>
      </c>
      <c r="E109" s="38" t="s">
        <v>267</v>
      </c>
      <c r="F109" s="455">
        <v>320000</v>
      </c>
      <c r="G109" s="456">
        <v>0</v>
      </c>
      <c r="H109" s="453" t="s">
        <v>114</v>
      </c>
      <c r="I109" s="34">
        <v>39753</v>
      </c>
    </row>
    <row r="110" spans="1:9" s="137" customFormat="1" x14ac:dyDescent="0.2">
      <c r="A110" s="453" t="s">
        <v>284</v>
      </c>
      <c r="B110" s="24" t="s">
        <v>283</v>
      </c>
      <c r="C110" s="454">
        <v>693120</v>
      </c>
      <c r="D110" s="169">
        <v>554000</v>
      </c>
      <c r="E110" s="457" t="s">
        <v>267</v>
      </c>
      <c r="F110" s="456">
        <v>405346</v>
      </c>
      <c r="G110" s="458">
        <v>0</v>
      </c>
      <c r="H110" s="459" t="s">
        <v>114</v>
      </c>
      <c r="I110" s="34">
        <v>39873</v>
      </c>
    </row>
    <row r="111" spans="1:9" s="137" customFormat="1" x14ac:dyDescent="0.2">
      <c r="A111" s="453" t="s">
        <v>285</v>
      </c>
      <c r="B111" s="24" t="s">
        <v>283</v>
      </c>
      <c r="C111" s="454">
        <v>1771463</v>
      </c>
      <c r="D111" s="169">
        <v>1417000</v>
      </c>
      <c r="E111" s="44" t="s">
        <v>267</v>
      </c>
      <c r="F111" s="455">
        <v>1406627</v>
      </c>
      <c r="G111" s="458">
        <v>0</v>
      </c>
      <c r="H111" s="42" t="s">
        <v>114</v>
      </c>
      <c r="I111" s="34">
        <v>40087</v>
      </c>
    </row>
    <row r="112" spans="1:9" s="137" customFormat="1" x14ac:dyDescent="0.2">
      <c r="A112" s="453" t="s">
        <v>286</v>
      </c>
      <c r="B112" s="24" t="s">
        <v>283</v>
      </c>
      <c r="C112" s="454">
        <v>964707</v>
      </c>
      <c r="D112" s="169">
        <v>772000</v>
      </c>
      <c r="E112" s="44" t="s">
        <v>267</v>
      </c>
      <c r="F112" s="456">
        <v>650000</v>
      </c>
      <c r="G112" s="458">
        <v>0</v>
      </c>
      <c r="H112" s="42" t="s">
        <v>114</v>
      </c>
      <c r="I112" s="34">
        <v>39873</v>
      </c>
    </row>
    <row r="113" spans="1:9" s="137" customFormat="1" x14ac:dyDescent="0.2">
      <c r="A113" s="453" t="s">
        <v>287</v>
      </c>
      <c r="B113" s="24" t="s">
        <v>283</v>
      </c>
      <c r="C113" s="454">
        <v>851704</v>
      </c>
      <c r="D113" s="169">
        <v>681000</v>
      </c>
      <c r="E113" s="44" t="s">
        <v>267</v>
      </c>
      <c r="F113" s="456">
        <v>616420</v>
      </c>
      <c r="G113" s="458">
        <v>0</v>
      </c>
      <c r="H113" s="42" t="s">
        <v>114</v>
      </c>
      <c r="I113" s="34">
        <v>39753</v>
      </c>
    </row>
    <row r="114" spans="1:9" s="137" customFormat="1" x14ac:dyDescent="0.2">
      <c r="A114" s="453" t="s">
        <v>247</v>
      </c>
      <c r="B114" s="24" t="s">
        <v>283</v>
      </c>
      <c r="C114" s="454">
        <v>230000</v>
      </c>
      <c r="D114" s="169">
        <v>184000</v>
      </c>
      <c r="E114" s="44" t="s">
        <v>267</v>
      </c>
      <c r="F114" s="456">
        <v>184000</v>
      </c>
      <c r="G114" s="458">
        <f>D114-F114</f>
        <v>0</v>
      </c>
      <c r="H114" s="42" t="s">
        <v>114</v>
      </c>
      <c r="I114" s="34">
        <v>40178</v>
      </c>
    </row>
    <row r="115" spans="1:9" ht="15" x14ac:dyDescent="0.2">
      <c r="A115" s="156"/>
      <c r="B115" s="155" t="s">
        <v>138</v>
      </c>
      <c r="C115" s="157">
        <f>SUM(C108:C114)</f>
        <v>5000327</v>
      </c>
      <c r="D115" s="157">
        <f>SUM(D108:D114)</f>
        <v>3999000</v>
      </c>
      <c r="E115" s="48"/>
      <c r="F115" s="158">
        <f>SUM(F108:F114)</f>
        <v>3643557</v>
      </c>
      <c r="G115" s="158">
        <f>SUM(G108:G114)</f>
        <v>0</v>
      </c>
      <c r="H115" s="159"/>
      <c r="I115" s="49"/>
    </row>
    <row r="116" spans="1:9" x14ac:dyDescent="0.2">
      <c r="A116" s="40"/>
      <c r="B116" s="40"/>
      <c r="C116" s="161"/>
      <c r="D116" s="161"/>
      <c r="E116" s="38"/>
      <c r="F116" s="162"/>
      <c r="G116" s="162"/>
      <c r="H116" s="163"/>
      <c r="I116" s="39"/>
    </row>
    <row r="117" spans="1:9" ht="20.25" x14ac:dyDescent="0.3">
      <c r="A117" s="622" t="s">
        <v>288</v>
      </c>
      <c r="B117" s="623"/>
      <c r="C117" s="623"/>
      <c r="D117" s="623"/>
      <c r="E117" s="623"/>
      <c r="F117" s="623"/>
      <c r="G117" s="623"/>
      <c r="H117" s="623"/>
    </row>
    <row r="118" spans="1:9" ht="38.25" x14ac:dyDescent="0.2">
      <c r="A118" s="40"/>
      <c r="B118" s="164" t="s">
        <v>0</v>
      </c>
      <c r="C118" s="18" t="s">
        <v>1</v>
      </c>
      <c r="D118" s="18" t="s">
        <v>98</v>
      </c>
      <c r="E118" s="165" t="s">
        <v>289</v>
      </c>
      <c r="F118" s="165" t="s">
        <v>290</v>
      </c>
      <c r="G118" s="165" t="s">
        <v>291</v>
      </c>
      <c r="H118" s="165" t="s">
        <v>292</v>
      </c>
      <c r="I118" s="164" t="s">
        <v>103</v>
      </c>
    </row>
    <row r="119" spans="1:9" ht="51" x14ac:dyDescent="0.2">
      <c r="A119" s="40"/>
      <c r="B119" s="166" t="s">
        <v>293</v>
      </c>
      <c r="C119" s="167">
        <v>884000</v>
      </c>
      <c r="D119" s="167">
        <v>242000</v>
      </c>
      <c r="E119" s="168" t="s">
        <v>294</v>
      </c>
      <c r="F119" s="167">
        <v>0</v>
      </c>
      <c r="G119" s="169">
        <v>0</v>
      </c>
      <c r="H119" s="42" t="s">
        <v>278</v>
      </c>
      <c r="I119" s="22" t="s">
        <v>295</v>
      </c>
    </row>
    <row r="120" spans="1:9" ht="25.5" x14ac:dyDescent="0.2">
      <c r="A120" s="40"/>
      <c r="B120" s="166" t="s">
        <v>296</v>
      </c>
      <c r="C120" s="167">
        <v>8500000</v>
      </c>
      <c r="D120" s="167">
        <v>75000</v>
      </c>
      <c r="E120" s="168" t="s">
        <v>297</v>
      </c>
      <c r="F120" s="167">
        <v>0</v>
      </c>
      <c r="G120" s="169">
        <v>0</v>
      </c>
      <c r="H120" s="42" t="s">
        <v>278</v>
      </c>
      <c r="I120" s="22" t="s">
        <v>295</v>
      </c>
    </row>
    <row r="121" spans="1:9" ht="51" x14ac:dyDescent="0.2">
      <c r="A121" s="40"/>
      <c r="B121" s="166" t="s">
        <v>298</v>
      </c>
      <c r="C121" s="167">
        <v>1072933</v>
      </c>
      <c r="D121" s="167">
        <v>840000</v>
      </c>
      <c r="E121" s="168" t="s">
        <v>294</v>
      </c>
      <c r="F121" s="167">
        <v>0</v>
      </c>
      <c r="G121" s="167">
        <v>0</v>
      </c>
      <c r="H121" s="168" t="s">
        <v>299</v>
      </c>
      <c r="I121" s="26" t="s">
        <v>295</v>
      </c>
    </row>
    <row r="122" spans="1:9" ht="25.5" x14ac:dyDescent="0.2">
      <c r="A122" s="40"/>
      <c r="B122" s="166" t="s">
        <v>300</v>
      </c>
      <c r="C122" s="167">
        <v>1398000</v>
      </c>
      <c r="D122" s="167">
        <v>810000</v>
      </c>
      <c r="E122" s="168" t="s">
        <v>297</v>
      </c>
      <c r="F122" s="167">
        <v>810000</v>
      </c>
      <c r="G122" s="167">
        <v>0</v>
      </c>
      <c r="H122" s="168" t="s">
        <v>114</v>
      </c>
      <c r="I122" s="26">
        <v>40086</v>
      </c>
    </row>
    <row r="123" spans="1:9" ht="38.25" x14ac:dyDescent="0.2">
      <c r="A123" s="40"/>
      <c r="B123" s="170" t="s">
        <v>301</v>
      </c>
      <c r="C123" s="171">
        <v>7146000</v>
      </c>
      <c r="D123" s="171">
        <v>75000</v>
      </c>
      <c r="E123" s="168" t="s">
        <v>297</v>
      </c>
      <c r="F123" s="172">
        <v>0</v>
      </c>
      <c r="G123" s="167">
        <v>0</v>
      </c>
      <c r="H123" s="168" t="s">
        <v>302</v>
      </c>
      <c r="I123" s="26" t="s">
        <v>250</v>
      </c>
    </row>
    <row r="124" spans="1:9" ht="51" x14ac:dyDescent="0.2">
      <c r="A124" s="40"/>
      <c r="B124" s="170" t="s">
        <v>303</v>
      </c>
      <c r="C124" s="171">
        <v>6055075</v>
      </c>
      <c r="D124" s="171">
        <v>75000</v>
      </c>
      <c r="E124" s="168" t="s">
        <v>304</v>
      </c>
      <c r="F124" s="172">
        <v>0</v>
      </c>
      <c r="G124" s="167">
        <v>0</v>
      </c>
      <c r="H124" s="168" t="s">
        <v>305</v>
      </c>
      <c r="I124" s="22" t="s">
        <v>295</v>
      </c>
    </row>
    <row r="125" spans="1:9" ht="25.5" x14ac:dyDescent="0.2">
      <c r="A125" s="40"/>
      <c r="B125" s="170" t="s">
        <v>306</v>
      </c>
      <c r="C125" s="171">
        <v>2250000</v>
      </c>
      <c r="D125" s="171">
        <v>50000</v>
      </c>
      <c r="E125" s="168" t="s">
        <v>297</v>
      </c>
      <c r="F125" s="172">
        <v>0</v>
      </c>
      <c r="G125" s="169">
        <v>0</v>
      </c>
      <c r="H125" s="44" t="s">
        <v>278</v>
      </c>
      <c r="I125" s="22" t="s">
        <v>295</v>
      </c>
    </row>
    <row r="126" spans="1:9" ht="25.5" x14ac:dyDescent="0.2">
      <c r="A126" s="40"/>
      <c r="B126" s="170" t="s">
        <v>307</v>
      </c>
      <c r="C126" s="171">
        <v>414489</v>
      </c>
      <c r="D126" s="171">
        <v>165795</v>
      </c>
      <c r="E126" s="168" t="s">
        <v>297</v>
      </c>
      <c r="F126" s="172">
        <v>0</v>
      </c>
      <c r="G126" s="169">
        <v>0</v>
      </c>
      <c r="H126" s="44" t="s">
        <v>278</v>
      </c>
      <c r="I126" s="22" t="s">
        <v>295</v>
      </c>
    </row>
    <row r="127" spans="1:9" ht="38.25" x14ac:dyDescent="0.2">
      <c r="A127" s="40"/>
      <c r="B127" s="170" t="s">
        <v>308</v>
      </c>
      <c r="C127" s="171">
        <v>9500000</v>
      </c>
      <c r="D127" s="171">
        <v>270000</v>
      </c>
      <c r="E127" s="168" t="s">
        <v>309</v>
      </c>
      <c r="F127" s="172">
        <v>0</v>
      </c>
      <c r="G127" s="167">
        <v>0</v>
      </c>
      <c r="H127" s="168" t="s">
        <v>310</v>
      </c>
      <c r="I127" s="26" t="s">
        <v>295</v>
      </c>
    </row>
    <row r="128" spans="1:9" ht="38.25" x14ac:dyDescent="0.2">
      <c r="A128" s="40"/>
      <c r="B128" s="170" t="s">
        <v>311</v>
      </c>
      <c r="C128" s="171">
        <v>9500000</v>
      </c>
      <c r="D128" s="171">
        <v>270000</v>
      </c>
      <c r="E128" s="168" t="s">
        <v>312</v>
      </c>
      <c r="F128" s="172">
        <v>0</v>
      </c>
      <c r="G128" s="167">
        <v>0</v>
      </c>
      <c r="H128" s="168" t="s">
        <v>310</v>
      </c>
      <c r="I128" s="26" t="s">
        <v>295</v>
      </c>
    </row>
    <row r="129" spans="1:9" x14ac:dyDescent="0.2">
      <c r="A129" s="40"/>
      <c r="B129" s="43"/>
      <c r="C129" s="45">
        <f>SUM(C119:C128)</f>
        <v>46720497</v>
      </c>
      <c r="D129" s="173">
        <f>SUM(D119:D128)</f>
        <v>2872795</v>
      </c>
      <c r="E129" s="173"/>
      <c r="F129" s="18">
        <f>SUM(F119:F128)</f>
        <v>810000</v>
      </c>
      <c r="G129" s="46">
        <f>SUM(G119:G128)</f>
        <v>0</v>
      </c>
      <c r="H129" s="46"/>
      <c r="I129" s="47"/>
    </row>
    <row r="130" spans="1:9" x14ac:dyDescent="0.2">
      <c r="A130" s="1"/>
      <c r="B130" s="149"/>
      <c r="C130" s="149"/>
      <c r="D130" s="174"/>
      <c r="E130" s="149"/>
      <c r="F130" s="149"/>
      <c r="G130" s="174"/>
      <c r="H130" s="175"/>
    </row>
    <row r="131" spans="1:9" ht="20.25" x14ac:dyDescent="0.3">
      <c r="A131" s="622" t="s">
        <v>313</v>
      </c>
      <c r="B131" s="623"/>
      <c r="C131" s="623"/>
      <c r="D131" s="623"/>
      <c r="E131" s="623"/>
      <c r="F131" s="623"/>
      <c r="G131" s="623"/>
      <c r="H131" s="623"/>
    </row>
    <row r="132" spans="1:9" ht="38.25" x14ac:dyDescent="0.2">
      <c r="A132" s="40"/>
      <c r="B132" s="164" t="s">
        <v>0</v>
      </c>
      <c r="C132" s="18" t="s">
        <v>1</v>
      </c>
      <c r="D132" s="18" t="s">
        <v>98</v>
      </c>
      <c r="E132" s="165" t="s">
        <v>289</v>
      </c>
      <c r="F132" s="165" t="s">
        <v>314</v>
      </c>
      <c r="G132" s="165" t="s">
        <v>315</v>
      </c>
      <c r="H132" s="165" t="s">
        <v>292</v>
      </c>
      <c r="I132" s="164" t="s">
        <v>103</v>
      </c>
    </row>
    <row r="133" spans="1:9" ht="51" x14ac:dyDescent="0.2">
      <c r="A133" s="40"/>
      <c r="B133" s="166" t="s">
        <v>316</v>
      </c>
      <c r="C133" s="167">
        <v>24240300</v>
      </c>
      <c r="D133" s="167">
        <v>239000</v>
      </c>
      <c r="E133" s="168" t="s">
        <v>294</v>
      </c>
      <c r="F133" s="167">
        <v>0</v>
      </c>
      <c r="G133" s="167">
        <v>0</v>
      </c>
      <c r="H133" s="44" t="s">
        <v>278</v>
      </c>
      <c r="I133" s="22" t="s">
        <v>295</v>
      </c>
    </row>
    <row r="134" spans="1:9" ht="51" x14ac:dyDescent="0.2">
      <c r="A134" s="40"/>
      <c r="B134" s="166" t="s">
        <v>298</v>
      </c>
      <c r="C134" s="167">
        <v>11852896</v>
      </c>
      <c r="D134" s="167">
        <v>489000</v>
      </c>
      <c r="E134" s="168" t="s">
        <v>294</v>
      </c>
      <c r="F134" s="167">
        <v>0</v>
      </c>
      <c r="G134" s="167">
        <v>0</v>
      </c>
      <c r="H134" s="44" t="s">
        <v>278</v>
      </c>
      <c r="I134" s="26" t="s">
        <v>295</v>
      </c>
    </row>
    <row r="135" spans="1:9" ht="25.5" x14ac:dyDescent="0.2">
      <c r="A135" s="40"/>
      <c r="B135" s="166" t="s">
        <v>317</v>
      </c>
      <c r="C135" s="167">
        <v>457513</v>
      </c>
      <c r="D135" s="167">
        <v>326000</v>
      </c>
      <c r="E135" s="168" t="s">
        <v>297</v>
      </c>
      <c r="F135" s="167">
        <v>326000</v>
      </c>
      <c r="G135" s="167">
        <f>D135-F135</f>
        <v>0</v>
      </c>
      <c r="H135" s="44" t="s">
        <v>243</v>
      </c>
      <c r="I135" s="26">
        <v>40324</v>
      </c>
    </row>
    <row r="136" spans="1:9" ht="51" x14ac:dyDescent="0.2">
      <c r="A136" s="40"/>
      <c r="B136" s="166" t="s">
        <v>318</v>
      </c>
      <c r="C136" s="167">
        <v>1300000</v>
      </c>
      <c r="D136" s="167">
        <v>250000</v>
      </c>
      <c r="E136" s="168" t="s">
        <v>294</v>
      </c>
      <c r="F136" s="167">
        <v>0</v>
      </c>
      <c r="G136" s="167">
        <v>0</v>
      </c>
      <c r="H136" s="44" t="s">
        <v>278</v>
      </c>
      <c r="I136" s="176" t="s">
        <v>295</v>
      </c>
    </row>
    <row r="137" spans="1:9" x14ac:dyDescent="0.2">
      <c r="A137" s="40"/>
      <c r="B137" s="177"/>
      <c r="C137" s="178">
        <f>SUM(C133:C136)</f>
        <v>37850709</v>
      </c>
      <c r="D137" s="178">
        <f>SUM(D133:D136)</f>
        <v>1304000</v>
      </c>
      <c r="E137" s="179"/>
      <c r="F137" s="178">
        <f>SUM(F133:F136)</f>
        <v>326000</v>
      </c>
      <c r="G137" s="178">
        <f>SUM(G133:G136)</f>
        <v>0</v>
      </c>
      <c r="H137" s="179"/>
      <c r="I137" s="180"/>
    </row>
    <row r="138" spans="1:9" ht="20.25" x14ac:dyDescent="0.3">
      <c r="A138" s="461"/>
      <c r="B138" s="462"/>
      <c r="C138" s="462"/>
      <c r="D138" s="462"/>
      <c r="E138" s="462"/>
      <c r="F138" s="462"/>
      <c r="G138" s="462"/>
      <c r="H138" s="462"/>
    </row>
    <row r="139" spans="1:9" ht="20.25" x14ac:dyDescent="0.3">
      <c r="A139" s="622" t="s">
        <v>319</v>
      </c>
      <c r="B139" s="622"/>
      <c r="C139" s="622"/>
      <c r="D139" s="622"/>
      <c r="E139" s="622"/>
      <c r="F139" s="622"/>
      <c r="G139" s="622"/>
      <c r="H139" s="622"/>
    </row>
    <row r="141" spans="1:9" ht="38.25" x14ac:dyDescent="0.2">
      <c r="A141" s="40"/>
      <c r="B141" s="164" t="s">
        <v>0</v>
      </c>
      <c r="C141" s="18" t="s">
        <v>1</v>
      </c>
      <c r="D141" s="18" t="s">
        <v>98</v>
      </c>
      <c r="E141" s="165" t="s">
        <v>289</v>
      </c>
      <c r="F141" s="165" t="s">
        <v>320</v>
      </c>
      <c r="G141" s="165" t="s">
        <v>321</v>
      </c>
      <c r="H141" s="165" t="s">
        <v>292</v>
      </c>
      <c r="I141" s="164" t="s">
        <v>103</v>
      </c>
    </row>
    <row r="142" spans="1:9" ht="51" x14ac:dyDescent="0.2">
      <c r="A142" s="40"/>
      <c r="B142" s="166" t="s">
        <v>322</v>
      </c>
      <c r="C142" s="167">
        <v>3712220</v>
      </c>
      <c r="D142" s="167">
        <v>500000</v>
      </c>
      <c r="E142" s="168" t="s">
        <v>294</v>
      </c>
      <c r="F142" s="167">
        <v>500000</v>
      </c>
      <c r="G142" s="167">
        <f t="shared" ref="G142:G147" si="0">D142-F142</f>
        <v>0</v>
      </c>
      <c r="H142" s="44" t="s">
        <v>243</v>
      </c>
      <c r="I142" s="22">
        <v>39483</v>
      </c>
    </row>
    <row r="143" spans="1:9" ht="51" x14ac:dyDescent="0.2">
      <c r="A143" s="40"/>
      <c r="B143" s="166" t="s">
        <v>323</v>
      </c>
      <c r="C143" s="167">
        <v>694000</v>
      </c>
      <c r="D143" s="167">
        <v>534000</v>
      </c>
      <c r="E143" s="168" t="s">
        <v>294</v>
      </c>
      <c r="F143" s="167">
        <v>534000</v>
      </c>
      <c r="G143" s="167">
        <f t="shared" si="0"/>
        <v>0</v>
      </c>
      <c r="H143" s="44" t="s">
        <v>243</v>
      </c>
      <c r="I143" s="22">
        <v>39344</v>
      </c>
    </row>
    <row r="144" spans="1:9" ht="38.25" x14ac:dyDescent="0.2">
      <c r="A144" s="40"/>
      <c r="B144" s="166" t="s">
        <v>324</v>
      </c>
      <c r="C144" s="167">
        <v>4660791</v>
      </c>
      <c r="D144" s="167">
        <v>760791</v>
      </c>
      <c r="E144" s="168" t="s">
        <v>325</v>
      </c>
      <c r="F144" s="169">
        <v>729711</v>
      </c>
      <c r="G144" s="169">
        <v>31079</v>
      </c>
      <c r="H144" s="168" t="s">
        <v>243</v>
      </c>
      <c r="I144" s="22">
        <v>42185</v>
      </c>
    </row>
    <row r="145" spans="1:9" ht="51" x14ac:dyDescent="0.2">
      <c r="A145" s="40"/>
      <c r="B145" s="166" t="s">
        <v>326</v>
      </c>
      <c r="C145" s="167">
        <v>5700000</v>
      </c>
      <c r="D145" s="167">
        <v>280000</v>
      </c>
      <c r="E145" s="168" t="s">
        <v>294</v>
      </c>
      <c r="F145" s="167">
        <v>126000</v>
      </c>
      <c r="G145" s="167">
        <v>0</v>
      </c>
      <c r="H145" s="168" t="s">
        <v>409</v>
      </c>
      <c r="I145" s="26">
        <v>41333</v>
      </c>
    </row>
    <row r="146" spans="1:9" ht="51" x14ac:dyDescent="0.2">
      <c r="A146" s="40"/>
      <c r="B146" s="166" t="s">
        <v>327</v>
      </c>
      <c r="C146" s="167">
        <v>2800000</v>
      </c>
      <c r="D146" s="167">
        <v>280000</v>
      </c>
      <c r="E146" s="168" t="s">
        <v>294</v>
      </c>
      <c r="F146" s="167">
        <v>280000</v>
      </c>
      <c r="G146" s="167">
        <f t="shared" si="0"/>
        <v>0</v>
      </c>
      <c r="H146" s="44" t="s">
        <v>243</v>
      </c>
      <c r="I146" s="26">
        <v>39721</v>
      </c>
    </row>
    <row r="147" spans="1:9" ht="51" x14ac:dyDescent="0.2">
      <c r="A147" s="40"/>
      <c r="B147" s="166" t="s">
        <v>328</v>
      </c>
      <c r="C147" s="167">
        <v>1258532</v>
      </c>
      <c r="D147" s="167">
        <v>300000</v>
      </c>
      <c r="E147" s="168" t="s">
        <v>294</v>
      </c>
      <c r="F147" s="167">
        <v>300000</v>
      </c>
      <c r="G147" s="167">
        <f t="shared" si="0"/>
        <v>0</v>
      </c>
      <c r="H147" s="44" t="s">
        <v>243</v>
      </c>
      <c r="I147" s="26">
        <v>39387</v>
      </c>
    </row>
    <row r="148" spans="1:9" ht="51" x14ac:dyDescent="0.2">
      <c r="A148" s="40"/>
      <c r="B148" s="166" t="s">
        <v>329</v>
      </c>
      <c r="C148" s="167">
        <v>2154086</v>
      </c>
      <c r="D148" s="167">
        <v>319209</v>
      </c>
      <c r="E148" s="168" t="s">
        <v>294</v>
      </c>
      <c r="F148" s="167">
        <v>0</v>
      </c>
      <c r="G148" s="167">
        <v>0</v>
      </c>
      <c r="H148" s="168" t="s">
        <v>330</v>
      </c>
      <c r="I148" s="26" t="s">
        <v>250</v>
      </c>
    </row>
    <row r="149" spans="1:9" ht="25.5" x14ac:dyDescent="0.2">
      <c r="A149" s="40"/>
      <c r="B149" s="166" t="s">
        <v>331</v>
      </c>
      <c r="C149" s="167">
        <v>30000</v>
      </c>
      <c r="D149" s="167">
        <v>22500</v>
      </c>
      <c r="E149" s="168" t="s">
        <v>297</v>
      </c>
      <c r="F149" s="167">
        <v>0</v>
      </c>
      <c r="G149" s="167">
        <v>0</v>
      </c>
      <c r="H149" s="44" t="s">
        <v>278</v>
      </c>
      <c r="I149" s="22" t="s">
        <v>250</v>
      </c>
    </row>
    <row r="150" spans="1:9" x14ac:dyDescent="0.2">
      <c r="A150" s="40"/>
      <c r="B150" s="166" t="s">
        <v>332</v>
      </c>
      <c r="C150" s="167">
        <v>406711</v>
      </c>
      <c r="D150" s="167">
        <v>60000</v>
      </c>
      <c r="E150" s="168" t="s">
        <v>333</v>
      </c>
      <c r="F150" s="167">
        <v>42691</v>
      </c>
      <c r="G150" s="167">
        <v>0</v>
      </c>
      <c r="H150" s="44" t="s">
        <v>243</v>
      </c>
      <c r="I150" s="26">
        <v>39387</v>
      </c>
    </row>
    <row r="151" spans="1:9" x14ac:dyDescent="0.2">
      <c r="A151" s="40"/>
      <c r="B151" s="177"/>
      <c r="C151" s="178">
        <f>SUM(C142:C150)</f>
        <v>21416340</v>
      </c>
      <c r="D151" s="178">
        <f>SUM(D142:D150)</f>
        <v>3056500</v>
      </c>
      <c r="E151" s="179"/>
      <c r="F151" s="178">
        <f>SUM(F142:F150)</f>
        <v>2512402</v>
      </c>
      <c r="G151" s="178">
        <f>SUM(G142:G150)</f>
        <v>31079</v>
      </c>
      <c r="H151" s="179"/>
      <c r="I151" s="180"/>
    </row>
  </sheetData>
  <mergeCells count="14">
    <mergeCell ref="A131:H131"/>
    <mergeCell ref="A139:H139"/>
    <mergeCell ref="A1:I1"/>
    <mergeCell ref="A10:I10"/>
    <mergeCell ref="A17:I17"/>
    <mergeCell ref="A32:I32"/>
    <mergeCell ref="A41:I41"/>
    <mergeCell ref="A60:I60"/>
    <mergeCell ref="A73:I73"/>
    <mergeCell ref="A87:I87"/>
    <mergeCell ref="A95:I95"/>
    <mergeCell ref="A106:I106"/>
    <mergeCell ref="A117:H117"/>
    <mergeCell ref="A50:I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zoomScaleNormal="100" workbookViewId="0">
      <selection sqref="A1:H1"/>
    </sheetView>
  </sheetViews>
  <sheetFormatPr defaultRowHeight="12.75" x14ac:dyDescent="0.2"/>
  <cols>
    <col min="1" max="1" width="58.85546875" customWidth="1"/>
    <col min="2" max="2" width="16.85546875" customWidth="1"/>
    <col min="3" max="3" width="16.42578125" customWidth="1"/>
    <col min="4" max="4" width="23.42578125" customWidth="1"/>
    <col min="5" max="5" width="17.5703125" customWidth="1"/>
    <col min="6" max="6" width="16.28515625" customWidth="1"/>
    <col min="7" max="7" width="32.42578125" customWidth="1"/>
    <col min="8" max="8" width="17.42578125" customWidth="1"/>
    <col min="9" max="9" width="14" customWidth="1"/>
  </cols>
  <sheetData>
    <row r="1" spans="1:9" ht="18" x14ac:dyDescent="0.2">
      <c r="A1" s="629" t="s">
        <v>334</v>
      </c>
      <c r="B1" s="629"/>
      <c r="C1" s="629"/>
      <c r="D1" s="629"/>
      <c r="E1" s="629"/>
      <c r="F1" s="629"/>
      <c r="G1" s="629"/>
      <c r="H1" s="629"/>
    </row>
    <row r="2" spans="1:9" ht="75" x14ac:dyDescent="0.2">
      <c r="A2" s="181" t="s">
        <v>0</v>
      </c>
      <c r="B2" s="182" t="s">
        <v>1</v>
      </c>
      <c r="C2" s="182" t="s">
        <v>98</v>
      </c>
      <c r="D2" s="182" t="s">
        <v>99</v>
      </c>
      <c r="E2" s="182" t="s">
        <v>100</v>
      </c>
      <c r="F2" s="182" t="s">
        <v>335</v>
      </c>
      <c r="G2" s="183" t="s">
        <v>102</v>
      </c>
      <c r="H2" s="183" t="s">
        <v>103</v>
      </c>
    </row>
    <row r="3" spans="1:9" ht="30" x14ac:dyDescent="0.2">
      <c r="A3" s="227" t="s">
        <v>336</v>
      </c>
      <c r="B3" s="463">
        <v>500000</v>
      </c>
      <c r="C3" s="228">
        <v>499935</v>
      </c>
      <c r="D3" s="229" t="s">
        <v>218</v>
      </c>
      <c r="E3" s="464">
        <v>499935</v>
      </c>
      <c r="F3" s="230">
        <f t="shared" ref="F3:F9" si="0">C3-E3</f>
        <v>0</v>
      </c>
      <c r="G3" s="231" t="s">
        <v>114</v>
      </c>
      <c r="H3" s="232">
        <v>40644</v>
      </c>
    </row>
    <row r="4" spans="1:9" ht="45" x14ac:dyDescent="0.2">
      <c r="A4" s="227" t="s">
        <v>337</v>
      </c>
      <c r="B4" s="463">
        <v>2000000</v>
      </c>
      <c r="C4" s="228">
        <v>1016039.5</v>
      </c>
      <c r="D4" s="229" t="s">
        <v>338</v>
      </c>
      <c r="E4" s="464">
        <v>1016039.5</v>
      </c>
      <c r="F4" s="230">
        <f t="shared" si="0"/>
        <v>0</v>
      </c>
      <c r="G4" s="231" t="s">
        <v>114</v>
      </c>
      <c r="H4" s="232">
        <v>41648</v>
      </c>
    </row>
    <row r="5" spans="1:9" ht="75" x14ac:dyDescent="0.2">
      <c r="A5" s="227" t="s">
        <v>595</v>
      </c>
      <c r="B5" s="463">
        <v>6213000</v>
      </c>
      <c r="C5" s="228">
        <v>1242600</v>
      </c>
      <c r="D5" s="229" t="s">
        <v>340</v>
      </c>
      <c r="E5" s="464">
        <v>620156.96</v>
      </c>
      <c r="F5" s="358">
        <f t="shared" si="0"/>
        <v>622443.04</v>
      </c>
      <c r="G5" s="231" t="s">
        <v>339</v>
      </c>
      <c r="H5" s="232">
        <v>43830</v>
      </c>
      <c r="I5" s="359"/>
    </row>
    <row r="6" spans="1:9" ht="45" x14ac:dyDescent="0.2">
      <c r="A6" s="227" t="s">
        <v>745</v>
      </c>
      <c r="B6" s="463">
        <v>40000</v>
      </c>
      <c r="C6" s="228">
        <v>14233.1</v>
      </c>
      <c r="D6" s="229" t="s">
        <v>596</v>
      </c>
      <c r="E6" s="464">
        <v>14233.1</v>
      </c>
      <c r="F6" s="230">
        <f t="shared" si="0"/>
        <v>0</v>
      </c>
      <c r="G6" s="231" t="s">
        <v>114</v>
      </c>
      <c r="H6" s="232">
        <v>42309</v>
      </c>
    </row>
    <row r="7" spans="1:9" ht="45" x14ac:dyDescent="0.2">
      <c r="A7" s="227" t="s">
        <v>746</v>
      </c>
      <c r="B7" s="465">
        <v>49999</v>
      </c>
      <c r="C7" s="466">
        <v>15918.75</v>
      </c>
      <c r="D7" s="229" t="s">
        <v>596</v>
      </c>
      <c r="E7" s="464">
        <v>15918.75</v>
      </c>
      <c r="F7" s="230">
        <f t="shared" si="0"/>
        <v>0</v>
      </c>
      <c r="G7" s="231" t="s">
        <v>114</v>
      </c>
      <c r="H7" s="467">
        <v>42672</v>
      </c>
    </row>
    <row r="8" spans="1:9" ht="45" x14ac:dyDescent="0.2">
      <c r="A8" s="227" t="s">
        <v>885</v>
      </c>
      <c r="B8" s="465">
        <v>101399</v>
      </c>
      <c r="C8" s="466">
        <v>33799</v>
      </c>
      <c r="D8" s="229" t="s">
        <v>596</v>
      </c>
      <c r="E8" s="464">
        <v>13180.29</v>
      </c>
      <c r="F8" s="230">
        <f t="shared" si="0"/>
        <v>20618.71</v>
      </c>
      <c r="G8" s="231" t="s">
        <v>339</v>
      </c>
      <c r="H8" s="467">
        <v>43555</v>
      </c>
    </row>
    <row r="9" spans="1:9" ht="75" x14ac:dyDescent="0.2">
      <c r="A9" s="227" t="s">
        <v>597</v>
      </c>
      <c r="B9" s="463">
        <v>125000000</v>
      </c>
      <c r="C9" s="228">
        <f>3000000-SUM(C3:C8)</f>
        <v>177474.64999999991</v>
      </c>
      <c r="D9" s="229" t="s">
        <v>340</v>
      </c>
      <c r="E9" s="464">
        <v>0</v>
      </c>
      <c r="F9" s="358">
        <f t="shared" si="0"/>
        <v>177474.64999999991</v>
      </c>
      <c r="G9" s="231" t="s">
        <v>496</v>
      </c>
      <c r="H9" s="232" t="s">
        <v>598</v>
      </c>
    </row>
    <row r="10" spans="1:9" ht="15" x14ac:dyDescent="0.2">
      <c r="A10" s="184" t="s">
        <v>138</v>
      </c>
      <c r="B10" s="185">
        <f>SUM(B3:B9)</f>
        <v>133904398</v>
      </c>
      <c r="C10" s="360">
        <f>SUM(C3:C9)</f>
        <v>3000000</v>
      </c>
      <c r="D10" s="182"/>
      <c r="E10" s="233">
        <f>SUM(E3:E9)</f>
        <v>2179463.6</v>
      </c>
      <c r="F10" s="233">
        <f>SUM(F3:F9)</f>
        <v>820536.39999999991</v>
      </c>
      <c r="G10" s="187"/>
      <c r="H10" s="183"/>
      <c r="I10" s="359"/>
    </row>
    <row r="11" spans="1:9" ht="15" x14ac:dyDescent="0.2">
      <c r="A11" s="188"/>
      <c r="B11" s="189"/>
      <c r="C11" s="189"/>
      <c r="D11" s="190"/>
      <c r="E11" s="191"/>
      <c r="F11" s="191"/>
      <c r="G11" s="192"/>
      <c r="H11" s="193"/>
    </row>
    <row r="12" spans="1:9" ht="18" x14ac:dyDescent="0.2">
      <c r="A12" s="629" t="s">
        <v>341</v>
      </c>
      <c r="B12" s="629"/>
      <c r="C12" s="629"/>
      <c r="D12" s="629"/>
      <c r="E12" s="629"/>
      <c r="F12" s="629"/>
      <c r="G12" s="629"/>
      <c r="H12" s="629"/>
    </row>
    <row r="13" spans="1:9" ht="75" x14ac:dyDescent="0.2">
      <c r="A13" s="181" t="s">
        <v>0</v>
      </c>
      <c r="B13" s="182" t="s">
        <v>1</v>
      </c>
      <c r="C13" s="182" t="s">
        <v>98</v>
      </c>
      <c r="D13" s="182" t="s">
        <v>99</v>
      </c>
      <c r="E13" s="182" t="s">
        <v>100</v>
      </c>
      <c r="F13" s="182" t="s">
        <v>335</v>
      </c>
      <c r="G13" s="183" t="s">
        <v>102</v>
      </c>
      <c r="H13" s="183" t="s">
        <v>103</v>
      </c>
    </row>
    <row r="14" spans="1:9" ht="75" x14ac:dyDescent="0.2">
      <c r="A14" s="234" t="s">
        <v>597</v>
      </c>
      <c r="B14" s="465">
        <v>125000000</v>
      </c>
      <c r="C14" s="235">
        <v>2000000</v>
      </c>
      <c r="D14" s="236" t="s">
        <v>340</v>
      </c>
      <c r="E14" s="468">
        <v>0</v>
      </c>
      <c r="F14" s="237">
        <v>2000000</v>
      </c>
      <c r="G14" s="238" t="s">
        <v>496</v>
      </c>
      <c r="H14" s="239" t="s">
        <v>598</v>
      </c>
    </row>
    <row r="15" spans="1:9" ht="15" x14ac:dyDescent="0.2">
      <c r="A15" s="184" t="s">
        <v>138</v>
      </c>
      <c r="B15" s="185">
        <f>B14</f>
        <v>125000000</v>
      </c>
      <c r="C15" s="185">
        <v>2000000</v>
      </c>
      <c r="D15" s="182"/>
      <c r="E15" s="186">
        <v>0</v>
      </c>
      <c r="F15" s="186">
        <v>2000000</v>
      </c>
      <c r="G15" s="187"/>
      <c r="H15" s="183"/>
    </row>
  </sheetData>
  <mergeCells count="2">
    <mergeCell ref="A1:H1"/>
    <mergeCell ref="A12: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81"/>
  <sheetViews>
    <sheetView zoomScaleNormal="100" workbookViewId="0">
      <selection sqref="A1:E1"/>
    </sheetView>
  </sheetViews>
  <sheetFormatPr defaultColWidth="9.140625" defaultRowHeight="15" x14ac:dyDescent="0.2"/>
  <cols>
    <col min="1" max="1" width="20.7109375" style="300" customWidth="1"/>
    <col min="2" max="2" width="30.85546875" style="301" customWidth="1"/>
    <col min="3" max="3" width="77.85546875" style="302" customWidth="1"/>
    <col min="4" max="4" width="18.28515625" style="303" customWidth="1"/>
    <col min="5" max="5" width="19.7109375" style="303" customWidth="1"/>
    <col min="6" max="6" width="24.5703125" style="304" customWidth="1"/>
    <col min="7" max="7" width="16.42578125" style="303" bestFit="1" customWidth="1"/>
    <col min="8" max="8" width="16.7109375" style="303" customWidth="1"/>
    <col min="9" max="9" width="21.5703125" style="305" bestFit="1" customWidth="1"/>
    <col min="10" max="10" width="17" style="306" customWidth="1"/>
    <col min="11" max="11" width="13" style="305" customWidth="1"/>
    <col min="12" max="12" width="9.5703125" style="302" bestFit="1" customWidth="1"/>
    <col min="13" max="13" width="13" style="302" bestFit="1" customWidth="1"/>
    <col min="14" max="15" width="9.140625" style="302"/>
    <col min="16" max="16" width="16.7109375" style="302" customWidth="1"/>
    <col min="17" max="17" width="32.42578125" style="302" customWidth="1"/>
    <col min="18" max="16384" width="9.140625" style="302"/>
  </cols>
  <sheetData>
    <row r="1" spans="1:13" ht="15.75" customHeight="1" x14ac:dyDescent="0.2">
      <c r="A1" s="635" t="s">
        <v>956</v>
      </c>
      <c r="B1" s="635"/>
      <c r="C1" s="635"/>
      <c r="D1" s="635"/>
      <c r="E1" s="635"/>
      <c r="F1" s="635"/>
      <c r="G1" s="635"/>
      <c r="H1" s="635"/>
      <c r="I1" s="635"/>
      <c r="J1" s="635"/>
      <c r="K1" s="635"/>
    </row>
    <row r="2" spans="1:13" ht="78" customHeight="1" x14ac:dyDescent="0.25">
      <c r="A2" s="75" t="s">
        <v>153</v>
      </c>
      <c r="B2" s="535" t="s">
        <v>152</v>
      </c>
      <c r="C2" s="73" t="s">
        <v>0</v>
      </c>
      <c r="D2" s="74" t="s">
        <v>1</v>
      </c>
      <c r="E2" s="74" t="s">
        <v>98</v>
      </c>
      <c r="F2" s="122" t="s">
        <v>99</v>
      </c>
      <c r="G2" s="74" t="s">
        <v>151</v>
      </c>
      <c r="H2" s="74" t="s">
        <v>150</v>
      </c>
      <c r="I2" s="73" t="s">
        <v>102</v>
      </c>
      <c r="J2" s="73" t="s">
        <v>103</v>
      </c>
      <c r="K2" s="73" t="s">
        <v>149</v>
      </c>
    </row>
    <row r="3" spans="1:13" ht="15.6" customHeight="1" x14ac:dyDescent="0.2">
      <c r="A3" s="50">
        <v>20412</v>
      </c>
      <c r="B3" s="67" t="s">
        <v>210</v>
      </c>
      <c r="C3" s="69" t="s">
        <v>957</v>
      </c>
      <c r="D3" s="536">
        <v>743284</v>
      </c>
      <c r="E3" s="66">
        <v>517042</v>
      </c>
      <c r="F3" s="198" t="s">
        <v>221</v>
      </c>
      <c r="G3" s="242">
        <v>0</v>
      </c>
      <c r="H3" s="207">
        <f>E3-G3</f>
        <v>517042</v>
      </c>
      <c r="I3" s="65" t="s">
        <v>958</v>
      </c>
      <c r="J3" s="580" t="s">
        <v>959</v>
      </c>
      <c r="K3" s="208"/>
    </row>
    <row r="4" spans="1:13" s="327" customFormat="1" ht="32.25" customHeight="1" x14ac:dyDescent="0.25">
      <c r="A4" s="50">
        <v>20413</v>
      </c>
      <c r="B4" s="67" t="s">
        <v>123</v>
      </c>
      <c r="C4" s="69" t="s">
        <v>960</v>
      </c>
      <c r="D4" s="581">
        <v>1108500</v>
      </c>
      <c r="E4" s="66">
        <v>92500</v>
      </c>
      <c r="F4" s="198" t="s">
        <v>526</v>
      </c>
      <c r="G4" s="242">
        <v>0</v>
      </c>
      <c r="H4" s="207">
        <f t="shared" ref="H4:H7" si="0">E4-G4</f>
        <v>92500</v>
      </c>
      <c r="I4" s="65" t="s">
        <v>958</v>
      </c>
      <c r="J4" s="580" t="s">
        <v>961</v>
      </c>
      <c r="K4" s="208"/>
    </row>
    <row r="5" spans="1:13" s="327" customFormat="1" ht="15.6" customHeight="1" x14ac:dyDescent="0.25">
      <c r="A5" s="50">
        <v>20414</v>
      </c>
      <c r="B5" s="67" t="s">
        <v>530</v>
      </c>
      <c r="C5" s="69" t="s">
        <v>962</v>
      </c>
      <c r="D5" s="581">
        <v>414000</v>
      </c>
      <c r="E5" s="66">
        <v>329000</v>
      </c>
      <c r="F5" s="198" t="s">
        <v>221</v>
      </c>
      <c r="G5" s="242">
        <v>0</v>
      </c>
      <c r="H5" s="207">
        <f t="shared" si="0"/>
        <v>329000</v>
      </c>
      <c r="I5" s="65" t="s">
        <v>958</v>
      </c>
      <c r="J5" s="580" t="s">
        <v>959</v>
      </c>
      <c r="K5" s="208"/>
    </row>
    <row r="6" spans="1:13" s="327" customFormat="1" ht="15.6" customHeight="1" x14ac:dyDescent="0.25">
      <c r="A6" s="50">
        <v>20415</v>
      </c>
      <c r="B6" s="67" t="s">
        <v>130</v>
      </c>
      <c r="C6" s="69" t="s">
        <v>963</v>
      </c>
      <c r="D6" s="581">
        <v>243830</v>
      </c>
      <c r="E6" s="66">
        <v>195064</v>
      </c>
      <c r="F6" s="198" t="s">
        <v>221</v>
      </c>
      <c r="G6" s="242">
        <v>0</v>
      </c>
      <c r="H6" s="207">
        <f t="shared" si="0"/>
        <v>195064</v>
      </c>
      <c r="I6" s="65" t="s">
        <v>958</v>
      </c>
      <c r="J6" s="580" t="s">
        <v>959</v>
      </c>
      <c r="K6" s="208"/>
    </row>
    <row r="7" spans="1:13" ht="26.45" customHeight="1" x14ac:dyDescent="0.25">
      <c r="A7" s="50">
        <v>20416</v>
      </c>
      <c r="B7" s="67" t="s">
        <v>754</v>
      </c>
      <c r="C7" s="69" t="s">
        <v>964</v>
      </c>
      <c r="D7" s="582">
        <v>700000</v>
      </c>
      <c r="E7" s="66">
        <f>525000-158606</f>
        <v>366394</v>
      </c>
      <c r="F7" s="198" t="s">
        <v>221</v>
      </c>
      <c r="G7" s="537">
        <v>328095</v>
      </c>
      <c r="H7" s="207">
        <f t="shared" si="0"/>
        <v>38299</v>
      </c>
      <c r="I7" s="65" t="s">
        <v>958</v>
      </c>
      <c r="J7" s="580" t="s">
        <v>959</v>
      </c>
      <c r="K7" s="208"/>
    </row>
    <row r="8" spans="1:13" ht="15.6" customHeight="1" x14ac:dyDescent="0.25">
      <c r="A8" s="119"/>
      <c r="B8" s="538"/>
      <c r="C8" s="57" t="s">
        <v>140</v>
      </c>
      <c r="D8" s="108"/>
      <c r="E8" s="55">
        <f>SUM(E3:E7)</f>
        <v>1500000</v>
      </c>
      <c r="F8" s="210"/>
      <c r="G8" s="119"/>
      <c r="H8" s="211">
        <f>SUM(H3:H7)</f>
        <v>1171905</v>
      </c>
      <c r="I8" s="118"/>
      <c r="J8" s="117"/>
      <c r="K8" s="116"/>
      <c r="M8" s="303"/>
    </row>
    <row r="9" spans="1:13" ht="15.6" customHeight="1" x14ac:dyDescent="0.25">
      <c r="A9" s="583"/>
      <c r="B9" s="584"/>
      <c r="C9" s="585"/>
      <c r="D9" s="586"/>
      <c r="E9" s="587"/>
      <c r="F9" s="588"/>
      <c r="G9" s="583"/>
      <c r="H9" s="589"/>
      <c r="I9" s="590"/>
      <c r="J9" s="591"/>
      <c r="K9" s="592"/>
    </row>
    <row r="10" spans="1:13" ht="15.75" customHeight="1" x14ac:dyDescent="0.2">
      <c r="A10" s="635" t="s">
        <v>854</v>
      </c>
      <c r="B10" s="635"/>
      <c r="C10" s="635"/>
      <c r="D10" s="635"/>
      <c r="E10" s="635"/>
      <c r="F10" s="635"/>
      <c r="G10" s="635"/>
      <c r="H10" s="635"/>
      <c r="I10" s="635"/>
      <c r="J10" s="635"/>
      <c r="K10" s="635"/>
    </row>
    <row r="11" spans="1:13" ht="78" customHeight="1" x14ac:dyDescent="0.25">
      <c r="A11" s="75" t="s">
        <v>153</v>
      </c>
      <c r="B11" s="535" t="s">
        <v>152</v>
      </c>
      <c r="C11" s="73" t="s">
        <v>0</v>
      </c>
      <c r="D11" s="74" t="s">
        <v>1</v>
      </c>
      <c r="E11" s="74" t="s">
        <v>98</v>
      </c>
      <c r="F11" s="122" t="s">
        <v>99</v>
      </c>
      <c r="G11" s="74" t="s">
        <v>151</v>
      </c>
      <c r="H11" s="74" t="s">
        <v>150</v>
      </c>
      <c r="I11" s="73" t="s">
        <v>102</v>
      </c>
      <c r="J11" s="73" t="s">
        <v>103</v>
      </c>
      <c r="K11" s="73" t="s">
        <v>149</v>
      </c>
    </row>
    <row r="12" spans="1:13" ht="15.6" customHeight="1" x14ac:dyDescent="0.25">
      <c r="A12" s="50">
        <v>20271</v>
      </c>
      <c r="B12" s="343" t="s">
        <v>210</v>
      </c>
      <c r="C12" s="69" t="s">
        <v>855</v>
      </c>
      <c r="D12" s="593">
        <f>E12/0.8</f>
        <v>408750</v>
      </c>
      <c r="E12" s="66">
        <f>405009-44904-33105</f>
        <v>327000</v>
      </c>
      <c r="F12" s="198" t="s">
        <v>221</v>
      </c>
      <c r="G12" s="242">
        <v>281347</v>
      </c>
      <c r="H12" s="207">
        <f>E12-G12</f>
        <v>45653</v>
      </c>
      <c r="I12" s="65" t="s">
        <v>856</v>
      </c>
      <c r="J12" s="96" t="s">
        <v>857</v>
      </c>
      <c r="K12" s="208"/>
    </row>
    <row r="13" spans="1:13" ht="26.45" customHeight="1" x14ac:dyDescent="0.25">
      <c r="A13" s="50">
        <v>19449</v>
      </c>
      <c r="B13" s="343" t="s">
        <v>858</v>
      </c>
      <c r="C13" s="69" t="s">
        <v>859</v>
      </c>
      <c r="D13" s="593">
        <v>1289000</v>
      </c>
      <c r="E13" s="66">
        <v>600000</v>
      </c>
      <c r="F13" s="198" t="s">
        <v>221</v>
      </c>
      <c r="G13" s="537">
        <v>0</v>
      </c>
      <c r="H13" s="207">
        <f t="shared" ref="H13:H15" si="1">E13-G13</f>
        <v>600000</v>
      </c>
      <c r="I13" s="65" t="s">
        <v>856</v>
      </c>
      <c r="J13" s="96" t="s">
        <v>857</v>
      </c>
      <c r="K13" s="208"/>
    </row>
    <row r="14" spans="1:13" ht="15.75" x14ac:dyDescent="0.25">
      <c r="A14" s="50">
        <v>19450</v>
      </c>
      <c r="B14" s="343" t="s">
        <v>411</v>
      </c>
      <c r="C14" s="69" t="s">
        <v>860</v>
      </c>
      <c r="D14" s="593">
        <v>806400</v>
      </c>
      <c r="E14" s="66">
        <v>539895</v>
      </c>
      <c r="F14" s="198" t="s">
        <v>221</v>
      </c>
      <c r="G14" s="537">
        <v>539895</v>
      </c>
      <c r="H14" s="207">
        <f t="shared" si="1"/>
        <v>0</v>
      </c>
      <c r="I14" s="65" t="s">
        <v>485</v>
      </c>
      <c r="J14" s="96">
        <v>43453</v>
      </c>
      <c r="K14" s="68">
        <v>43453</v>
      </c>
    </row>
    <row r="15" spans="1:13" ht="30" x14ac:dyDescent="0.25">
      <c r="A15" s="50">
        <v>20416</v>
      </c>
      <c r="B15" s="594" t="s">
        <v>754</v>
      </c>
      <c r="C15" s="69" t="s">
        <v>965</v>
      </c>
      <c r="D15" s="582">
        <v>700000</v>
      </c>
      <c r="E15" s="66">
        <f>E16-SUM(E12:E14)</f>
        <v>33105</v>
      </c>
      <c r="F15" s="198" t="s">
        <v>221</v>
      </c>
      <c r="G15" s="537">
        <v>33105</v>
      </c>
      <c r="H15" s="207">
        <f t="shared" si="1"/>
        <v>0</v>
      </c>
      <c r="I15" s="65" t="s">
        <v>958</v>
      </c>
      <c r="J15" s="96" t="s">
        <v>959</v>
      </c>
      <c r="K15" s="208"/>
    </row>
    <row r="16" spans="1:13" ht="15.6" customHeight="1" x14ac:dyDescent="0.25">
      <c r="A16" s="119"/>
      <c r="B16" s="538"/>
      <c r="C16" s="57" t="s">
        <v>140</v>
      </c>
      <c r="D16" s="108"/>
      <c r="E16" s="55">
        <f>1500000</f>
        <v>1500000</v>
      </c>
      <c r="F16" s="210"/>
      <c r="G16" s="470"/>
      <c r="H16" s="211">
        <f>SUM(H12:H14)</f>
        <v>645653</v>
      </c>
      <c r="I16" s="118"/>
      <c r="J16" s="117"/>
      <c r="K16" s="116"/>
      <c r="M16" s="303"/>
    </row>
    <row r="17" spans="1:13" x14ac:dyDescent="0.2">
      <c r="M17" s="303"/>
    </row>
    <row r="18" spans="1:13" ht="15.75" customHeight="1" x14ac:dyDescent="0.2">
      <c r="A18" s="635" t="s">
        <v>747</v>
      </c>
      <c r="B18" s="635"/>
      <c r="C18" s="635"/>
      <c r="D18" s="635"/>
      <c r="E18" s="635"/>
      <c r="F18" s="635"/>
      <c r="G18" s="635"/>
      <c r="H18" s="635"/>
      <c r="I18" s="635"/>
      <c r="J18" s="635"/>
      <c r="K18" s="635"/>
    </row>
    <row r="19" spans="1:13" ht="78" customHeight="1" x14ac:dyDescent="0.25">
      <c r="A19" s="75" t="s">
        <v>153</v>
      </c>
      <c r="B19" s="73" t="s">
        <v>152</v>
      </c>
      <c r="C19" s="73" t="s">
        <v>0</v>
      </c>
      <c r="D19" s="74" t="s">
        <v>1</v>
      </c>
      <c r="E19" s="74" t="s">
        <v>98</v>
      </c>
      <c r="F19" s="122" t="s">
        <v>99</v>
      </c>
      <c r="G19" s="74" t="s">
        <v>151</v>
      </c>
      <c r="H19" s="74" t="s">
        <v>150</v>
      </c>
      <c r="I19" s="73" t="s">
        <v>102</v>
      </c>
      <c r="J19" s="73" t="s">
        <v>103</v>
      </c>
      <c r="K19" s="73" t="s">
        <v>149</v>
      </c>
    </row>
    <row r="20" spans="1:13" ht="15.6" customHeight="1" x14ac:dyDescent="0.2">
      <c r="A20" s="50">
        <v>18417</v>
      </c>
      <c r="B20" s="67" t="s">
        <v>210</v>
      </c>
      <c r="C20" s="69" t="s">
        <v>748</v>
      </c>
      <c r="D20" s="207">
        <v>400000</v>
      </c>
      <c r="E20" s="66">
        <f>320000-67514</f>
        <v>252486</v>
      </c>
      <c r="F20" s="198" t="s">
        <v>221</v>
      </c>
      <c r="G20" s="242">
        <v>252486</v>
      </c>
      <c r="H20" s="207">
        <f>E20-G20</f>
        <v>0</v>
      </c>
      <c r="I20" s="65" t="s">
        <v>485</v>
      </c>
      <c r="J20" s="96">
        <v>43238</v>
      </c>
      <c r="K20" s="580">
        <v>43238</v>
      </c>
    </row>
    <row r="21" spans="1:13" ht="26.45" customHeight="1" x14ac:dyDescent="0.2">
      <c r="A21" s="50">
        <v>18418</v>
      </c>
      <c r="B21" s="67" t="s">
        <v>749</v>
      </c>
      <c r="C21" s="69" t="s">
        <v>490</v>
      </c>
      <c r="D21" s="207">
        <v>6340247</v>
      </c>
      <c r="E21" s="66">
        <v>569823</v>
      </c>
      <c r="F21" s="198" t="s">
        <v>526</v>
      </c>
      <c r="G21" s="537">
        <v>569823</v>
      </c>
      <c r="H21" s="207">
        <f t="shared" ref="H21:H26" si="2">E21-G21</f>
        <v>0</v>
      </c>
      <c r="I21" s="65" t="s">
        <v>485</v>
      </c>
      <c r="J21" s="96">
        <v>43052</v>
      </c>
      <c r="K21" s="580">
        <v>43052</v>
      </c>
    </row>
    <row r="22" spans="1:13" x14ac:dyDescent="0.2">
      <c r="A22" s="50">
        <v>18419</v>
      </c>
      <c r="B22" s="67" t="s">
        <v>750</v>
      </c>
      <c r="C22" s="69" t="s">
        <v>751</v>
      </c>
      <c r="D22" s="207">
        <v>281887</v>
      </c>
      <c r="E22" s="66">
        <v>225509</v>
      </c>
      <c r="F22" s="198" t="s">
        <v>221</v>
      </c>
      <c r="G22" s="537">
        <v>225509</v>
      </c>
      <c r="H22" s="207">
        <f t="shared" si="2"/>
        <v>0</v>
      </c>
      <c r="I22" s="65" t="s">
        <v>485</v>
      </c>
      <c r="J22" s="96">
        <v>43258</v>
      </c>
      <c r="K22" s="580">
        <v>43258</v>
      </c>
    </row>
    <row r="23" spans="1:13" ht="15.6" customHeight="1" x14ac:dyDescent="0.2">
      <c r="A23" s="50">
        <v>18420</v>
      </c>
      <c r="B23" s="67" t="s">
        <v>752</v>
      </c>
      <c r="C23" s="69" t="s">
        <v>753</v>
      </c>
      <c r="D23" s="207">
        <v>20000</v>
      </c>
      <c r="E23" s="66">
        <f>16000-2768</f>
        <v>13232</v>
      </c>
      <c r="F23" s="198" t="s">
        <v>221</v>
      </c>
      <c r="G23" s="537">
        <v>13232</v>
      </c>
      <c r="H23" s="207">
        <f t="shared" si="2"/>
        <v>0</v>
      </c>
      <c r="I23" s="65" t="s">
        <v>485</v>
      </c>
      <c r="J23" s="96">
        <v>43237</v>
      </c>
      <c r="K23" s="580">
        <v>43237</v>
      </c>
    </row>
    <row r="24" spans="1:13" ht="27" customHeight="1" x14ac:dyDescent="0.2">
      <c r="A24" s="50">
        <v>18421</v>
      </c>
      <c r="B24" s="67" t="s">
        <v>754</v>
      </c>
      <c r="C24" s="69" t="s">
        <v>755</v>
      </c>
      <c r="D24" s="207">
        <v>600000</v>
      </c>
      <c r="E24" s="66">
        <f>400000-76236</f>
        <v>323764</v>
      </c>
      <c r="F24" s="198" t="s">
        <v>756</v>
      </c>
      <c r="G24" s="537">
        <v>323764</v>
      </c>
      <c r="H24" s="207">
        <f t="shared" si="2"/>
        <v>0</v>
      </c>
      <c r="I24" s="65" t="s">
        <v>485</v>
      </c>
      <c r="J24" s="96">
        <v>42639</v>
      </c>
      <c r="K24" s="580">
        <v>42639</v>
      </c>
    </row>
    <row r="25" spans="1:13" ht="15.75" x14ac:dyDescent="0.25">
      <c r="A25" s="341">
        <v>20271</v>
      </c>
      <c r="B25" s="343" t="s">
        <v>210</v>
      </c>
      <c r="C25" s="331" t="s">
        <v>861</v>
      </c>
      <c r="D25" s="539">
        <f>E25/0.8</f>
        <v>56130</v>
      </c>
      <c r="E25" s="123">
        <v>44904</v>
      </c>
      <c r="F25" s="198" t="s">
        <v>221</v>
      </c>
      <c r="G25" s="537">
        <v>44904</v>
      </c>
      <c r="H25" s="207">
        <f t="shared" si="2"/>
        <v>0</v>
      </c>
      <c r="I25" s="65" t="s">
        <v>856</v>
      </c>
      <c r="J25" s="96" t="s">
        <v>857</v>
      </c>
      <c r="K25" s="67"/>
    </row>
    <row r="26" spans="1:13" ht="30" x14ac:dyDescent="0.25">
      <c r="A26" s="50">
        <v>20416</v>
      </c>
      <c r="B26" s="67" t="s">
        <v>754</v>
      </c>
      <c r="C26" s="69" t="s">
        <v>966</v>
      </c>
      <c r="D26" s="582">
        <v>700000</v>
      </c>
      <c r="E26" s="123">
        <f>2768+67514</f>
        <v>70282</v>
      </c>
      <c r="F26" s="198" t="s">
        <v>221</v>
      </c>
      <c r="G26" s="537">
        <v>70282</v>
      </c>
      <c r="H26" s="207">
        <f t="shared" si="2"/>
        <v>0</v>
      </c>
      <c r="I26" s="65" t="s">
        <v>958</v>
      </c>
      <c r="J26" s="96" t="s">
        <v>959</v>
      </c>
      <c r="K26" s="67"/>
    </row>
    <row r="27" spans="1:13" ht="15.6" customHeight="1" x14ac:dyDescent="0.25">
      <c r="A27" s="119"/>
      <c r="B27" s="89"/>
      <c r="C27" s="57" t="s">
        <v>140</v>
      </c>
      <c r="D27" s="108"/>
      <c r="E27" s="55">
        <f>1500000</f>
        <v>1500000</v>
      </c>
      <c r="F27" s="210"/>
      <c r="G27" s="470"/>
      <c r="H27" s="211">
        <f>SUM(H20:H25)</f>
        <v>0</v>
      </c>
      <c r="I27" s="118"/>
      <c r="J27" s="117"/>
      <c r="K27" s="116"/>
    </row>
    <row r="28" spans="1:13" ht="15.6" customHeight="1" x14ac:dyDescent="0.25">
      <c r="A28" s="119"/>
      <c r="B28" s="89"/>
      <c r="C28" s="57"/>
      <c r="D28" s="108"/>
      <c r="E28" s="55"/>
      <c r="F28" s="210"/>
      <c r="G28" s="119"/>
      <c r="H28" s="211"/>
      <c r="I28" s="118"/>
      <c r="J28" s="117"/>
      <c r="K28" s="116"/>
    </row>
    <row r="29" spans="1:13" ht="15.75" customHeight="1" x14ac:dyDescent="0.2">
      <c r="A29" s="635" t="s">
        <v>523</v>
      </c>
      <c r="B29" s="635"/>
      <c r="C29" s="635"/>
      <c r="D29" s="635"/>
      <c r="E29" s="635"/>
      <c r="F29" s="635"/>
      <c r="G29" s="635"/>
      <c r="H29" s="635"/>
      <c r="I29" s="635"/>
      <c r="J29" s="635"/>
      <c r="K29" s="635"/>
    </row>
    <row r="30" spans="1:13" ht="78" customHeight="1" x14ac:dyDescent="0.25">
      <c r="A30" s="75" t="s">
        <v>153</v>
      </c>
      <c r="B30" s="73" t="s">
        <v>152</v>
      </c>
      <c r="C30" s="73" t="s">
        <v>0</v>
      </c>
      <c r="D30" s="74" t="s">
        <v>1</v>
      </c>
      <c r="E30" s="74" t="s">
        <v>98</v>
      </c>
      <c r="F30" s="122" t="s">
        <v>99</v>
      </c>
      <c r="G30" s="74" t="s">
        <v>151</v>
      </c>
      <c r="H30" s="74" t="s">
        <v>150</v>
      </c>
      <c r="I30" s="73" t="s">
        <v>102</v>
      </c>
      <c r="J30" s="73" t="s">
        <v>103</v>
      </c>
      <c r="K30" s="73" t="s">
        <v>149</v>
      </c>
    </row>
    <row r="31" spans="1:13" ht="15.6" customHeight="1" x14ac:dyDescent="0.2">
      <c r="A31" s="472">
        <v>17521</v>
      </c>
      <c r="B31" s="52" t="s">
        <v>219</v>
      </c>
      <c r="C31" s="240" t="s">
        <v>524</v>
      </c>
      <c r="D31" s="207">
        <v>645846</v>
      </c>
      <c r="E31" s="241">
        <v>480000</v>
      </c>
      <c r="F31" s="198" t="s">
        <v>221</v>
      </c>
      <c r="G31" s="242">
        <v>480000</v>
      </c>
      <c r="H31" s="207">
        <f>E31-G31</f>
        <v>0</v>
      </c>
      <c r="I31" s="61" t="s">
        <v>144</v>
      </c>
      <c r="J31" s="96">
        <v>42717</v>
      </c>
      <c r="K31" s="580">
        <v>42717</v>
      </c>
    </row>
    <row r="32" spans="1:13" ht="26.45" customHeight="1" x14ac:dyDescent="0.2">
      <c r="A32" s="472">
        <v>17522</v>
      </c>
      <c r="B32" s="52" t="s">
        <v>123</v>
      </c>
      <c r="C32" s="240" t="s">
        <v>525</v>
      </c>
      <c r="D32" s="207">
        <v>1050000</v>
      </c>
      <c r="E32" s="241">
        <v>369007</v>
      </c>
      <c r="F32" s="198" t="s">
        <v>526</v>
      </c>
      <c r="G32" s="242">
        <v>369007</v>
      </c>
      <c r="H32" s="207">
        <f t="shared" ref="H32:H36" si="3">E32-G32</f>
        <v>0</v>
      </c>
      <c r="I32" s="65" t="s">
        <v>485</v>
      </c>
      <c r="J32" s="96">
        <v>42744</v>
      </c>
      <c r="K32" s="580">
        <v>42744</v>
      </c>
    </row>
    <row r="33" spans="1:11" ht="30" x14ac:dyDescent="0.2">
      <c r="A33" s="472">
        <v>17523</v>
      </c>
      <c r="B33" s="52" t="s">
        <v>130</v>
      </c>
      <c r="C33" s="240" t="s">
        <v>527</v>
      </c>
      <c r="D33" s="207">
        <v>17741</v>
      </c>
      <c r="E33" s="241">
        <f>110800-20143-69658-6794-12</f>
        <v>14193</v>
      </c>
      <c r="F33" s="198" t="s">
        <v>221</v>
      </c>
      <c r="G33" s="242">
        <v>14193</v>
      </c>
      <c r="H33" s="207">
        <f t="shared" si="3"/>
        <v>0</v>
      </c>
      <c r="I33" s="61" t="s">
        <v>144</v>
      </c>
      <c r="J33" s="96">
        <v>43159</v>
      </c>
      <c r="K33" s="580">
        <v>43159</v>
      </c>
    </row>
    <row r="34" spans="1:11" ht="15.6" customHeight="1" x14ac:dyDescent="0.2">
      <c r="A34" s="472">
        <v>17519</v>
      </c>
      <c r="B34" s="52" t="s">
        <v>528</v>
      </c>
      <c r="C34" s="240" t="s">
        <v>529</v>
      </c>
      <c r="D34" s="207">
        <v>763390</v>
      </c>
      <c r="E34" s="241">
        <v>600000</v>
      </c>
      <c r="F34" s="198" t="s">
        <v>221</v>
      </c>
      <c r="G34" s="242">
        <v>600000</v>
      </c>
      <c r="H34" s="207">
        <f t="shared" si="3"/>
        <v>0</v>
      </c>
      <c r="I34" s="65" t="s">
        <v>485</v>
      </c>
      <c r="J34" s="96">
        <v>42928</v>
      </c>
      <c r="K34" s="580">
        <v>42928</v>
      </c>
    </row>
    <row r="35" spans="1:11" s="327" customFormat="1" ht="15.6" customHeight="1" x14ac:dyDescent="0.2">
      <c r="A35" s="472">
        <v>17520</v>
      </c>
      <c r="B35" s="52" t="s">
        <v>530</v>
      </c>
      <c r="C35" s="240" t="s">
        <v>531</v>
      </c>
      <c r="D35" s="207">
        <v>46000</v>
      </c>
      <c r="E35" s="241">
        <v>3695</v>
      </c>
      <c r="F35" s="198" t="s">
        <v>221</v>
      </c>
      <c r="G35" s="242">
        <f>49340-47200+1555</f>
        <v>3695</v>
      </c>
      <c r="H35" s="207">
        <f t="shared" si="3"/>
        <v>0</v>
      </c>
      <c r="I35" s="65" t="s">
        <v>485</v>
      </c>
      <c r="J35" s="96">
        <v>43087</v>
      </c>
      <c r="K35" s="580">
        <v>43087</v>
      </c>
    </row>
    <row r="36" spans="1:11" ht="15.6" customHeight="1" x14ac:dyDescent="0.25">
      <c r="A36" s="341">
        <v>20271</v>
      </c>
      <c r="B36" s="343" t="s">
        <v>210</v>
      </c>
      <c r="C36" s="331" t="s">
        <v>862</v>
      </c>
      <c r="D36" s="539">
        <f>E36/0.8</f>
        <v>41381.25</v>
      </c>
      <c r="E36" s="241">
        <f>E37-SUM(E31:E35)</f>
        <v>33105</v>
      </c>
      <c r="F36" s="198" t="s">
        <v>221</v>
      </c>
      <c r="G36" s="242">
        <v>33105</v>
      </c>
      <c r="H36" s="207">
        <f t="shared" si="3"/>
        <v>0</v>
      </c>
      <c r="I36" s="65" t="s">
        <v>856</v>
      </c>
      <c r="J36" s="96" t="s">
        <v>857</v>
      </c>
      <c r="K36" s="595"/>
    </row>
    <row r="37" spans="1:11" ht="15.6" customHeight="1" x14ac:dyDescent="0.25">
      <c r="A37" s="119"/>
      <c r="B37" s="89"/>
      <c r="C37" s="57" t="s">
        <v>140</v>
      </c>
      <c r="D37" s="108"/>
      <c r="E37" s="55">
        <v>1500000</v>
      </c>
      <c r="F37" s="210"/>
      <c r="G37" s="119"/>
      <c r="H37" s="211">
        <f>SUM(H31:H35)</f>
        <v>0</v>
      </c>
      <c r="I37" s="118"/>
      <c r="J37" s="117"/>
      <c r="K37" s="116"/>
    </row>
    <row r="39" spans="1:11" ht="15.6" customHeight="1" x14ac:dyDescent="0.2">
      <c r="A39" s="635" t="s">
        <v>487</v>
      </c>
      <c r="B39" s="635"/>
      <c r="C39" s="635"/>
      <c r="D39" s="635"/>
      <c r="E39" s="635"/>
      <c r="F39" s="635"/>
      <c r="G39" s="635"/>
      <c r="H39" s="635"/>
      <c r="I39" s="635"/>
      <c r="J39" s="635"/>
      <c r="K39" s="635"/>
    </row>
    <row r="40" spans="1:11" ht="78" customHeight="1" x14ac:dyDescent="0.25">
      <c r="A40" s="75" t="s">
        <v>153</v>
      </c>
      <c r="B40" s="73" t="s">
        <v>152</v>
      </c>
      <c r="C40" s="73" t="s">
        <v>0</v>
      </c>
      <c r="D40" s="74" t="s">
        <v>1</v>
      </c>
      <c r="E40" s="74" t="s">
        <v>98</v>
      </c>
      <c r="F40" s="122" t="s">
        <v>99</v>
      </c>
      <c r="G40" s="74" t="s">
        <v>151</v>
      </c>
      <c r="H40" s="74" t="s">
        <v>150</v>
      </c>
      <c r="I40" s="73" t="s">
        <v>102</v>
      </c>
      <c r="J40" s="73" t="s">
        <v>103</v>
      </c>
      <c r="K40" s="73" t="s">
        <v>149</v>
      </c>
    </row>
    <row r="41" spans="1:11" x14ac:dyDescent="0.2">
      <c r="A41" s="472">
        <v>16399</v>
      </c>
      <c r="B41" s="52" t="s">
        <v>219</v>
      </c>
      <c r="C41" s="240" t="s">
        <v>488</v>
      </c>
      <c r="D41" s="207">
        <v>55000</v>
      </c>
      <c r="E41" s="241">
        <v>44000</v>
      </c>
      <c r="F41" s="198" t="s">
        <v>220</v>
      </c>
      <c r="G41" s="207">
        <v>44000</v>
      </c>
      <c r="H41" s="207">
        <f>E41-G41</f>
        <v>0</v>
      </c>
      <c r="I41" s="61" t="s">
        <v>144</v>
      </c>
      <c r="J41" s="96">
        <v>42116</v>
      </c>
      <c r="K41" s="580">
        <v>42116</v>
      </c>
    </row>
    <row r="42" spans="1:11" ht="26.45" customHeight="1" x14ac:dyDescent="0.2">
      <c r="A42" s="472">
        <v>16400</v>
      </c>
      <c r="B42" s="52" t="s">
        <v>123</v>
      </c>
      <c r="C42" s="240" t="s">
        <v>489</v>
      </c>
      <c r="D42" s="207">
        <v>965000</v>
      </c>
      <c r="E42" s="241">
        <v>600000</v>
      </c>
      <c r="F42" s="198" t="s">
        <v>212</v>
      </c>
      <c r="G42" s="207">
        <v>600000</v>
      </c>
      <c r="H42" s="207">
        <f t="shared" ref="H42:H45" si="4">E42-G42</f>
        <v>0</v>
      </c>
      <c r="I42" s="61" t="s">
        <v>144</v>
      </c>
      <c r="J42" s="96">
        <v>42354</v>
      </c>
      <c r="K42" s="580">
        <v>42354</v>
      </c>
    </row>
    <row r="43" spans="1:11" ht="26.45" customHeight="1" x14ac:dyDescent="0.2">
      <c r="A43" s="472">
        <v>16401</v>
      </c>
      <c r="B43" s="52" t="s">
        <v>124</v>
      </c>
      <c r="C43" s="240" t="s">
        <v>490</v>
      </c>
      <c r="D43" s="207">
        <v>5184568</v>
      </c>
      <c r="E43" s="241">
        <v>600000</v>
      </c>
      <c r="F43" s="198" t="s">
        <v>212</v>
      </c>
      <c r="G43" s="207">
        <v>600000</v>
      </c>
      <c r="H43" s="207">
        <f t="shared" si="4"/>
        <v>0</v>
      </c>
      <c r="I43" s="65" t="s">
        <v>485</v>
      </c>
      <c r="J43" s="96">
        <v>42926</v>
      </c>
      <c r="K43" s="580">
        <v>42926</v>
      </c>
    </row>
    <row r="44" spans="1:11" ht="26.25" customHeight="1" x14ac:dyDescent="0.2">
      <c r="A44" s="472">
        <v>16402</v>
      </c>
      <c r="B44" s="52" t="s">
        <v>130</v>
      </c>
      <c r="C44" s="240" t="s">
        <v>491</v>
      </c>
      <c r="D44" s="207">
        <v>280000</v>
      </c>
      <c r="E44" s="241">
        <v>208800</v>
      </c>
      <c r="F44" s="198" t="s">
        <v>212</v>
      </c>
      <c r="G44" s="207">
        <v>208800</v>
      </c>
      <c r="H44" s="207">
        <f t="shared" si="4"/>
        <v>0</v>
      </c>
      <c r="I44" s="61" t="s">
        <v>144</v>
      </c>
      <c r="J44" s="96">
        <v>42381</v>
      </c>
      <c r="K44" s="580">
        <v>42381</v>
      </c>
    </row>
    <row r="45" spans="1:11" x14ac:dyDescent="0.2">
      <c r="A45" s="472">
        <v>17520</v>
      </c>
      <c r="B45" s="52" t="s">
        <v>530</v>
      </c>
      <c r="C45" s="240" t="s">
        <v>532</v>
      </c>
      <c r="D45" s="124">
        <v>59000</v>
      </c>
      <c r="E45" s="123">
        <f>E46-SUM(E41:E44)</f>
        <v>47200</v>
      </c>
      <c r="F45" s="198" t="s">
        <v>221</v>
      </c>
      <c r="G45" s="212">
        <v>47200</v>
      </c>
      <c r="H45" s="207">
        <f t="shared" si="4"/>
        <v>0</v>
      </c>
      <c r="I45" s="65" t="s">
        <v>485</v>
      </c>
      <c r="J45" s="96">
        <v>43087</v>
      </c>
      <c r="K45" s="580">
        <v>43087</v>
      </c>
    </row>
    <row r="46" spans="1:11" ht="15.6" customHeight="1" x14ac:dyDescent="0.25">
      <c r="A46" s="119"/>
      <c r="B46" s="89"/>
      <c r="C46" s="57" t="s">
        <v>140</v>
      </c>
      <c r="D46" s="108"/>
      <c r="E46" s="55">
        <v>1500000</v>
      </c>
      <c r="F46" s="210"/>
      <c r="G46" s="470"/>
      <c r="H46" s="211">
        <f>SUM(H41:H45)</f>
        <v>0</v>
      </c>
      <c r="I46" s="307"/>
      <c r="J46" s="308"/>
      <c r="K46" s="309"/>
    </row>
    <row r="47" spans="1:11" ht="15.6" customHeight="1" x14ac:dyDescent="0.2">
      <c r="A47" s="310"/>
      <c r="B47" s="311"/>
    </row>
    <row r="48" spans="1:11" ht="15.6" customHeight="1" x14ac:dyDescent="0.2">
      <c r="A48" s="635" t="s">
        <v>410</v>
      </c>
      <c r="B48" s="635"/>
      <c r="C48" s="635"/>
      <c r="D48" s="635"/>
      <c r="E48" s="635"/>
      <c r="F48" s="635"/>
      <c r="G48" s="635"/>
      <c r="H48" s="635"/>
      <c r="I48" s="635"/>
      <c r="J48" s="635"/>
      <c r="K48" s="635"/>
    </row>
    <row r="49" spans="1:18" ht="78" customHeight="1" x14ac:dyDescent="0.25">
      <c r="A49" s="75" t="s">
        <v>153</v>
      </c>
      <c r="B49" s="73" t="s">
        <v>152</v>
      </c>
      <c r="C49" s="73" t="s">
        <v>0</v>
      </c>
      <c r="D49" s="74" t="s">
        <v>1</v>
      </c>
      <c r="E49" s="74" t="s">
        <v>98</v>
      </c>
      <c r="F49" s="122" t="s">
        <v>99</v>
      </c>
      <c r="G49" s="74" t="s">
        <v>151</v>
      </c>
      <c r="H49" s="74" t="s">
        <v>150</v>
      </c>
      <c r="I49" s="73" t="s">
        <v>102</v>
      </c>
      <c r="J49" s="73" t="s">
        <v>103</v>
      </c>
      <c r="K49" s="73" t="s">
        <v>149</v>
      </c>
    </row>
    <row r="50" spans="1:18" s="327" customFormat="1" x14ac:dyDescent="0.2">
      <c r="A50" s="52">
        <v>15510</v>
      </c>
      <c r="B50" s="52" t="s">
        <v>411</v>
      </c>
      <c r="C50" s="52" t="s">
        <v>412</v>
      </c>
      <c r="D50" s="207">
        <v>433900</v>
      </c>
      <c r="E50" s="207">
        <v>347120</v>
      </c>
      <c r="F50" s="198" t="s">
        <v>221</v>
      </c>
      <c r="G50" s="207">
        <v>347120</v>
      </c>
      <c r="H50" s="207">
        <f>E50-G50</f>
        <v>0</v>
      </c>
      <c r="I50" s="61" t="s">
        <v>144</v>
      </c>
      <c r="J50" s="580">
        <v>42079</v>
      </c>
      <c r="K50" s="580">
        <v>42079</v>
      </c>
    </row>
    <row r="51" spans="1:18" s="327" customFormat="1" ht="15.6" customHeight="1" x14ac:dyDescent="0.2">
      <c r="A51" s="52">
        <v>15511</v>
      </c>
      <c r="B51" s="52" t="s">
        <v>413</v>
      </c>
      <c r="C51" s="52" t="s">
        <v>414</v>
      </c>
      <c r="D51" s="207">
        <v>70000</v>
      </c>
      <c r="E51" s="207">
        <f>56000-23120</f>
        <v>32880</v>
      </c>
      <c r="F51" s="198" t="s">
        <v>221</v>
      </c>
      <c r="G51" s="207">
        <v>32880</v>
      </c>
      <c r="H51" s="207">
        <f t="shared" ref="H51:H60" si="5">E51-G51</f>
        <v>0</v>
      </c>
      <c r="I51" s="61" t="s">
        <v>144</v>
      </c>
      <c r="J51" s="580">
        <v>42600</v>
      </c>
      <c r="K51" s="580">
        <v>42600</v>
      </c>
    </row>
    <row r="52" spans="1:18" s="327" customFormat="1" x14ac:dyDescent="0.2">
      <c r="A52" s="52">
        <v>15512</v>
      </c>
      <c r="B52" s="52" t="s">
        <v>415</v>
      </c>
      <c r="C52" s="52" t="s">
        <v>416</v>
      </c>
      <c r="D52" s="207">
        <v>202800</v>
      </c>
      <c r="E52" s="207">
        <v>162240</v>
      </c>
      <c r="F52" s="198" t="s">
        <v>221</v>
      </c>
      <c r="G52" s="207">
        <v>162240</v>
      </c>
      <c r="H52" s="207">
        <f t="shared" si="5"/>
        <v>0</v>
      </c>
      <c r="I52" s="65" t="s">
        <v>144</v>
      </c>
      <c r="J52" s="580">
        <v>41847</v>
      </c>
      <c r="K52" s="580">
        <v>41847</v>
      </c>
    </row>
    <row r="53" spans="1:18" s="327" customFormat="1" ht="30" customHeight="1" x14ac:dyDescent="0.2">
      <c r="A53" s="52">
        <v>15513</v>
      </c>
      <c r="B53" s="52" t="s">
        <v>123</v>
      </c>
      <c r="C53" s="52" t="s">
        <v>417</v>
      </c>
      <c r="D53" s="207">
        <v>688192.27749999997</v>
      </c>
      <c r="E53" s="207">
        <f>600000-95211-25058-3885</f>
        <v>475846</v>
      </c>
      <c r="F53" s="198" t="s">
        <v>212</v>
      </c>
      <c r="G53" s="207">
        <f>38106+437740</f>
        <v>475846</v>
      </c>
      <c r="H53" s="207">
        <f t="shared" si="5"/>
        <v>0</v>
      </c>
      <c r="I53" s="61" t="s">
        <v>144</v>
      </c>
      <c r="J53" s="596">
        <v>42320</v>
      </c>
      <c r="K53" s="596">
        <v>42321</v>
      </c>
    </row>
    <row r="54" spans="1:18" s="327" customFormat="1" ht="15.6" customHeight="1" x14ac:dyDescent="0.2">
      <c r="A54" s="52">
        <v>15513</v>
      </c>
      <c r="B54" s="52" t="s">
        <v>123</v>
      </c>
      <c r="C54" s="52" t="s">
        <v>418</v>
      </c>
      <c r="D54" s="207">
        <v>45000</v>
      </c>
      <c r="E54" s="207">
        <v>36000</v>
      </c>
      <c r="F54" s="198" t="s">
        <v>221</v>
      </c>
      <c r="G54" s="207">
        <v>36000</v>
      </c>
      <c r="H54" s="207">
        <f t="shared" si="5"/>
        <v>0</v>
      </c>
      <c r="I54" s="61" t="s">
        <v>144</v>
      </c>
      <c r="J54" s="580">
        <v>42381</v>
      </c>
      <c r="K54" s="580">
        <v>42381</v>
      </c>
    </row>
    <row r="55" spans="1:18" s="327" customFormat="1" x14ac:dyDescent="0.2">
      <c r="A55" s="52">
        <v>15514</v>
      </c>
      <c r="B55" s="52" t="s">
        <v>130</v>
      </c>
      <c r="C55" s="52" t="s">
        <v>419</v>
      </c>
      <c r="D55" s="207">
        <v>300000</v>
      </c>
      <c r="E55" s="207">
        <f>240000-40662</f>
        <v>199338</v>
      </c>
      <c r="F55" s="198" t="s">
        <v>221</v>
      </c>
      <c r="G55" s="207">
        <f>179335+20003</f>
        <v>199338</v>
      </c>
      <c r="H55" s="207">
        <f t="shared" si="5"/>
        <v>0</v>
      </c>
      <c r="I55" s="61" t="s">
        <v>144</v>
      </c>
      <c r="J55" s="580">
        <v>42369</v>
      </c>
      <c r="K55" s="580">
        <v>42369</v>
      </c>
    </row>
    <row r="56" spans="1:18" s="327" customFormat="1" x14ac:dyDescent="0.2">
      <c r="A56" s="52">
        <v>15514</v>
      </c>
      <c r="B56" s="52" t="s">
        <v>130</v>
      </c>
      <c r="C56" s="52" t="s">
        <v>420</v>
      </c>
      <c r="D56" s="207">
        <v>185000</v>
      </c>
      <c r="E56" s="207">
        <f>136000-12454</f>
        <v>123546</v>
      </c>
      <c r="F56" s="198" t="s">
        <v>221</v>
      </c>
      <c r="G56" s="207">
        <v>123546</v>
      </c>
      <c r="H56" s="207">
        <f t="shared" si="5"/>
        <v>0</v>
      </c>
      <c r="I56" s="61" t="s">
        <v>144</v>
      </c>
      <c r="J56" s="580">
        <v>42369</v>
      </c>
      <c r="K56" s="580">
        <v>42369</v>
      </c>
    </row>
    <row r="57" spans="1:18" ht="25.5" x14ac:dyDescent="0.2">
      <c r="A57" s="94">
        <v>15514</v>
      </c>
      <c r="B57" s="94" t="s">
        <v>130</v>
      </c>
      <c r="C57" s="209" t="s">
        <v>421</v>
      </c>
      <c r="D57" s="124">
        <v>50000</v>
      </c>
      <c r="E57" s="123">
        <v>40000</v>
      </c>
      <c r="F57" s="125" t="s">
        <v>212</v>
      </c>
      <c r="G57" s="212">
        <v>40000</v>
      </c>
      <c r="H57" s="207">
        <f t="shared" si="5"/>
        <v>0</v>
      </c>
      <c r="I57" s="61" t="s">
        <v>144</v>
      </c>
      <c r="J57" s="580">
        <v>41767</v>
      </c>
      <c r="K57" s="597">
        <v>41767</v>
      </c>
      <c r="N57" s="327"/>
      <c r="O57" s="327"/>
      <c r="P57" s="327"/>
      <c r="Q57" s="471"/>
      <c r="R57" s="327"/>
    </row>
    <row r="58" spans="1:18" ht="30" x14ac:dyDescent="0.2">
      <c r="A58" s="472">
        <v>17523</v>
      </c>
      <c r="B58" s="52" t="s">
        <v>130</v>
      </c>
      <c r="C58" s="240" t="s">
        <v>533</v>
      </c>
      <c r="D58" s="124">
        <v>8493</v>
      </c>
      <c r="E58" s="123">
        <v>2851</v>
      </c>
      <c r="F58" s="198" t="s">
        <v>221</v>
      </c>
      <c r="G58" s="66">
        <v>2851</v>
      </c>
      <c r="H58" s="207">
        <f t="shared" si="5"/>
        <v>0</v>
      </c>
      <c r="I58" s="61" t="s">
        <v>144</v>
      </c>
      <c r="J58" s="580">
        <v>43159</v>
      </c>
      <c r="K58" s="580">
        <v>43159</v>
      </c>
      <c r="N58" s="327"/>
      <c r="O58" s="327"/>
      <c r="P58" s="327"/>
      <c r="Q58" s="327"/>
      <c r="R58" s="327"/>
    </row>
    <row r="59" spans="1:18" x14ac:dyDescent="0.2">
      <c r="A59" s="472">
        <v>18421</v>
      </c>
      <c r="B59" s="343" t="s">
        <v>754</v>
      </c>
      <c r="C59" s="331" t="s">
        <v>757</v>
      </c>
      <c r="D59" s="124"/>
      <c r="E59" s="123">
        <v>76236</v>
      </c>
      <c r="F59" s="198" t="s">
        <v>221</v>
      </c>
      <c r="G59" s="66">
        <v>76236</v>
      </c>
      <c r="H59" s="207">
        <f t="shared" si="5"/>
        <v>0</v>
      </c>
      <c r="I59" s="65" t="s">
        <v>144</v>
      </c>
      <c r="J59" s="580">
        <v>42639</v>
      </c>
      <c r="K59" s="597">
        <v>42639</v>
      </c>
      <c r="N59" s="327"/>
      <c r="O59" s="327"/>
      <c r="P59" s="327"/>
      <c r="Q59" s="327"/>
      <c r="R59" s="327"/>
    </row>
    <row r="60" spans="1:18" ht="30" x14ac:dyDescent="0.25">
      <c r="A60" s="343">
        <v>20416</v>
      </c>
      <c r="B60" s="67" t="s">
        <v>754</v>
      </c>
      <c r="C60" s="69" t="s">
        <v>967</v>
      </c>
      <c r="D60" s="582">
        <v>700000</v>
      </c>
      <c r="E60" s="123">
        <f>E61-SUM(E50:E59)</f>
        <v>3943</v>
      </c>
      <c r="F60" s="198" t="s">
        <v>221</v>
      </c>
      <c r="G60" s="66">
        <v>3943</v>
      </c>
      <c r="H60" s="207">
        <f t="shared" si="5"/>
        <v>0</v>
      </c>
      <c r="I60" s="65" t="s">
        <v>958</v>
      </c>
      <c r="J60" s="580" t="s">
        <v>959</v>
      </c>
      <c r="K60" s="597"/>
      <c r="N60" s="327"/>
      <c r="O60" s="327"/>
      <c r="P60" s="327"/>
      <c r="Q60" s="327"/>
      <c r="R60" s="327"/>
    </row>
    <row r="61" spans="1:18" ht="15.75" x14ac:dyDescent="0.25">
      <c r="A61" s="119"/>
      <c r="B61" s="89"/>
      <c r="C61" s="57" t="s">
        <v>140</v>
      </c>
      <c r="D61" s="108"/>
      <c r="E61" s="55">
        <v>1500000</v>
      </c>
      <c r="F61" s="210"/>
      <c r="G61" s="470"/>
      <c r="H61" s="211">
        <f>SUM(H50:H58)</f>
        <v>0</v>
      </c>
      <c r="I61" s="118"/>
      <c r="J61" s="117"/>
      <c r="K61" s="116"/>
      <c r="N61" s="327"/>
      <c r="O61" s="327"/>
      <c r="P61" s="327"/>
      <c r="Q61" s="471"/>
      <c r="R61" s="327"/>
    </row>
    <row r="62" spans="1:18" x14ac:dyDescent="0.2">
      <c r="N62" s="327"/>
      <c r="O62" s="327"/>
      <c r="P62" s="327"/>
      <c r="Q62" s="471"/>
      <c r="R62" s="327"/>
    </row>
    <row r="63" spans="1:18" ht="28.15" customHeight="1" x14ac:dyDescent="0.2">
      <c r="A63" s="635" t="s">
        <v>217</v>
      </c>
      <c r="B63" s="635"/>
      <c r="C63" s="635"/>
      <c r="D63" s="635"/>
      <c r="E63" s="635"/>
      <c r="F63" s="635"/>
      <c r="G63" s="635"/>
      <c r="H63" s="635"/>
      <c r="I63" s="635"/>
      <c r="J63" s="635"/>
      <c r="K63" s="635"/>
      <c r="N63" s="327"/>
      <c r="O63" s="327"/>
      <c r="P63" s="327"/>
      <c r="Q63" s="327"/>
      <c r="R63" s="327"/>
    </row>
    <row r="64" spans="1:18" ht="78.75" x14ac:dyDescent="0.25">
      <c r="A64" s="75" t="s">
        <v>153</v>
      </c>
      <c r="B64" s="73" t="s">
        <v>152</v>
      </c>
      <c r="C64" s="73" t="s">
        <v>0</v>
      </c>
      <c r="D64" s="74" t="s">
        <v>1</v>
      </c>
      <c r="E64" s="74" t="s">
        <v>98</v>
      </c>
      <c r="F64" s="122" t="s">
        <v>99</v>
      </c>
      <c r="G64" s="74" t="s">
        <v>151</v>
      </c>
      <c r="H64" s="74" t="s">
        <v>150</v>
      </c>
      <c r="I64" s="73" t="s">
        <v>102</v>
      </c>
      <c r="J64" s="73" t="s">
        <v>103</v>
      </c>
      <c r="K64" s="73" t="s">
        <v>149</v>
      </c>
      <c r="L64" s="305"/>
      <c r="N64" s="327"/>
      <c r="O64" s="327"/>
      <c r="P64" s="327"/>
      <c r="Q64" s="327"/>
      <c r="R64" s="327"/>
    </row>
    <row r="65" spans="1:18" ht="31.15" customHeight="1" x14ac:dyDescent="0.2">
      <c r="A65" s="94">
        <v>14370</v>
      </c>
      <c r="B65" s="127" t="s">
        <v>208</v>
      </c>
      <c r="C65" s="93" t="s">
        <v>216</v>
      </c>
      <c r="D65" s="124">
        <v>5294251</v>
      </c>
      <c r="E65" s="123">
        <v>600000</v>
      </c>
      <c r="F65" s="125" t="s">
        <v>212</v>
      </c>
      <c r="G65" s="66">
        <v>600000</v>
      </c>
      <c r="H65" s="98">
        <f>E65-G65</f>
        <v>0</v>
      </c>
      <c r="I65" s="61" t="s">
        <v>144</v>
      </c>
      <c r="J65" s="596">
        <v>41571</v>
      </c>
      <c r="K65" s="596">
        <v>41571</v>
      </c>
      <c r="L65" s="305"/>
      <c r="N65" s="327"/>
      <c r="O65" s="327"/>
      <c r="P65" s="471"/>
      <c r="Q65" s="327"/>
      <c r="R65" s="327"/>
    </row>
    <row r="66" spans="1:18" ht="19.899999999999999" customHeight="1" x14ac:dyDescent="0.2">
      <c r="A66" s="94">
        <v>14371</v>
      </c>
      <c r="B66" s="69" t="s">
        <v>119</v>
      </c>
      <c r="C66" s="93" t="s">
        <v>215</v>
      </c>
      <c r="D66" s="124">
        <v>384736.25</v>
      </c>
      <c r="E66" s="123">
        <f>428264-111821-8654</f>
        <v>307789</v>
      </c>
      <c r="F66" s="126" t="s">
        <v>141</v>
      </c>
      <c r="G66" s="66">
        <v>307789</v>
      </c>
      <c r="H66" s="98">
        <f>E66-G66</f>
        <v>0</v>
      </c>
      <c r="I66" s="61" t="s">
        <v>144</v>
      </c>
      <c r="J66" s="596">
        <v>41864</v>
      </c>
      <c r="K66" s="597">
        <v>41864</v>
      </c>
      <c r="L66" s="305"/>
      <c r="N66" s="327"/>
      <c r="O66" s="327"/>
      <c r="P66" s="327"/>
      <c r="Q66" s="327"/>
      <c r="R66" s="327"/>
    </row>
    <row r="67" spans="1:18" ht="39" customHeight="1" x14ac:dyDescent="0.2">
      <c r="A67" s="94">
        <v>14372</v>
      </c>
      <c r="B67" s="69" t="s">
        <v>123</v>
      </c>
      <c r="C67" s="93" t="s">
        <v>214</v>
      </c>
      <c r="D67" s="124">
        <v>467000</v>
      </c>
      <c r="E67" s="123">
        <v>352000</v>
      </c>
      <c r="F67" s="125" t="s">
        <v>212</v>
      </c>
      <c r="G67" s="66">
        <v>352000</v>
      </c>
      <c r="H67" s="98">
        <f>E67-G67</f>
        <v>0</v>
      </c>
      <c r="I67" s="61" t="s">
        <v>144</v>
      </c>
      <c r="J67" s="596">
        <v>41946</v>
      </c>
      <c r="K67" s="597">
        <v>41946</v>
      </c>
      <c r="L67" s="305"/>
      <c r="N67" s="327"/>
      <c r="O67" s="327"/>
      <c r="P67" s="327"/>
      <c r="Q67" s="327"/>
      <c r="R67" s="327"/>
    </row>
    <row r="68" spans="1:18" ht="28.9" customHeight="1" x14ac:dyDescent="0.2">
      <c r="A68" s="94">
        <v>14373</v>
      </c>
      <c r="B68" s="69" t="s">
        <v>123</v>
      </c>
      <c r="C68" s="93" t="s">
        <v>213</v>
      </c>
      <c r="D68" s="124">
        <v>192500</v>
      </c>
      <c r="E68" s="123">
        <v>145000</v>
      </c>
      <c r="F68" s="125" t="s">
        <v>212</v>
      </c>
      <c r="G68" s="66">
        <v>145000</v>
      </c>
      <c r="H68" s="98">
        <f>E68-G68</f>
        <v>0</v>
      </c>
      <c r="I68" s="61" t="s">
        <v>144</v>
      </c>
      <c r="J68" s="596">
        <v>41925</v>
      </c>
      <c r="K68" s="597">
        <v>41925</v>
      </c>
      <c r="L68" s="305"/>
    </row>
    <row r="69" spans="1:18" ht="30" customHeight="1" x14ac:dyDescent="0.2">
      <c r="A69" s="52">
        <v>15513</v>
      </c>
      <c r="B69" s="52" t="s">
        <v>123</v>
      </c>
      <c r="C69" s="52" t="s">
        <v>422</v>
      </c>
      <c r="D69" s="124">
        <v>137698.90875</v>
      </c>
      <c r="E69" s="123">
        <f>86557+8654</f>
        <v>95211</v>
      </c>
      <c r="F69" s="198" t="s">
        <v>221</v>
      </c>
      <c r="G69" s="66">
        <v>95211</v>
      </c>
      <c r="H69" s="98">
        <f>E69-G69</f>
        <v>0</v>
      </c>
      <c r="I69" s="61" t="s">
        <v>144</v>
      </c>
      <c r="J69" s="596">
        <v>42320</v>
      </c>
      <c r="K69" s="596">
        <v>42321</v>
      </c>
      <c r="L69" s="305"/>
    </row>
    <row r="70" spans="1:18" s="329" customFormat="1" ht="19.899999999999999" customHeight="1" x14ac:dyDescent="0.25">
      <c r="A70" s="119"/>
      <c r="B70" s="89"/>
      <c r="C70" s="57" t="s">
        <v>140</v>
      </c>
      <c r="D70" s="108"/>
      <c r="E70" s="55">
        <f>SUM(E65:E69)</f>
        <v>1500000</v>
      </c>
      <c r="F70" s="120"/>
      <c r="G70" s="470"/>
      <c r="H70" s="108">
        <f>SUM(H65:H69)</f>
        <v>0</v>
      </c>
      <c r="I70" s="118"/>
      <c r="J70" s="117"/>
      <c r="K70" s="116"/>
      <c r="L70" s="473"/>
    </row>
    <row r="71" spans="1:18" s="329" customFormat="1" ht="19.899999999999999" customHeight="1" x14ac:dyDescent="0.25">
      <c r="A71" s="119"/>
      <c r="B71" s="89"/>
      <c r="C71" s="57"/>
      <c r="D71" s="108"/>
      <c r="E71" s="55"/>
      <c r="F71" s="120"/>
      <c r="G71" s="119"/>
      <c r="H71" s="108"/>
      <c r="I71" s="118"/>
      <c r="J71" s="117"/>
      <c r="K71" s="116"/>
      <c r="L71" s="473"/>
    </row>
    <row r="72" spans="1:18" ht="28.15" customHeight="1" x14ac:dyDescent="0.2">
      <c r="A72" s="635" t="s">
        <v>211</v>
      </c>
      <c r="B72" s="635"/>
      <c r="C72" s="635"/>
      <c r="D72" s="635"/>
      <c r="E72" s="635"/>
      <c r="F72" s="635"/>
      <c r="G72" s="635"/>
      <c r="H72" s="635"/>
      <c r="I72" s="635"/>
      <c r="J72" s="635"/>
      <c r="K72" s="635"/>
    </row>
    <row r="73" spans="1:18" ht="78.75" x14ac:dyDescent="0.25">
      <c r="A73" s="75" t="s">
        <v>153</v>
      </c>
      <c r="B73" s="73" t="s">
        <v>152</v>
      </c>
      <c r="C73" s="73" t="s">
        <v>0</v>
      </c>
      <c r="D73" s="74" t="s">
        <v>1</v>
      </c>
      <c r="E73" s="74" t="s">
        <v>98</v>
      </c>
      <c r="F73" s="122" t="s">
        <v>99</v>
      </c>
      <c r="G73" s="74" t="s">
        <v>151</v>
      </c>
      <c r="H73" s="74" t="s">
        <v>150</v>
      </c>
      <c r="I73" s="73" t="s">
        <v>102</v>
      </c>
      <c r="J73" s="73" t="s">
        <v>103</v>
      </c>
      <c r="K73" s="73" t="s">
        <v>149</v>
      </c>
      <c r="L73" s="305"/>
    </row>
    <row r="74" spans="1:18" ht="19.899999999999999" customHeight="1" x14ac:dyDescent="0.2">
      <c r="A74" s="50">
        <v>13415</v>
      </c>
      <c r="B74" s="69" t="s">
        <v>210</v>
      </c>
      <c r="C74" s="312" t="s">
        <v>209</v>
      </c>
      <c r="D74" s="313">
        <v>792000</v>
      </c>
      <c r="E74" s="215">
        <v>600000</v>
      </c>
      <c r="F74" s="61" t="s">
        <v>141</v>
      </c>
      <c r="G74" s="66">
        <v>600000</v>
      </c>
      <c r="H74" s="98">
        <f t="shared" ref="H74:H81" si="6">E74-G74</f>
        <v>0</v>
      </c>
      <c r="I74" s="61" t="s">
        <v>144</v>
      </c>
      <c r="J74" s="596">
        <v>41605</v>
      </c>
      <c r="K74" s="597">
        <v>41605</v>
      </c>
      <c r="L74" s="305"/>
    </row>
    <row r="75" spans="1:18" ht="19.899999999999999" customHeight="1" x14ac:dyDescent="0.2">
      <c r="A75" s="50">
        <v>13416</v>
      </c>
      <c r="B75" s="69" t="s">
        <v>208</v>
      </c>
      <c r="C75" s="69" t="s">
        <v>207</v>
      </c>
      <c r="D75" s="313">
        <v>3900000</v>
      </c>
      <c r="E75" s="215">
        <v>600000</v>
      </c>
      <c r="F75" s="121" t="s">
        <v>206</v>
      </c>
      <c r="G75" s="66">
        <v>600000</v>
      </c>
      <c r="H75" s="98">
        <f t="shared" si="6"/>
        <v>0</v>
      </c>
      <c r="I75" s="61" t="s">
        <v>144</v>
      </c>
      <c r="J75" s="596">
        <v>41402</v>
      </c>
      <c r="K75" s="597">
        <v>41402</v>
      </c>
      <c r="L75" s="305"/>
    </row>
    <row r="76" spans="1:18" ht="33.6" customHeight="1" x14ac:dyDescent="0.2">
      <c r="A76" s="50">
        <v>13417</v>
      </c>
      <c r="B76" s="69" t="s">
        <v>123</v>
      </c>
      <c r="C76" s="314" t="s">
        <v>205</v>
      </c>
      <c r="D76" s="313">
        <v>63035</v>
      </c>
      <c r="E76" s="215">
        <f>36600-1136-12</f>
        <v>35452</v>
      </c>
      <c r="F76" s="61" t="s">
        <v>141</v>
      </c>
      <c r="G76" s="66">
        <f>36611-1147-12</f>
        <v>35452</v>
      </c>
      <c r="H76" s="98">
        <f t="shared" si="6"/>
        <v>0</v>
      </c>
      <c r="I76" s="61" t="s">
        <v>144</v>
      </c>
      <c r="J76" s="596">
        <v>41943</v>
      </c>
      <c r="K76" s="596">
        <v>41943</v>
      </c>
      <c r="L76" s="305"/>
    </row>
    <row r="77" spans="1:18" ht="19.899999999999999" customHeight="1" x14ac:dyDescent="0.2">
      <c r="A77" s="50">
        <v>13418</v>
      </c>
      <c r="B77" s="69" t="s">
        <v>124</v>
      </c>
      <c r="C77" s="312" t="s">
        <v>204</v>
      </c>
      <c r="D77" s="313">
        <v>64677</v>
      </c>
      <c r="E77" s="215">
        <v>51742</v>
      </c>
      <c r="F77" s="61" t="s">
        <v>141</v>
      </c>
      <c r="G77" s="66">
        <v>51742</v>
      </c>
      <c r="H77" s="98">
        <f t="shared" si="6"/>
        <v>0</v>
      </c>
      <c r="I77" s="61" t="s">
        <v>144</v>
      </c>
      <c r="J77" s="597">
        <v>42097</v>
      </c>
      <c r="K77" s="597">
        <v>42097</v>
      </c>
      <c r="L77" s="305"/>
    </row>
    <row r="78" spans="1:18" ht="19.899999999999999" customHeight="1" x14ac:dyDescent="0.2">
      <c r="A78" s="50">
        <v>13418</v>
      </c>
      <c r="B78" s="69" t="s">
        <v>124</v>
      </c>
      <c r="C78" s="312" t="s">
        <v>203</v>
      </c>
      <c r="D78" s="313">
        <v>171920</v>
      </c>
      <c r="E78" s="215">
        <v>137536</v>
      </c>
      <c r="F78" s="61" t="s">
        <v>141</v>
      </c>
      <c r="G78" s="66">
        <v>137536</v>
      </c>
      <c r="H78" s="98">
        <f t="shared" si="6"/>
        <v>0</v>
      </c>
      <c r="I78" s="61" t="s">
        <v>144</v>
      </c>
      <c r="J78" s="597">
        <v>42097</v>
      </c>
      <c r="K78" s="597">
        <v>42097</v>
      </c>
      <c r="L78" s="305"/>
    </row>
    <row r="79" spans="1:18" ht="19.899999999999999" customHeight="1" x14ac:dyDescent="0.2">
      <c r="A79" s="50">
        <v>13419</v>
      </c>
      <c r="B79" s="69" t="s">
        <v>202</v>
      </c>
      <c r="C79" s="312" t="s">
        <v>201</v>
      </c>
      <c r="D79" s="313">
        <v>7000</v>
      </c>
      <c r="E79" s="215">
        <v>5600</v>
      </c>
      <c r="F79" s="61" t="s">
        <v>141</v>
      </c>
      <c r="G79" s="66">
        <v>5600</v>
      </c>
      <c r="H79" s="98">
        <f t="shared" si="6"/>
        <v>0</v>
      </c>
      <c r="I79" s="61" t="s">
        <v>144</v>
      </c>
      <c r="J79" s="596">
        <v>40984</v>
      </c>
      <c r="K79" s="596">
        <v>40984</v>
      </c>
      <c r="L79" s="305"/>
    </row>
    <row r="80" spans="1:18" s="327" customFormat="1" ht="30.6" customHeight="1" x14ac:dyDescent="0.2">
      <c r="A80" s="472">
        <v>17523</v>
      </c>
      <c r="B80" s="52" t="s">
        <v>130</v>
      </c>
      <c r="C80" s="240" t="s">
        <v>534</v>
      </c>
      <c r="D80" s="313">
        <v>87087</v>
      </c>
      <c r="E80" s="215">
        <f>1136+68522+12-51276</f>
        <v>18394</v>
      </c>
      <c r="F80" s="61" t="s">
        <v>141</v>
      </c>
      <c r="G80" s="66">
        <f>4946+13448</f>
        <v>18394</v>
      </c>
      <c r="H80" s="98">
        <f t="shared" si="6"/>
        <v>0</v>
      </c>
      <c r="I80" s="61" t="s">
        <v>144</v>
      </c>
      <c r="J80" s="580">
        <v>43159</v>
      </c>
      <c r="K80" s="580">
        <v>43159</v>
      </c>
      <c r="L80" s="598"/>
    </row>
    <row r="81" spans="1:13" s="327" customFormat="1" ht="30.6" customHeight="1" x14ac:dyDescent="0.25">
      <c r="A81" s="343">
        <v>20416</v>
      </c>
      <c r="B81" s="67" t="s">
        <v>754</v>
      </c>
      <c r="C81" s="69" t="s">
        <v>968</v>
      </c>
      <c r="D81" s="582">
        <v>700000</v>
      </c>
      <c r="E81" s="215">
        <v>51276</v>
      </c>
      <c r="F81" s="61" t="s">
        <v>141</v>
      </c>
      <c r="G81" s="66">
        <v>51276</v>
      </c>
      <c r="H81" s="98">
        <f t="shared" si="6"/>
        <v>0</v>
      </c>
      <c r="I81" s="65" t="s">
        <v>958</v>
      </c>
      <c r="J81" s="580" t="s">
        <v>959</v>
      </c>
      <c r="K81" s="596"/>
      <c r="L81" s="346"/>
    </row>
    <row r="82" spans="1:13" s="329" customFormat="1" ht="19.899999999999999" customHeight="1" x14ac:dyDescent="0.25">
      <c r="A82" s="119"/>
      <c r="B82" s="89"/>
      <c r="C82" s="57" t="s">
        <v>140</v>
      </c>
      <c r="D82" s="108"/>
      <c r="E82" s="55">
        <f>SUM(E74:E81)</f>
        <v>1500000</v>
      </c>
      <c r="F82" s="120"/>
      <c r="G82" s="470"/>
      <c r="H82" s="108">
        <f>SUM(H74:H79)</f>
        <v>0</v>
      </c>
      <c r="I82" s="118"/>
      <c r="J82" s="117"/>
      <c r="K82" s="116"/>
      <c r="L82" s="473"/>
    </row>
    <row r="83" spans="1:13" s="315" customFormat="1" ht="15.75" x14ac:dyDescent="0.2">
      <c r="B83" s="316"/>
      <c r="C83" s="317"/>
      <c r="D83" s="318"/>
      <c r="E83" s="319"/>
      <c r="F83" s="320"/>
      <c r="H83" s="318"/>
      <c r="I83" s="321"/>
      <c r="J83" s="322"/>
      <c r="K83" s="323"/>
      <c r="L83" s="474"/>
    </row>
    <row r="84" spans="1:13" ht="28.15" customHeight="1" x14ac:dyDescent="0.2">
      <c r="A84" s="115"/>
      <c r="B84" s="636" t="s">
        <v>200</v>
      </c>
      <c r="C84" s="636"/>
      <c r="D84" s="636"/>
      <c r="E84" s="636"/>
      <c r="F84" s="636"/>
      <c r="G84" s="636"/>
      <c r="H84" s="636"/>
      <c r="I84" s="636"/>
      <c r="J84" s="636"/>
      <c r="K84" s="114"/>
    </row>
    <row r="85" spans="1:13" s="343" customFormat="1" ht="78.75" x14ac:dyDescent="0.2">
      <c r="A85" s="75" t="s">
        <v>153</v>
      </c>
      <c r="B85" s="73" t="s">
        <v>152</v>
      </c>
      <c r="C85" s="73" t="s">
        <v>0</v>
      </c>
      <c r="D85" s="74" t="s">
        <v>1</v>
      </c>
      <c r="E85" s="74" t="s">
        <v>98</v>
      </c>
      <c r="F85" s="73" t="s">
        <v>99</v>
      </c>
      <c r="G85" s="74" t="s">
        <v>151</v>
      </c>
      <c r="H85" s="74" t="s">
        <v>150</v>
      </c>
      <c r="I85" s="73" t="s">
        <v>102</v>
      </c>
      <c r="J85" s="73" t="s">
        <v>103</v>
      </c>
      <c r="K85" s="73" t="s">
        <v>149</v>
      </c>
    </row>
    <row r="86" spans="1:13" ht="30" x14ac:dyDescent="0.2">
      <c r="A86" s="59">
        <v>12319</v>
      </c>
      <c r="B86" s="58" t="s">
        <v>148</v>
      </c>
      <c r="C86" s="69" t="s">
        <v>199</v>
      </c>
      <c r="D86" s="212">
        <v>4897614</v>
      </c>
      <c r="E86" s="324">
        <v>800000</v>
      </c>
      <c r="F86" s="126" t="s">
        <v>969</v>
      </c>
      <c r="G86" s="66">
        <v>800000</v>
      </c>
      <c r="H86" s="98">
        <f t="shared" ref="H86:H93" si="7">E86-G86</f>
        <v>0</v>
      </c>
      <c r="I86" s="61" t="s">
        <v>144</v>
      </c>
      <c r="J86" s="597">
        <v>41605</v>
      </c>
      <c r="K86" s="580">
        <v>41605</v>
      </c>
    </row>
    <row r="87" spans="1:13" ht="30" x14ac:dyDescent="0.2">
      <c r="A87" s="59">
        <v>12320</v>
      </c>
      <c r="B87" s="58" t="s">
        <v>189</v>
      </c>
      <c r="C87" s="69" t="s">
        <v>198</v>
      </c>
      <c r="D87" s="212">
        <v>500000</v>
      </c>
      <c r="E87" s="324">
        <f>400000-18173</f>
        <v>381827</v>
      </c>
      <c r="F87" s="126" t="s">
        <v>142</v>
      </c>
      <c r="G87" s="66">
        <v>381827</v>
      </c>
      <c r="H87" s="98">
        <f t="shared" si="7"/>
        <v>0</v>
      </c>
      <c r="I87" s="61" t="s">
        <v>144</v>
      </c>
      <c r="J87" s="597">
        <v>40729</v>
      </c>
      <c r="K87" s="580">
        <v>40742</v>
      </c>
      <c r="M87" s="475"/>
    </row>
    <row r="88" spans="1:13" ht="26.45" customHeight="1" x14ac:dyDescent="0.2">
      <c r="A88" s="50">
        <v>12733</v>
      </c>
      <c r="B88" s="325" t="s">
        <v>124</v>
      </c>
      <c r="C88" s="325" t="s">
        <v>197</v>
      </c>
      <c r="D88" s="213">
        <v>379211</v>
      </c>
      <c r="E88" s="214">
        <f>298357-20143</f>
        <v>278214</v>
      </c>
      <c r="F88" s="126" t="s">
        <v>142</v>
      </c>
      <c r="G88" s="66">
        <v>278214</v>
      </c>
      <c r="H88" s="98">
        <f t="shared" si="7"/>
        <v>0</v>
      </c>
      <c r="I88" s="61" t="s">
        <v>144</v>
      </c>
      <c r="J88" s="597">
        <v>41653</v>
      </c>
      <c r="K88" s="580">
        <v>41653</v>
      </c>
    </row>
    <row r="89" spans="1:13" ht="20.45" customHeight="1" x14ac:dyDescent="0.2">
      <c r="A89" s="50">
        <v>12738</v>
      </c>
      <c r="B89" s="69" t="s">
        <v>123</v>
      </c>
      <c r="C89" s="69" t="s">
        <v>196</v>
      </c>
      <c r="D89" s="326">
        <v>30000</v>
      </c>
      <c r="E89" s="326">
        <v>24000</v>
      </c>
      <c r="F89" s="126" t="s">
        <v>142</v>
      </c>
      <c r="G89" s="66">
        <v>24000</v>
      </c>
      <c r="H89" s="98">
        <f t="shared" si="7"/>
        <v>0</v>
      </c>
      <c r="I89" s="61" t="s">
        <v>144</v>
      </c>
      <c r="J89" s="597">
        <v>41067</v>
      </c>
      <c r="K89" s="580">
        <v>41067</v>
      </c>
    </row>
    <row r="90" spans="1:13" ht="30" x14ac:dyDescent="0.2">
      <c r="A90" s="50">
        <v>12321</v>
      </c>
      <c r="B90" s="69" t="s">
        <v>195</v>
      </c>
      <c r="C90" s="69" t="s">
        <v>194</v>
      </c>
      <c r="D90" s="212">
        <v>565732</v>
      </c>
      <c r="E90" s="324">
        <f>414920+37665</f>
        <v>452585</v>
      </c>
      <c r="F90" s="126" t="s">
        <v>142</v>
      </c>
      <c r="G90" s="66">
        <v>452585</v>
      </c>
      <c r="H90" s="98">
        <f t="shared" si="7"/>
        <v>0</v>
      </c>
      <c r="I90" s="61" t="s">
        <v>144</v>
      </c>
      <c r="J90" s="597">
        <v>41090</v>
      </c>
      <c r="K90" s="580">
        <v>40637</v>
      </c>
    </row>
    <row r="91" spans="1:13" ht="30" x14ac:dyDescent="0.2">
      <c r="A91" s="50">
        <v>13417</v>
      </c>
      <c r="B91" s="69" t="s">
        <v>123</v>
      </c>
      <c r="C91" s="314" t="s">
        <v>193</v>
      </c>
      <c r="D91" s="212">
        <v>22716.25</v>
      </c>
      <c r="E91" s="212">
        <v>18173</v>
      </c>
      <c r="F91" s="126" t="s">
        <v>141</v>
      </c>
      <c r="G91" s="215">
        <v>18173</v>
      </c>
      <c r="H91" s="98">
        <f t="shared" si="7"/>
        <v>0</v>
      </c>
      <c r="I91" s="61" t="s">
        <v>144</v>
      </c>
      <c r="J91" s="596">
        <v>41943</v>
      </c>
      <c r="K91" s="596">
        <v>41943</v>
      </c>
    </row>
    <row r="92" spans="1:13" ht="30" x14ac:dyDescent="0.2">
      <c r="A92" s="52">
        <v>15513</v>
      </c>
      <c r="B92" s="52" t="s">
        <v>123</v>
      </c>
      <c r="C92" s="52" t="s">
        <v>423</v>
      </c>
      <c r="D92" s="212">
        <v>36240.1325</v>
      </c>
      <c r="E92" s="213">
        <v>25058</v>
      </c>
      <c r="F92" s="198" t="s">
        <v>221</v>
      </c>
      <c r="G92" s="215">
        <v>25058</v>
      </c>
      <c r="H92" s="98">
        <f t="shared" si="7"/>
        <v>0</v>
      </c>
      <c r="I92" s="61" t="s">
        <v>144</v>
      </c>
      <c r="J92" s="596">
        <v>42320</v>
      </c>
      <c r="K92" s="596">
        <v>42321</v>
      </c>
    </row>
    <row r="93" spans="1:13" s="327" customFormat="1" ht="30.6" customHeight="1" x14ac:dyDescent="0.2">
      <c r="A93" s="472">
        <v>17523</v>
      </c>
      <c r="B93" s="52" t="s">
        <v>130</v>
      </c>
      <c r="C93" s="240" t="s">
        <v>535</v>
      </c>
      <c r="D93" s="212">
        <v>25179</v>
      </c>
      <c r="E93" s="213">
        <v>20143</v>
      </c>
      <c r="F93" s="198" t="s">
        <v>221</v>
      </c>
      <c r="G93" s="215">
        <v>20143</v>
      </c>
      <c r="H93" s="98">
        <f t="shared" si="7"/>
        <v>0</v>
      </c>
      <c r="I93" s="61" t="s">
        <v>144</v>
      </c>
      <c r="J93" s="580">
        <v>43159</v>
      </c>
      <c r="K93" s="580">
        <v>43159</v>
      </c>
    </row>
    <row r="94" spans="1:13" ht="15.75" x14ac:dyDescent="0.2">
      <c r="A94" s="59"/>
      <c r="B94" s="90"/>
      <c r="C94" s="57" t="s">
        <v>140</v>
      </c>
      <c r="D94" s="87"/>
      <c r="E94" s="328">
        <f>SUM(E86:E93)</f>
        <v>2000000</v>
      </c>
      <c r="F94" s="88"/>
      <c r="G94" s="87"/>
      <c r="H94" s="108">
        <f>SUM(H86:H93)</f>
        <v>0</v>
      </c>
      <c r="I94" s="53"/>
      <c r="J94" s="54"/>
      <c r="K94" s="53"/>
    </row>
    <row r="95" spans="1:13" ht="15.75" x14ac:dyDescent="0.25">
      <c r="C95" s="329"/>
      <c r="E95" s="330"/>
    </row>
    <row r="96" spans="1:13" ht="28.15" customHeight="1" x14ac:dyDescent="0.2">
      <c r="A96" s="79"/>
      <c r="B96" s="630" t="s">
        <v>192</v>
      </c>
      <c r="C96" s="631"/>
      <c r="D96" s="631"/>
      <c r="E96" s="631"/>
      <c r="F96" s="632"/>
      <c r="G96" s="113"/>
      <c r="H96" s="113"/>
      <c r="I96" s="76"/>
      <c r="J96" s="77"/>
      <c r="K96" s="76"/>
    </row>
    <row r="97" spans="1:24" s="343" customFormat="1" ht="78.75" x14ac:dyDescent="0.2">
      <c r="A97" s="75" t="s">
        <v>153</v>
      </c>
      <c r="B97" s="73" t="s">
        <v>152</v>
      </c>
      <c r="C97" s="73" t="s">
        <v>0</v>
      </c>
      <c r="D97" s="74" t="s">
        <v>1</v>
      </c>
      <c r="E97" s="74" t="s">
        <v>98</v>
      </c>
      <c r="F97" s="73" t="s">
        <v>99</v>
      </c>
      <c r="G97" s="74" t="s">
        <v>151</v>
      </c>
      <c r="H97" s="74" t="s">
        <v>150</v>
      </c>
      <c r="I97" s="73" t="s">
        <v>102</v>
      </c>
      <c r="J97" s="73" t="s">
        <v>103</v>
      </c>
      <c r="K97" s="73" t="s">
        <v>149</v>
      </c>
    </row>
    <row r="98" spans="1:24" ht="26.45" customHeight="1" x14ac:dyDescent="0.2">
      <c r="A98" s="50">
        <v>12738</v>
      </c>
      <c r="B98" s="52" t="s">
        <v>123</v>
      </c>
      <c r="C98" s="69" t="s">
        <v>191</v>
      </c>
      <c r="D98" s="66">
        <v>65000</v>
      </c>
      <c r="E98" s="66">
        <v>48000</v>
      </c>
      <c r="F98" s="61" t="s">
        <v>142</v>
      </c>
      <c r="G98" s="66">
        <v>48000</v>
      </c>
      <c r="H98" s="98">
        <f>E98-G98</f>
        <v>0</v>
      </c>
      <c r="I98" s="61" t="s">
        <v>144</v>
      </c>
      <c r="J98" s="597">
        <v>41067</v>
      </c>
      <c r="K98" s="580">
        <v>41067</v>
      </c>
    </row>
    <row r="99" spans="1:24" ht="45" x14ac:dyDescent="0.2">
      <c r="A99" s="59">
        <v>11760</v>
      </c>
      <c r="B99" s="52" t="s">
        <v>143</v>
      </c>
      <c r="C99" s="69" t="s">
        <v>190</v>
      </c>
      <c r="D99" s="98">
        <v>617904</v>
      </c>
      <c r="E99" s="98">
        <v>436904</v>
      </c>
      <c r="F99" s="61" t="s">
        <v>142</v>
      </c>
      <c r="G99" s="66">
        <v>436904</v>
      </c>
      <c r="H99" s="98">
        <f>E99-G99</f>
        <v>0</v>
      </c>
      <c r="I99" s="61" t="s">
        <v>144</v>
      </c>
      <c r="J99" s="597">
        <v>41319</v>
      </c>
      <c r="K99" s="580">
        <v>41319</v>
      </c>
    </row>
    <row r="100" spans="1:24" ht="30" x14ac:dyDescent="0.2">
      <c r="A100" s="59">
        <v>11761</v>
      </c>
      <c r="B100" s="51" t="s">
        <v>189</v>
      </c>
      <c r="C100" s="69" t="s">
        <v>188</v>
      </c>
      <c r="D100" s="98">
        <v>100000</v>
      </c>
      <c r="E100" s="98">
        <v>79920</v>
      </c>
      <c r="F100" s="61" t="s">
        <v>142</v>
      </c>
      <c r="G100" s="66">
        <v>79920</v>
      </c>
      <c r="H100" s="98">
        <f t="shared" ref="H100:H109" si="8">E100-G100</f>
        <v>0</v>
      </c>
      <c r="I100" s="61" t="s">
        <v>144</v>
      </c>
      <c r="J100" s="597">
        <v>40483</v>
      </c>
      <c r="K100" s="580">
        <v>40498</v>
      </c>
    </row>
    <row r="101" spans="1:24" ht="45" x14ac:dyDescent="0.2">
      <c r="A101" s="59">
        <v>11767</v>
      </c>
      <c r="B101" s="51" t="s">
        <v>187</v>
      </c>
      <c r="C101" s="69" t="s">
        <v>186</v>
      </c>
      <c r="D101" s="98">
        <v>235000</v>
      </c>
      <c r="E101" s="98">
        <v>188000</v>
      </c>
      <c r="F101" s="61" t="s">
        <v>142</v>
      </c>
      <c r="G101" s="98">
        <v>188000</v>
      </c>
      <c r="H101" s="98">
        <f>E101-G101</f>
        <v>0</v>
      </c>
      <c r="I101" s="61" t="s">
        <v>144</v>
      </c>
      <c r="J101" s="597">
        <v>40561</v>
      </c>
      <c r="K101" s="580">
        <v>40561</v>
      </c>
    </row>
    <row r="102" spans="1:24" ht="45" x14ac:dyDescent="0.2">
      <c r="A102" s="59">
        <v>11762</v>
      </c>
      <c r="B102" s="51" t="s">
        <v>185</v>
      </c>
      <c r="C102" s="331" t="s">
        <v>184</v>
      </c>
      <c r="D102" s="98">
        <v>176000</v>
      </c>
      <c r="E102" s="98">
        <v>140800</v>
      </c>
      <c r="F102" s="61" t="s">
        <v>142</v>
      </c>
      <c r="G102" s="66">
        <v>140800</v>
      </c>
      <c r="H102" s="98">
        <f t="shared" si="8"/>
        <v>0</v>
      </c>
      <c r="I102" s="61" t="s">
        <v>144</v>
      </c>
      <c r="J102" s="597">
        <v>40543</v>
      </c>
      <c r="K102" s="580">
        <v>40567</v>
      </c>
    </row>
    <row r="103" spans="1:24" ht="45" x14ac:dyDescent="0.2">
      <c r="A103" s="50">
        <v>11764</v>
      </c>
      <c r="B103" s="52" t="s">
        <v>158</v>
      </c>
      <c r="C103" s="69" t="s">
        <v>183</v>
      </c>
      <c r="D103" s="98">
        <v>7347</v>
      </c>
      <c r="E103" s="98">
        <v>5877</v>
      </c>
      <c r="F103" s="61" t="s">
        <v>142</v>
      </c>
      <c r="G103" s="66">
        <v>5877</v>
      </c>
      <c r="H103" s="98">
        <f t="shared" si="8"/>
        <v>0</v>
      </c>
      <c r="I103" s="61" t="s">
        <v>144</v>
      </c>
      <c r="J103" s="597">
        <v>41121</v>
      </c>
      <c r="K103" s="580">
        <v>41121</v>
      </c>
    </row>
    <row r="104" spans="1:24" ht="30" x14ac:dyDescent="0.2">
      <c r="A104" s="59">
        <v>11765</v>
      </c>
      <c r="B104" s="51" t="s">
        <v>168</v>
      </c>
      <c r="C104" s="69" t="s">
        <v>182</v>
      </c>
      <c r="D104" s="98">
        <v>130000</v>
      </c>
      <c r="E104" s="98">
        <v>67019</v>
      </c>
      <c r="F104" s="61" t="s">
        <v>142</v>
      </c>
      <c r="G104" s="66">
        <v>67019</v>
      </c>
      <c r="H104" s="98">
        <f t="shared" si="8"/>
        <v>0</v>
      </c>
      <c r="I104" s="61" t="s">
        <v>144</v>
      </c>
      <c r="J104" s="597">
        <v>40867</v>
      </c>
      <c r="K104" s="580">
        <v>40873</v>
      </c>
    </row>
    <row r="105" spans="1:24" ht="45" x14ac:dyDescent="0.2">
      <c r="A105" s="110">
        <v>11766</v>
      </c>
      <c r="B105" s="95" t="s">
        <v>181</v>
      </c>
      <c r="C105" s="69" t="s">
        <v>180</v>
      </c>
      <c r="D105" s="111">
        <v>296250</v>
      </c>
      <c r="E105" s="111">
        <f>237000-111821</f>
        <v>125179</v>
      </c>
      <c r="F105" s="91" t="s">
        <v>142</v>
      </c>
      <c r="G105" s="92">
        <v>125179</v>
      </c>
      <c r="H105" s="111">
        <f t="shared" si="8"/>
        <v>0</v>
      </c>
      <c r="I105" s="61" t="s">
        <v>144</v>
      </c>
      <c r="J105" s="599">
        <v>40715</v>
      </c>
      <c r="K105" s="600">
        <v>40715</v>
      </c>
      <c r="L105" s="334"/>
      <c r="M105" s="334"/>
      <c r="N105" s="334"/>
      <c r="O105" s="334"/>
      <c r="P105" s="334"/>
      <c r="Q105" s="334"/>
      <c r="R105" s="334"/>
      <c r="S105" s="334"/>
      <c r="T105" s="334"/>
      <c r="U105" s="334"/>
      <c r="V105" s="334"/>
      <c r="W105" s="334"/>
      <c r="X105" s="334"/>
    </row>
    <row r="106" spans="1:24" ht="48.6" customHeight="1" x14ac:dyDescent="0.2">
      <c r="A106" s="476">
        <v>14371</v>
      </c>
      <c r="B106" s="69" t="s">
        <v>119</v>
      </c>
      <c r="C106" s="112" t="s">
        <v>179</v>
      </c>
      <c r="D106" s="111">
        <v>139776.25</v>
      </c>
      <c r="E106" s="111">
        <v>111821</v>
      </c>
      <c r="F106" s="61" t="s">
        <v>141</v>
      </c>
      <c r="G106" s="92">
        <v>111821</v>
      </c>
      <c r="H106" s="98">
        <f t="shared" si="8"/>
        <v>0</v>
      </c>
      <c r="I106" s="61" t="s">
        <v>144</v>
      </c>
      <c r="J106" s="596">
        <v>41864</v>
      </c>
      <c r="K106" s="600">
        <v>41864</v>
      </c>
      <c r="L106" s="334"/>
      <c r="M106" s="334"/>
      <c r="N106" s="334"/>
      <c r="O106" s="334"/>
      <c r="P106" s="334"/>
      <c r="Q106" s="334"/>
      <c r="R106" s="334"/>
      <c r="S106" s="334"/>
      <c r="T106" s="334"/>
      <c r="U106" s="334"/>
      <c r="V106" s="334"/>
      <c r="W106" s="334"/>
      <c r="X106" s="334"/>
    </row>
    <row r="107" spans="1:24" ht="30" x14ac:dyDescent="0.2">
      <c r="A107" s="110">
        <v>12738</v>
      </c>
      <c r="B107" s="95" t="s">
        <v>123</v>
      </c>
      <c r="C107" s="109" t="s">
        <v>178</v>
      </c>
      <c r="D107" s="111">
        <v>12144</v>
      </c>
      <c r="E107" s="111">
        <v>5534</v>
      </c>
      <c r="F107" s="91" t="s">
        <v>142</v>
      </c>
      <c r="G107" s="92">
        <v>5534</v>
      </c>
      <c r="H107" s="98">
        <f t="shared" si="8"/>
        <v>0</v>
      </c>
      <c r="I107" s="61" t="s">
        <v>144</v>
      </c>
      <c r="J107" s="599">
        <v>41323</v>
      </c>
      <c r="K107" s="580">
        <v>41444</v>
      </c>
      <c r="L107" s="85"/>
    </row>
    <row r="108" spans="1:24" ht="30" x14ac:dyDescent="0.2">
      <c r="A108" s="477">
        <v>13417</v>
      </c>
      <c r="B108" s="314" t="s">
        <v>123</v>
      </c>
      <c r="C108" s="314" t="s">
        <v>177</v>
      </c>
      <c r="D108" s="66">
        <v>46326.25</v>
      </c>
      <c r="E108" s="98">
        <v>37061</v>
      </c>
      <c r="F108" s="61" t="s">
        <v>141</v>
      </c>
      <c r="G108" s="215">
        <v>37061</v>
      </c>
      <c r="H108" s="111">
        <f t="shared" si="8"/>
        <v>0</v>
      </c>
      <c r="I108" s="61" t="s">
        <v>144</v>
      </c>
      <c r="J108" s="596">
        <v>41943</v>
      </c>
      <c r="K108" s="596">
        <v>41943</v>
      </c>
    </row>
    <row r="109" spans="1:24" ht="31.9" customHeight="1" x14ac:dyDescent="0.2">
      <c r="A109" s="52">
        <v>15513</v>
      </c>
      <c r="B109" s="52" t="s">
        <v>123</v>
      </c>
      <c r="C109" s="52" t="s">
        <v>424</v>
      </c>
      <c r="D109" s="66">
        <v>5618.6812499999996</v>
      </c>
      <c r="E109" s="98">
        <v>3885</v>
      </c>
      <c r="F109" s="61"/>
      <c r="G109" s="215">
        <v>3885</v>
      </c>
      <c r="H109" s="111">
        <f t="shared" si="8"/>
        <v>0</v>
      </c>
      <c r="I109" s="61" t="s">
        <v>144</v>
      </c>
      <c r="J109" s="596">
        <v>42320</v>
      </c>
      <c r="K109" s="596">
        <v>42321</v>
      </c>
    </row>
    <row r="110" spans="1:24" s="343" customFormat="1" ht="22.15" customHeight="1" x14ac:dyDescent="0.2">
      <c r="A110" s="59"/>
      <c r="B110" s="58"/>
      <c r="C110" s="89" t="s">
        <v>140</v>
      </c>
      <c r="D110" s="63"/>
      <c r="E110" s="108">
        <f>SUM(E98:E109)</f>
        <v>1250000</v>
      </c>
      <c r="F110" s="88"/>
      <c r="G110" s="56"/>
      <c r="H110" s="108">
        <f>SUM(H98:H109)</f>
        <v>0</v>
      </c>
      <c r="I110" s="61"/>
      <c r="J110" s="64"/>
      <c r="K110" s="53"/>
      <c r="L110" s="478"/>
    </row>
    <row r="111" spans="1:24" s="343" customFormat="1" x14ac:dyDescent="0.2">
      <c r="A111" s="86"/>
      <c r="B111" s="107"/>
      <c r="C111" s="107"/>
      <c r="D111" s="106"/>
      <c r="E111" s="106"/>
      <c r="F111" s="84"/>
      <c r="G111" s="82"/>
      <c r="H111" s="106"/>
      <c r="I111" s="105"/>
      <c r="J111" s="104"/>
      <c r="K111" s="80"/>
    </row>
    <row r="112" spans="1:24" s="343" customFormat="1" ht="28.15" customHeight="1" x14ac:dyDescent="0.2">
      <c r="A112" s="79"/>
      <c r="B112" s="630" t="s">
        <v>176</v>
      </c>
      <c r="C112" s="633"/>
      <c r="D112" s="633"/>
      <c r="E112" s="633"/>
      <c r="F112" s="634"/>
      <c r="G112" s="103"/>
      <c r="H112" s="78"/>
      <c r="I112" s="76"/>
      <c r="J112" s="77"/>
      <c r="K112" s="76"/>
    </row>
    <row r="113" spans="1:16" s="479" customFormat="1" ht="78.75" x14ac:dyDescent="0.2">
      <c r="A113" s="75" t="s">
        <v>153</v>
      </c>
      <c r="B113" s="73" t="s">
        <v>152</v>
      </c>
      <c r="C113" s="73" t="s">
        <v>0</v>
      </c>
      <c r="D113" s="74" t="s">
        <v>1</v>
      </c>
      <c r="E113" s="74" t="s">
        <v>98</v>
      </c>
      <c r="F113" s="208" t="s">
        <v>99</v>
      </c>
      <c r="G113" s="74" t="s">
        <v>151</v>
      </c>
      <c r="H113" s="74" t="s">
        <v>150</v>
      </c>
      <c r="I113" s="73" t="s">
        <v>102</v>
      </c>
      <c r="J113" s="73" t="s">
        <v>103</v>
      </c>
      <c r="K113" s="73" t="s">
        <v>149</v>
      </c>
      <c r="P113" s="480"/>
    </row>
    <row r="114" spans="1:16" s="481" customFormat="1" ht="30" x14ac:dyDescent="0.2">
      <c r="A114" s="59">
        <v>10482</v>
      </c>
      <c r="B114" s="101" t="s">
        <v>160</v>
      </c>
      <c r="C114" s="67" t="s">
        <v>175</v>
      </c>
      <c r="D114" s="99" t="s">
        <v>174</v>
      </c>
      <c r="E114" s="99" t="s">
        <v>165</v>
      </c>
      <c r="F114" s="61" t="s">
        <v>142</v>
      </c>
      <c r="G114" s="332">
        <v>0</v>
      </c>
      <c r="H114" s="99" t="s">
        <v>165</v>
      </c>
      <c r="I114" s="65" t="s">
        <v>164</v>
      </c>
      <c r="J114" s="69" t="s">
        <v>147</v>
      </c>
      <c r="K114" s="69"/>
    </row>
    <row r="115" spans="1:16" s="343" customFormat="1" ht="22.15" customHeight="1" x14ac:dyDescent="0.2">
      <c r="A115" s="102">
        <v>10481</v>
      </c>
      <c r="B115" s="101" t="s">
        <v>173</v>
      </c>
      <c r="C115" s="100" t="s">
        <v>172</v>
      </c>
      <c r="D115" s="333">
        <v>654000</v>
      </c>
      <c r="E115" s="332">
        <v>0</v>
      </c>
      <c r="F115" s="71" t="s">
        <v>142</v>
      </c>
      <c r="G115" s="332">
        <v>0</v>
      </c>
      <c r="H115" s="332">
        <f>+E115-G115</f>
        <v>0</v>
      </c>
      <c r="I115" s="65" t="s">
        <v>171</v>
      </c>
      <c r="J115" s="601" t="s">
        <v>170</v>
      </c>
      <c r="K115" s="349"/>
    </row>
    <row r="116" spans="1:16" s="343" customFormat="1" ht="45" x14ac:dyDescent="0.2">
      <c r="A116" s="59">
        <v>11760</v>
      </c>
      <c r="B116" s="52" t="s">
        <v>143</v>
      </c>
      <c r="C116" s="69" t="s">
        <v>169</v>
      </c>
      <c r="D116" s="98"/>
      <c r="E116" s="66">
        <v>385677</v>
      </c>
      <c r="F116" s="61" t="s">
        <v>161</v>
      </c>
      <c r="G116" s="66">
        <v>385677</v>
      </c>
      <c r="H116" s="66">
        <f>+E116-G116</f>
        <v>0</v>
      </c>
      <c r="I116" s="65" t="s">
        <v>485</v>
      </c>
      <c r="J116" s="597">
        <v>41319</v>
      </c>
      <c r="K116" s="580">
        <v>41319</v>
      </c>
    </row>
    <row r="117" spans="1:16" s="343" customFormat="1" ht="30" x14ac:dyDescent="0.2">
      <c r="A117" s="50">
        <v>10484</v>
      </c>
      <c r="B117" s="72" t="s">
        <v>168</v>
      </c>
      <c r="C117" s="100" t="s">
        <v>167</v>
      </c>
      <c r="D117" s="99" t="s">
        <v>166</v>
      </c>
      <c r="E117" s="99" t="s">
        <v>165</v>
      </c>
      <c r="F117" s="61" t="s">
        <v>142</v>
      </c>
      <c r="G117" s="66">
        <v>0</v>
      </c>
      <c r="H117" s="332">
        <f t="shared" ref="H117:H124" si="9">+E117-G117</f>
        <v>0</v>
      </c>
      <c r="I117" s="65" t="s">
        <v>164</v>
      </c>
      <c r="J117" s="69" t="s">
        <v>147</v>
      </c>
      <c r="K117" s="69"/>
    </row>
    <row r="118" spans="1:16" s="343" customFormat="1" ht="30" x14ac:dyDescent="0.2">
      <c r="A118" s="50">
        <v>10483</v>
      </c>
      <c r="B118" s="52" t="s">
        <v>145</v>
      </c>
      <c r="C118" s="67" t="s">
        <v>163</v>
      </c>
      <c r="D118" s="98">
        <f>+E118/0.8</f>
        <v>85446.25</v>
      </c>
      <c r="E118" s="66">
        <v>68357</v>
      </c>
      <c r="F118" s="61" t="s">
        <v>146</v>
      </c>
      <c r="G118" s="66">
        <v>68357</v>
      </c>
      <c r="H118" s="66">
        <f t="shared" si="9"/>
        <v>0</v>
      </c>
      <c r="I118" s="65" t="s">
        <v>144</v>
      </c>
      <c r="J118" s="597">
        <v>40056</v>
      </c>
      <c r="K118" s="580">
        <v>40017</v>
      </c>
    </row>
    <row r="119" spans="1:16" s="343" customFormat="1" ht="30" x14ac:dyDescent="0.2">
      <c r="A119" s="59">
        <v>10968</v>
      </c>
      <c r="B119" s="52" t="s">
        <v>143</v>
      </c>
      <c r="C119" s="67" t="s">
        <v>162</v>
      </c>
      <c r="D119" s="66">
        <f>(+E119*1.25)+2543332</f>
        <v>3643332</v>
      </c>
      <c r="E119" s="66">
        <v>880000</v>
      </c>
      <c r="F119" s="61" t="s">
        <v>161</v>
      </c>
      <c r="G119" s="66">
        <v>880000</v>
      </c>
      <c r="H119" s="66">
        <f t="shared" si="9"/>
        <v>0</v>
      </c>
      <c r="I119" s="65" t="s">
        <v>485</v>
      </c>
      <c r="J119" s="597"/>
      <c r="K119" s="580">
        <v>41276</v>
      </c>
    </row>
    <row r="120" spans="1:16" s="343" customFormat="1" x14ac:dyDescent="0.2">
      <c r="A120" s="50">
        <v>11350</v>
      </c>
      <c r="B120" s="52" t="s">
        <v>160</v>
      </c>
      <c r="C120" s="67" t="s">
        <v>159</v>
      </c>
      <c r="D120" s="66">
        <v>200000</v>
      </c>
      <c r="E120" s="66">
        <v>62577</v>
      </c>
      <c r="F120" s="61" t="s">
        <v>142</v>
      </c>
      <c r="G120" s="66">
        <v>62577</v>
      </c>
      <c r="H120" s="66">
        <f t="shared" si="9"/>
        <v>0</v>
      </c>
      <c r="I120" s="65" t="s">
        <v>485</v>
      </c>
      <c r="J120" s="580">
        <v>40688</v>
      </c>
      <c r="K120" s="580">
        <v>40548</v>
      </c>
    </row>
    <row r="121" spans="1:16" s="343" customFormat="1" ht="50.45" customHeight="1" x14ac:dyDescent="0.2">
      <c r="A121" s="50">
        <v>11764</v>
      </c>
      <c r="B121" s="95" t="s">
        <v>158</v>
      </c>
      <c r="C121" s="109" t="s">
        <v>157</v>
      </c>
      <c r="D121" s="92">
        <f>+E121/0.8</f>
        <v>699736.25</v>
      </c>
      <c r="E121" s="92">
        <f>568443-8654</f>
        <v>559789</v>
      </c>
      <c r="F121" s="91" t="s">
        <v>142</v>
      </c>
      <c r="G121" s="92">
        <v>559789</v>
      </c>
      <c r="H121" s="66">
        <f t="shared" si="9"/>
        <v>0</v>
      </c>
      <c r="I121" s="65" t="s">
        <v>485</v>
      </c>
      <c r="J121" s="599">
        <v>41121</v>
      </c>
      <c r="K121" s="580">
        <v>41121</v>
      </c>
    </row>
    <row r="122" spans="1:16" s="343" customFormat="1" ht="50.45" customHeight="1" x14ac:dyDescent="0.2">
      <c r="A122" s="94">
        <v>14371</v>
      </c>
      <c r="B122" s="69" t="s">
        <v>119</v>
      </c>
      <c r="C122" s="93" t="s">
        <v>156</v>
      </c>
      <c r="D122" s="92">
        <v>10817.5</v>
      </c>
      <c r="E122" s="92">
        <v>8654</v>
      </c>
      <c r="F122" s="61" t="s">
        <v>141</v>
      </c>
      <c r="G122" s="92">
        <v>8654</v>
      </c>
      <c r="H122" s="66">
        <f t="shared" si="9"/>
        <v>0</v>
      </c>
      <c r="I122" s="61" t="s">
        <v>144</v>
      </c>
      <c r="J122" s="596">
        <v>41864</v>
      </c>
      <c r="K122" s="600">
        <v>41864</v>
      </c>
    </row>
    <row r="123" spans="1:16" ht="27" customHeight="1" x14ac:dyDescent="0.2">
      <c r="A123" s="50">
        <v>12738</v>
      </c>
      <c r="B123" s="52" t="s">
        <v>123</v>
      </c>
      <c r="C123" s="69" t="s">
        <v>155</v>
      </c>
      <c r="D123" s="98">
        <v>177300</v>
      </c>
      <c r="E123" s="98">
        <v>137523</v>
      </c>
      <c r="F123" s="91" t="s">
        <v>142</v>
      </c>
      <c r="G123" s="66">
        <v>137523</v>
      </c>
      <c r="H123" s="66">
        <f t="shared" si="9"/>
        <v>0</v>
      </c>
      <c r="I123" s="65" t="s">
        <v>485</v>
      </c>
      <c r="J123" s="599">
        <v>41323</v>
      </c>
      <c r="K123" s="580">
        <v>41444</v>
      </c>
      <c r="L123" s="85"/>
    </row>
    <row r="124" spans="1:16" ht="30" x14ac:dyDescent="0.2">
      <c r="A124" s="477">
        <v>13417</v>
      </c>
      <c r="B124" s="314" t="s">
        <v>123</v>
      </c>
      <c r="C124" s="314" t="s">
        <v>154</v>
      </c>
      <c r="D124" s="215">
        <v>121778.75</v>
      </c>
      <c r="E124" s="215">
        <v>97423</v>
      </c>
      <c r="F124" s="61" t="s">
        <v>141</v>
      </c>
      <c r="G124" s="215">
        <v>97423</v>
      </c>
      <c r="H124" s="66">
        <f t="shared" si="9"/>
        <v>0</v>
      </c>
      <c r="I124" s="61" t="s">
        <v>144</v>
      </c>
      <c r="J124" s="596">
        <v>41943</v>
      </c>
      <c r="K124" s="596">
        <v>41943</v>
      </c>
    </row>
    <row r="125" spans="1:16" s="482" customFormat="1" ht="22.15" customHeight="1" x14ac:dyDescent="0.2">
      <c r="A125" s="59"/>
      <c r="B125" s="90"/>
      <c r="C125" s="89" t="s">
        <v>140</v>
      </c>
      <c r="D125" s="56"/>
      <c r="E125" s="55">
        <f>SUM(E114:E124)</f>
        <v>2200000</v>
      </c>
      <c r="F125" s="88"/>
      <c r="G125" s="87"/>
      <c r="H125" s="55">
        <f>SUM(H115:H124)</f>
        <v>0</v>
      </c>
      <c r="I125" s="53"/>
      <c r="J125" s="54"/>
      <c r="K125" s="53"/>
    </row>
    <row r="126" spans="1:16" s="483" customFormat="1" ht="15.75" x14ac:dyDescent="0.2">
      <c r="A126" s="86"/>
      <c r="B126" s="85"/>
      <c r="C126" s="334"/>
      <c r="D126" s="83"/>
      <c r="E126" s="83"/>
      <c r="F126" s="84"/>
      <c r="G126" s="83"/>
      <c r="H126" s="82"/>
      <c r="I126" s="80"/>
      <c r="J126" s="81"/>
      <c r="K126" s="80"/>
    </row>
    <row r="127" spans="1:16" s="23" customFormat="1" ht="28.15" customHeight="1" x14ac:dyDescent="0.2">
      <c r="A127" s="79"/>
      <c r="B127" s="630" t="s">
        <v>536</v>
      </c>
      <c r="C127" s="631"/>
      <c r="D127" s="631"/>
      <c r="E127" s="631"/>
      <c r="F127" s="632"/>
      <c r="G127" s="78"/>
      <c r="H127" s="335"/>
      <c r="I127" s="76"/>
      <c r="J127" s="77"/>
      <c r="K127" s="336"/>
    </row>
    <row r="128" spans="1:16" s="23" customFormat="1" ht="78.75" x14ac:dyDescent="0.2">
      <c r="A128" s="75" t="s">
        <v>153</v>
      </c>
      <c r="B128" s="73" t="s">
        <v>152</v>
      </c>
      <c r="C128" s="73" t="s">
        <v>0</v>
      </c>
      <c r="D128" s="74" t="s">
        <v>1</v>
      </c>
      <c r="E128" s="74" t="s">
        <v>98</v>
      </c>
      <c r="F128" s="73" t="s">
        <v>99</v>
      </c>
      <c r="G128" s="74" t="s">
        <v>151</v>
      </c>
      <c r="H128" s="74" t="s">
        <v>150</v>
      </c>
      <c r="I128" s="73" t="s">
        <v>102</v>
      </c>
      <c r="J128" s="73" t="s">
        <v>103</v>
      </c>
      <c r="K128" s="73" t="s">
        <v>149</v>
      </c>
    </row>
    <row r="129" spans="1:11" s="23" customFormat="1" ht="39" customHeight="1" x14ac:dyDescent="0.2">
      <c r="A129" s="337" t="s">
        <v>537</v>
      </c>
      <c r="B129" s="52" t="s">
        <v>538</v>
      </c>
      <c r="C129" s="69" t="s">
        <v>539</v>
      </c>
      <c r="D129" s="338">
        <f>1100000+288484-222165</f>
        <v>1166319</v>
      </c>
      <c r="E129" s="66">
        <v>702268</v>
      </c>
      <c r="F129" s="61" t="s">
        <v>146</v>
      </c>
      <c r="G129" s="66">
        <v>702268</v>
      </c>
      <c r="H129" s="56">
        <f>+E129-G129</f>
        <v>0</v>
      </c>
      <c r="I129" s="65" t="s">
        <v>144</v>
      </c>
      <c r="J129" s="96">
        <v>40482</v>
      </c>
      <c r="K129" s="96">
        <v>40557</v>
      </c>
    </row>
    <row r="130" spans="1:11" s="343" customFormat="1" ht="37.9" customHeight="1" x14ac:dyDescent="0.2">
      <c r="A130" s="337" t="s">
        <v>540</v>
      </c>
      <c r="B130" s="52" t="s">
        <v>541</v>
      </c>
      <c r="C130" s="69" t="s">
        <v>542</v>
      </c>
      <c r="D130" s="338">
        <f>1119250-75000</f>
        <v>1044250</v>
      </c>
      <c r="E130" s="66">
        <v>820000</v>
      </c>
      <c r="F130" s="61" t="s">
        <v>146</v>
      </c>
      <c r="G130" s="66">
        <v>820000</v>
      </c>
      <c r="H130" s="56">
        <f>+E130-G130</f>
        <v>0</v>
      </c>
      <c r="I130" s="65" t="s">
        <v>144</v>
      </c>
      <c r="J130" s="96">
        <v>40485</v>
      </c>
      <c r="K130" s="96">
        <v>40485</v>
      </c>
    </row>
    <row r="131" spans="1:11" s="343" customFormat="1" ht="45" x14ac:dyDescent="0.2">
      <c r="A131" s="337" t="s">
        <v>543</v>
      </c>
      <c r="B131" s="52" t="s">
        <v>544</v>
      </c>
      <c r="C131" s="69" t="s">
        <v>545</v>
      </c>
      <c r="D131" s="338">
        <v>385043</v>
      </c>
      <c r="E131" s="66">
        <v>100876</v>
      </c>
      <c r="F131" s="61" t="s">
        <v>146</v>
      </c>
      <c r="G131" s="66">
        <v>100876</v>
      </c>
      <c r="H131" s="56">
        <f>+E131-G131</f>
        <v>0</v>
      </c>
      <c r="I131" s="65" t="s">
        <v>144</v>
      </c>
      <c r="J131" s="96">
        <v>39964</v>
      </c>
      <c r="K131" s="96">
        <v>39800</v>
      </c>
    </row>
    <row r="132" spans="1:11" ht="60" x14ac:dyDescent="0.2">
      <c r="A132" s="339" t="s">
        <v>546</v>
      </c>
      <c r="B132" s="52" t="s">
        <v>547</v>
      </c>
      <c r="C132" s="69" t="s">
        <v>548</v>
      </c>
      <c r="D132" s="338">
        <f>576856/0.8</f>
        <v>721070</v>
      </c>
      <c r="E132" s="66">
        <v>576856</v>
      </c>
      <c r="F132" s="61" t="s">
        <v>142</v>
      </c>
      <c r="G132" s="66">
        <v>576856</v>
      </c>
      <c r="H132" s="56">
        <f>+E132-G132</f>
        <v>0</v>
      </c>
      <c r="I132" s="65" t="s">
        <v>144</v>
      </c>
      <c r="J132" s="97">
        <v>39629</v>
      </c>
      <c r="K132" s="96">
        <v>39660</v>
      </c>
    </row>
    <row r="133" spans="1:11" s="343" customFormat="1" ht="24.6" customHeight="1" x14ac:dyDescent="0.2">
      <c r="A133" s="339"/>
      <c r="B133" s="69"/>
      <c r="C133" s="57" t="s">
        <v>140</v>
      </c>
      <c r="D133" s="338"/>
      <c r="E133" s="340">
        <f>SUM(E129:E132)</f>
        <v>2200000</v>
      </c>
      <c r="F133" s="61"/>
      <c r="G133" s="66"/>
      <c r="H133" s="55">
        <f>SUM(H129:H132)</f>
        <v>0</v>
      </c>
      <c r="I133" s="65"/>
      <c r="J133" s="64"/>
      <c r="K133" s="68"/>
    </row>
    <row r="134" spans="1:11" s="23" customFormat="1" x14ac:dyDescent="0.2">
      <c r="A134" s="341"/>
      <c r="B134" s="342"/>
      <c r="C134" s="343"/>
      <c r="D134" s="344"/>
      <c r="E134" s="344"/>
      <c r="F134" s="345"/>
      <c r="G134" s="344"/>
      <c r="H134" s="344"/>
      <c r="I134" s="346"/>
      <c r="J134" s="347"/>
      <c r="K134" s="346"/>
    </row>
    <row r="135" spans="1:11" s="23" customFormat="1" ht="28.15" customHeight="1" x14ac:dyDescent="0.2">
      <c r="A135" s="79"/>
      <c r="B135" s="630" t="s">
        <v>549</v>
      </c>
      <c r="C135" s="631"/>
      <c r="D135" s="631"/>
      <c r="E135" s="631"/>
      <c r="F135" s="632"/>
      <c r="G135" s="78"/>
      <c r="H135" s="78"/>
      <c r="I135" s="76"/>
      <c r="J135" s="77"/>
      <c r="K135" s="76"/>
    </row>
    <row r="136" spans="1:11" s="23" customFormat="1" ht="78.75" x14ac:dyDescent="0.2">
      <c r="A136" s="75" t="s">
        <v>153</v>
      </c>
      <c r="B136" s="73" t="s">
        <v>152</v>
      </c>
      <c r="C136" s="73" t="s">
        <v>0</v>
      </c>
      <c r="D136" s="74" t="s">
        <v>1</v>
      </c>
      <c r="E136" s="74" t="s">
        <v>98</v>
      </c>
      <c r="F136" s="73" t="s">
        <v>99</v>
      </c>
      <c r="G136" s="74" t="s">
        <v>151</v>
      </c>
      <c r="H136" s="74" t="s">
        <v>150</v>
      </c>
      <c r="I136" s="73" t="s">
        <v>102</v>
      </c>
      <c r="J136" s="73" t="s">
        <v>103</v>
      </c>
      <c r="K136" s="73" t="s">
        <v>149</v>
      </c>
    </row>
    <row r="137" spans="1:11" s="23" customFormat="1" ht="30" x14ac:dyDescent="0.2">
      <c r="A137" s="337" t="s">
        <v>550</v>
      </c>
      <c r="B137" s="52" t="s">
        <v>148</v>
      </c>
      <c r="C137" s="69" t="s">
        <v>551</v>
      </c>
      <c r="D137" s="66">
        <v>1100000</v>
      </c>
      <c r="E137" s="66">
        <v>880000</v>
      </c>
      <c r="F137" s="61" t="s">
        <v>552</v>
      </c>
      <c r="G137" s="66">
        <v>880000</v>
      </c>
      <c r="H137" s="56">
        <f t="shared" ref="H137:H147" si="10">+E137-G137</f>
        <v>0</v>
      </c>
      <c r="I137" s="65" t="s">
        <v>144</v>
      </c>
      <c r="J137" s="97">
        <v>39599</v>
      </c>
      <c r="K137" s="96">
        <v>39618</v>
      </c>
    </row>
    <row r="138" spans="1:11" s="23" customFormat="1" ht="45" x14ac:dyDescent="0.2">
      <c r="A138" s="348" t="s">
        <v>553</v>
      </c>
      <c r="B138" s="72" t="s">
        <v>554</v>
      </c>
      <c r="C138" s="349" t="s">
        <v>555</v>
      </c>
      <c r="D138" s="332">
        <v>2589453</v>
      </c>
      <c r="E138" s="332">
        <v>0</v>
      </c>
      <c r="F138" s="71" t="s">
        <v>556</v>
      </c>
      <c r="G138" s="66">
        <v>0</v>
      </c>
      <c r="H138" s="56">
        <v>0</v>
      </c>
      <c r="I138" s="65" t="s">
        <v>557</v>
      </c>
      <c r="J138" s="469" t="s">
        <v>147</v>
      </c>
      <c r="K138" s="469" t="s">
        <v>147</v>
      </c>
    </row>
    <row r="139" spans="1:11" s="23" customFormat="1" ht="30" x14ac:dyDescent="0.2">
      <c r="A139" s="337" t="s">
        <v>558</v>
      </c>
      <c r="B139" s="52" t="s">
        <v>559</v>
      </c>
      <c r="C139" s="69" t="s">
        <v>560</v>
      </c>
      <c r="D139" s="66">
        <v>138134</v>
      </c>
      <c r="E139" s="66">
        <v>110507</v>
      </c>
      <c r="F139" s="61" t="s">
        <v>552</v>
      </c>
      <c r="G139" s="66">
        <v>110507</v>
      </c>
      <c r="H139" s="56">
        <f t="shared" si="10"/>
        <v>0</v>
      </c>
      <c r="I139" s="65" t="s">
        <v>144</v>
      </c>
      <c r="J139" s="97">
        <v>39862</v>
      </c>
      <c r="K139" s="96">
        <v>39862</v>
      </c>
    </row>
    <row r="140" spans="1:11" s="23" customFormat="1" ht="30" x14ac:dyDescent="0.2">
      <c r="A140" s="337" t="s">
        <v>561</v>
      </c>
      <c r="B140" s="52" t="s">
        <v>562</v>
      </c>
      <c r="C140" s="69" t="s">
        <v>563</v>
      </c>
      <c r="D140" s="66">
        <v>66677</v>
      </c>
      <c r="E140" s="66">
        <v>53341</v>
      </c>
      <c r="F140" s="61" t="s">
        <v>552</v>
      </c>
      <c r="G140" s="66">
        <v>53341</v>
      </c>
      <c r="H140" s="56">
        <f t="shared" si="10"/>
        <v>0</v>
      </c>
      <c r="I140" s="65" t="s">
        <v>144</v>
      </c>
      <c r="J140" s="96">
        <v>40226</v>
      </c>
      <c r="K140" s="96">
        <v>40226</v>
      </c>
    </row>
    <row r="141" spans="1:11" s="481" customFormat="1" ht="23.45" customHeight="1" x14ac:dyDescent="0.2">
      <c r="A141" s="337" t="s">
        <v>564</v>
      </c>
      <c r="B141" s="52" t="s">
        <v>565</v>
      </c>
      <c r="C141" s="69" t="s">
        <v>566</v>
      </c>
      <c r="D141" s="66">
        <v>50000</v>
      </c>
      <c r="E141" s="66">
        <v>40000</v>
      </c>
      <c r="F141" s="61" t="s">
        <v>552</v>
      </c>
      <c r="G141" s="66">
        <v>40000</v>
      </c>
      <c r="H141" s="56">
        <f t="shared" si="10"/>
        <v>0</v>
      </c>
      <c r="I141" s="65" t="s">
        <v>144</v>
      </c>
      <c r="J141" s="97">
        <v>39707</v>
      </c>
      <c r="K141" s="96">
        <v>39707</v>
      </c>
    </row>
    <row r="142" spans="1:11" s="343" customFormat="1" ht="45" x14ac:dyDescent="0.2">
      <c r="A142" s="337" t="s">
        <v>567</v>
      </c>
      <c r="B142" s="52" t="s">
        <v>568</v>
      </c>
      <c r="C142" s="69" t="s">
        <v>569</v>
      </c>
      <c r="D142" s="66">
        <f>E142/0.8</f>
        <v>40267.5</v>
      </c>
      <c r="E142" s="66">
        <v>32214</v>
      </c>
      <c r="F142" s="61" t="s">
        <v>552</v>
      </c>
      <c r="G142" s="66">
        <v>32214</v>
      </c>
      <c r="H142" s="56">
        <f t="shared" si="10"/>
        <v>0</v>
      </c>
      <c r="I142" s="65" t="s">
        <v>144</v>
      </c>
      <c r="J142" s="97">
        <v>39538</v>
      </c>
      <c r="K142" s="96">
        <v>39582</v>
      </c>
    </row>
    <row r="143" spans="1:11" s="343" customFormat="1" ht="45" x14ac:dyDescent="0.2">
      <c r="A143" s="337" t="s">
        <v>570</v>
      </c>
      <c r="B143" s="52" t="s">
        <v>571</v>
      </c>
      <c r="C143" s="69" t="s">
        <v>572</v>
      </c>
      <c r="D143" s="66">
        <v>500000</v>
      </c>
      <c r="E143" s="66">
        <v>163085</v>
      </c>
      <c r="F143" s="61" t="s">
        <v>556</v>
      </c>
      <c r="G143" s="66">
        <v>163085</v>
      </c>
      <c r="H143" s="66">
        <v>0</v>
      </c>
      <c r="I143" s="65" t="s">
        <v>144</v>
      </c>
      <c r="J143" s="97">
        <v>40543</v>
      </c>
      <c r="K143" s="96">
        <v>40142</v>
      </c>
    </row>
    <row r="144" spans="1:11" s="343" customFormat="1" ht="30" x14ac:dyDescent="0.2">
      <c r="A144" s="337" t="s">
        <v>573</v>
      </c>
      <c r="B144" s="52" t="s">
        <v>145</v>
      </c>
      <c r="C144" s="69" t="s">
        <v>574</v>
      </c>
      <c r="D144" s="66">
        <v>587500</v>
      </c>
      <c r="E144" s="66">
        <v>220000</v>
      </c>
      <c r="F144" s="61" t="s">
        <v>556</v>
      </c>
      <c r="G144" s="66">
        <v>220000</v>
      </c>
      <c r="H144" s="56">
        <f t="shared" si="10"/>
        <v>0</v>
      </c>
      <c r="I144" s="65" t="s">
        <v>144</v>
      </c>
      <c r="J144" s="97">
        <v>39721</v>
      </c>
      <c r="K144" s="96">
        <v>39708</v>
      </c>
    </row>
    <row r="145" spans="1:20" s="343" customFormat="1" ht="60" x14ac:dyDescent="0.2">
      <c r="A145" s="350" t="s">
        <v>546</v>
      </c>
      <c r="B145" s="351" t="s">
        <v>547</v>
      </c>
      <c r="C145" s="70" t="s">
        <v>575</v>
      </c>
      <c r="D145" s="352">
        <f>334498/0.8</f>
        <v>418122.5</v>
      </c>
      <c r="E145" s="352">
        <f>125413+177731</f>
        <v>303144</v>
      </c>
      <c r="F145" s="353" t="s">
        <v>142</v>
      </c>
      <c r="G145" s="352">
        <v>303144</v>
      </c>
      <c r="H145" s="352">
        <f t="shared" si="10"/>
        <v>0</v>
      </c>
      <c r="I145" s="354" t="s">
        <v>144</v>
      </c>
      <c r="J145" s="540">
        <v>39629</v>
      </c>
      <c r="K145" s="541">
        <v>39660</v>
      </c>
    </row>
    <row r="146" spans="1:20" s="343" customFormat="1" ht="30" x14ac:dyDescent="0.2">
      <c r="A146" s="337" t="s">
        <v>537</v>
      </c>
      <c r="B146" s="52" t="s">
        <v>576</v>
      </c>
      <c r="C146" s="69" t="s">
        <v>577</v>
      </c>
      <c r="D146" s="56">
        <f>177732/0.8</f>
        <v>222165</v>
      </c>
      <c r="E146" s="56">
        <v>177732</v>
      </c>
      <c r="F146" s="61" t="s">
        <v>146</v>
      </c>
      <c r="G146" s="66">
        <v>177732</v>
      </c>
      <c r="H146" s="56">
        <f t="shared" si="10"/>
        <v>0</v>
      </c>
      <c r="I146" s="65" t="s">
        <v>144</v>
      </c>
      <c r="J146" s="96">
        <v>40482</v>
      </c>
      <c r="K146" s="96">
        <v>40557</v>
      </c>
    </row>
    <row r="147" spans="1:20" s="23" customFormat="1" ht="36.6" customHeight="1" x14ac:dyDescent="0.2">
      <c r="A147" s="337" t="s">
        <v>540</v>
      </c>
      <c r="B147" s="52" t="s">
        <v>562</v>
      </c>
      <c r="C147" s="69" t="s">
        <v>578</v>
      </c>
      <c r="D147" s="56">
        <f>60000/0.8</f>
        <v>75000</v>
      </c>
      <c r="E147" s="56">
        <v>60000</v>
      </c>
      <c r="F147" s="61" t="s">
        <v>142</v>
      </c>
      <c r="G147" s="66">
        <v>60000</v>
      </c>
      <c r="H147" s="56">
        <f t="shared" si="10"/>
        <v>0</v>
      </c>
      <c r="I147" s="65" t="s">
        <v>144</v>
      </c>
      <c r="J147" s="96">
        <v>40485</v>
      </c>
      <c r="K147" s="96">
        <v>40485</v>
      </c>
    </row>
    <row r="148" spans="1:20" s="23" customFormat="1" ht="37.15" customHeight="1" x14ac:dyDescent="0.2">
      <c r="A148" s="337">
        <v>10483</v>
      </c>
      <c r="B148" s="52" t="s">
        <v>145</v>
      </c>
      <c r="C148" s="67" t="s">
        <v>579</v>
      </c>
      <c r="D148" s="56">
        <f>E148/0.8</f>
        <v>82053.75</v>
      </c>
      <c r="E148" s="56">
        <f>39537+26106</f>
        <v>65643</v>
      </c>
      <c r="F148" s="61" t="s">
        <v>556</v>
      </c>
      <c r="G148" s="66">
        <v>65643</v>
      </c>
      <c r="H148" s="56">
        <f>+E148-G148</f>
        <v>0</v>
      </c>
      <c r="I148" s="65" t="s">
        <v>144</v>
      </c>
      <c r="J148" s="97">
        <v>40017</v>
      </c>
      <c r="K148" s="97">
        <v>40017</v>
      </c>
    </row>
    <row r="149" spans="1:20" ht="45" x14ac:dyDescent="0.2">
      <c r="A149" s="50">
        <v>11760</v>
      </c>
      <c r="B149" s="52" t="s">
        <v>143</v>
      </c>
      <c r="C149" s="69" t="s">
        <v>580</v>
      </c>
      <c r="D149" s="63">
        <f>+E149/0.8</f>
        <v>71773.75</v>
      </c>
      <c r="E149" s="63">
        <v>57419</v>
      </c>
      <c r="F149" s="61" t="s">
        <v>142</v>
      </c>
      <c r="G149" s="66">
        <v>57419</v>
      </c>
      <c r="H149" s="56">
        <f>+E149-G149</f>
        <v>0</v>
      </c>
      <c r="I149" s="65" t="s">
        <v>144</v>
      </c>
      <c r="J149" s="97">
        <v>41319</v>
      </c>
      <c r="K149" s="97">
        <v>41319</v>
      </c>
    </row>
    <row r="150" spans="1:20" ht="30" x14ac:dyDescent="0.2">
      <c r="A150" s="477">
        <v>13417</v>
      </c>
      <c r="B150" s="314" t="s">
        <v>123</v>
      </c>
      <c r="C150" s="314" t="s">
        <v>581</v>
      </c>
      <c r="D150" s="62">
        <v>46143.75</v>
      </c>
      <c r="E150" s="60">
        <v>36915</v>
      </c>
      <c r="F150" s="61" t="s">
        <v>141</v>
      </c>
      <c r="G150" s="215">
        <v>36915</v>
      </c>
      <c r="H150" s="56">
        <f>+E150-G150</f>
        <v>0</v>
      </c>
      <c r="I150" s="65" t="s">
        <v>144</v>
      </c>
      <c r="J150" s="542">
        <v>41407</v>
      </c>
      <c r="K150" s="542">
        <v>41407</v>
      </c>
    </row>
    <row r="151" spans="1:20" ht="15.75" x14ac:dyDescent="0.2">
      <c r="A151" s="59"/>
      <c r="B151" s="58"/>
      <c r="C151" s="57" t="s">
        <v>140</v>
      </c>
      <c r="D151" s="56"/>
      <c r="E151" s="55">
        <f>SUM(E137:E149)+E150</f>
        <v>2200000</v>
      </c>
      <c r="F151" s="53"/>
      <c r="G151" s="55"/>
      <c r="H151" s="55">
        <f>SUM(H137:H150)</f>
        <v>0</v>
      </c>
      <c r="I151" s="53"/>
      <c r="J151" s="54"/>
      <c r="K151" s="53"/>
    </row>
    <row r="152" spans="1:20" x14ac:dyDescent="0.2">
      <c r="B152" s="484"/>
      <c r="C152" s="23"/>
      <c r="D152" s="485"/>
      <c r="E152" s="485"/>
      <c r="F152" s="305"/>
      <c r="G152" s="485"/>
      <c r="H152" s="485"/>
      <c r="I152" s="302"/>
      <c r="J152" s="302"/>
      <c r="K152" s="302"/>
    </row>
    <row r="156" spans="1:20" x14ac:dyDescent="0.2">
      <c r="D156" s="83"/>
      <c r="E156" s="83"/>
      <c r="F156" s="84"/>
      <c r="G156" s="83"/>
      <c r="H156" s="83"/>
      <c r="I156" s="80"/>
      <c r="J156" s="81"/>
      <c r="K156" s="80"/>
      <c r="L156" s="334"/>
      <c r="M156" s="334"/>
      <c r="N156" s="334"/>
      <c r="O156" s="334"/>
      <c r="P156" s="334"/>
      <c r="Q156" s="334"/>
      <c r="R156" s="334"/>
      <c r="S156" s="334"/>
      <c r="T156" s="334"/>
    </row>
    <row r="157" spans="1:20" x14ac:dyDescent="0.2">
      <c r="D157" s="83"/>
      <c r="E157" s="83"/>
      <c r="F157" s="84"/>
      <c r="G157" s="83"/>
      <c r="H157" s="83"/>
      <c r="I157" s="80"/>
      <c r="J157" s="81"/>
      <c r="K157" s="80"/>
      <c r="L157" s="334"/>
      <c r="M157" s="334"/>
      <c r="N157" s="334"/>
      <c r="O157" s="334"/>
      <c r="P157" s="334"/>
      <c r="Q157" s="334"/>
      <c r="R157" s="334"/>
      <c r="S157" s="334"/>
      <c r="T157" s="334"/>
    </row>
    <row r="158" spans="1:20" x14ac:dyDescent="0.2">
      <c r="C158" s="303"/>
      <c r="D158" s="83"/>
      <c r="E158" s="602"/>
      <c r="F158" s="603"/>
      <c r="G158" s="602"/>
      <c r="H158" s="604"/>
      <c r="I158" s="605"/>
      <c r="J158" s="603"/>
      <c r="K158" s="80"/>
      <c r="L158" s="334"/>
      <c r="M158" s="334"/>
      <c r="N158" s="334"/>
      <c r="O158" s="334"/>
      <c r="P158" s="334"/>
      <c r="Q158" s="334"/>
      <c r="R158" s="334"/>
      <c r="S158" s="334"/>
      <c r="T158" s="334"/>
    </row>
    <row r="159" spans="1:20" x14ac:dyDescent="0.2">
      <c r="D159" s="83"/>
      <c r="E159" s="83"/>
      <c r="F159" s="606"/>
      <c r="G159" s="607"/>
      <c r="H159" s="604"/>
      <c r="I159" s="608"/>
      <c r="J159" s="603"/>
      <c r="K159" s="80"/>
      <c r="L159" s="334"/>
      <c r="M159" s="334"/>
      <c r="N159" s="334"/>
      <c r="O159" s="334"/>
      <c r="P159" s="334"/>
      <c r="Q159" s="334"/>
      <c r="R159" s="334"/>
      <c r="S159" s="334"/>
      <c r="T159" s="334"/>
    </row>
    <row r="160" spans="1:20" x14ac:dyDescent="0.2">
      <c r="C160" s="303"/>
      <c r="D160" s="83"/>
      <c r="E160" s="83"/>
      <c r="F160" s="609"/>
      <c r="G160" s="610"/>
      <c r="H160" s="604"/>
      <c r="I160" s="608"/>
      <c r="J160" s="81"/>
      <c r="K160" s="80"/>
      <c r="L160" s="334"/>
      <c r="M160" s="334"/>
      <c r="N160" s="334"/>
      <c r="O160" s="334"/>
      <c r="P160" s="334"/>
      <c r="Q160" s="334"/>
      <c r="R160" s="334"/>
      <c r="S160" s="334"/>
      <c r="T160" s="334"/>
    </row>
    <row r="161" spans="3:20" x14ac:dyDescent="0.2">
      <c r="D161" s="83"/>
      <c r="E161" s="611"/>
      <c r="F161" s="611"/>
      <c r="G161" s="611"/>
      <c r="H161" s="604"/>
      <c r="I161" s="610"/>
      <c r="J161" s="81"/>
      <c r="K161" s="80"/>
      <c r="L161" s="334"/>
      <c r="M161" s="334"/>
      <c r="N161" s="334"/>
      <c r="O161" s="334"/>
      <c r="P161" s="334"/>
      <c r="Q161" s="334"/>
      <c r="R161" s="334"/>
      <c r="S161" s="334"/>
      <c r="T161" s="334"/>
    </row>
    <row r="162" spans="3:20" x14ac:dyDescent="0.2">
      <c r="C162" s="303"/>
      <c r="D162" s="83"/>
      <c r="E162" s="83"/>
      <c r="F162" s="588"/>
      <c r="G162" s="83"/>
      <c r="H162" s="83"/>
      <c r="I162" s="612"/>
      <c r="J162" s="81"/>
      <c r="K162" s="80"/>
      <c r="L162" s="334"/>
      <c r="M162" s="334"/>
      <c r="N162" s="334"/>
      <c r="O162" s="334"/>
      <c r="P162" s="334"/>
      <c r="Q162" s="334"/>
      <c r="R162" s="334"/>
      <c r="S162" s="334"/>
      <c r="T162" s="334"/>
    </row>
    <row r="163" spans="3:20" x14ac:dyDescent="0.2">
      <c r="D163" s="83"/>
      <c r="E163" s="83"/>
      <c r="F163" s="588"/>
      <c r="G163" s="83"/>
      <c r="H163" s="83"/>
      <c r="I163" s="80"/>
      <c r="J163" s="81"/>
      <c r="K163" s="80"/>
      <c r="L163" s="334"/>
      <c r="M163" s="334"/>
      <c r="N163" s="334"/>
      <c r="O163" s="334"/>
      <c r="P163" s="334"/>
      <c r="Q163" s="334"/>
      <c r="R163" s="334"/>
      <c r="S163" s="334"/>
      <c r="T163" s="334"/>
    </row>
    <row r="164" spans="3:20" x14ac:dyDescent="0.2">
      <c r="D164" s="83"/>
      <c r="E164" s="83"/>
      <c r="F164" s="84"/>
      <c r="G164" s="83"/>
      <c r="H164" s="83"/>
      <c r="I164" s="80"/>
      <c r="J164" s="81"/>
      <c r="K164" s="80"/>
      <c r="L164" s="334"/>
      <c r="M164" s="334"/>
      <c r="N164" s="334"/>
      <c r="O164" s="334"/>
      <c r="P164" s="334"/>
      <c r="Q164" s="334"/>
      <c r="R164" s="334"/>
      <c r="S164" s="334"/>
      <c r="T164" s="334"/>
    </row>
    <row r="165" spans="3:20" x14ac:dyDescent="0.2">
      <c r="D165" s="83"/>
      <c r="E165" s="83"/>
      <c r="F165" s="84"/>
      <c r="G165" s="83"/>
      <c r="H165" s="83"/>
      <c r="I165" s="80"/>
      <c r="J165" s="81"/>
      <c r="K165" s="80"/>
      <c r="L165" s="334"/>
      <c r="M165" s="334"/>
      <c r="N165" s="334"/>
      <c r="O165" s="334"/>
      <c r="P165" s="334"/>
      <c r="Q165" s="334"/>
      <c r="R165" s="334"/>
      <c r="S165" s="334"/>
      <c r="T165" s="334"/>
    </row>
    <row r="166" spans="3:20" x14ac:dyDescent="0.2">
      <c r="D166" s="83"/>
      <c r="E166" s="83"/>
      <c r="F166" s="84"/>
      <c r="G166" s="83"/>
      <c r="H166" s="83"/>
      <c r="I166" s="80"/>
      <c r="J166" s="81"/>
      <c r="K166" s="80"/>
      <c r="L166" s="334"/>
      <c r="M166" s="334"/>
      <c r="N166" s="334"/>
      <c r="O166" s="334"/>
      <c r="P166" s="334"/>
      <c r="Q166" s="334"/>
      <c r="R166" s="334"/>
      <c r="S166" s="334"/>
      <c r="T166" s="334"/>
    </row>
    <row r="167" spans="3:20" x14ac:dyDescent="0.2">
      <c r="D167" s="83"/>
      <c r="E167" s="83"/>
      <c r="F167" s="84"/>
      <c r="G167" s="83"/>
      <c r="H167" s="83"/>
      <c r="I167" s="80"/>
      <c r="J167" s="81"/>
      <c r="K167" s="80"/>
      <c r="L167" s="334"/>
      <c r="M167" s="334"/>
      <c r="N167" s="334"/>
      <c r="O167" s="334"/>
      <c r="P167" s="334"/>
      <c r="Q167" s="334"/>
      <c r="R167" s="334"/>
      <c r="S167" s="334"/>
      <c r="T167" s="334"/>
    </row>
    <row r="168" spans="3:20" x14ac:dyDescent="0.2">
      <c r="D168" s="83"/>
      <c r="E168" s="83"/>
      <c r="F168" s="84"/>
      <c r="G168" s="83"/>
      <c r="H168" s="83"/>
      <c r="I168" s="80"/>
      <c r="J168" s="81"/>
      <c r="K168" s="80"/>
      <c r="L168" s="334"/>
      <c r="M168" s="334"/>
      <c r="N168" s="334"/>
      <c r="O168" s="334"/>
      <c r="P168" s="334"/>
      <c r="Q168" s="334"/>
      <c r="R168" s="334"/>
      <c r="S168" s="334"/>
      <c r="T168" s="334"/>
    </row>
    <row r="169" spans="3:20" x14ac:dyDescent="0.2">
      <c r="G169" s="83"/>
    </row>
    <row r="170" spans="3:20" x14ac:dyDescent="0.2">
      <c r="G170" s="83"/>
    </row>
    <row r="171" spans="3:20" x14ac:dyDescent="0.2">
      <c r="G171" s="602"/>
    </row>
    <row r="172" spans="3:20" x14ac:dyDescent="0.2">
      <c r="G172" s="83"/>
    </row>
    <row r="173" spans="3:20" x14ac:dyDescent="0.2">
      <c r="G173" s="83"/>
    </row>
    <row r="174" spans="3:20" x14ac:dyDescent="0.2">
      <c r="G174" s="83"/>
    </row>
    <row r="175" spans="3:20" x14ac:dyDescent="0.2">
      <c r="G175" s="83"/>
    </row>
    <row r="181" spans="6:6" x14ac:dyDescent="0.2">
      <c r="F181" s="613"/>
    </row>
  </sheetData>
  <mergeCells count="39">
    <mergeCell ref="A63:E63"/>
    <mergeCell ref="F63:G63"/>
    <mergeCell ref="H63:I63"/>
    <mergeCell ref="J63:K63"/>
    <mergeCell ref="A72:E72"/>
    <mergeCell ref="H1:I1"/>
    <mergeCell ref="J1:K1"/>
    <mergeCell ref="A1:E1"/>
    <mergeCell ref="F1:G1"/>
    <mergeCell ref="A29:E29"/>
    <mergeCell ref="F29:G29"/>
    <mergeCell ref="A10:E10"/>
    <mergeCell ref="F10:G10"/>
    <mergeCell ref="H10:I10"/>
    <mergeCell ref="J10:K10"/>
    <mergeCell ref="A18:E18"/>
    <mergeCell ref="F18:G18"/>
    <mergeCell ref="H18:I18"/>
    <mergeCell ref="J18:K18"/>
    <mergeCell ref="H29:I29"/>
    <mergeCell ref="J29:K29"/>
    <mergeCell ref="A39:E39"/>
    <mergeCell ref="F39:G39"/>
    <mergeCell ref="H39:I39"/>
    <mergeCell ref="J39:K39"/>
    <mergeCell ref="A48:E48"/>
    <mergeCell ref="F48:G48"/>
    <mergeCell ref="H48:I48"/>
    <mergeCell ref="J48:K48"/>
    <mergeCell ref="H72:I72"/>
    <mergeCell ref="J72:K72"/>
    <mergeCell ref="B84:F84"/>
    <mergeCell ref="G84:H84"/>
    <mergeCell ref="I84:J84"/>
    <mergeCell ref="B96:F96"/>
    <mergeCell ref="B112:F112"/>
    <mergeCell ref="B127:F127"/>
    <mergeCell ref="B135:F135"/>
    <mergeCell ref="F72:G72"/>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GAVI </vt:lpstr>
      <vt:lpstr>CSVI</vt:lpstr>
      <vt:lpstr>SRT</vt:lpstr>
      <vt:lpstr>RRLGP</vt:lpstr>
      <vt:lpstr>Passenger Rail</vt:lpstr>
      <vt:lpstr>PTIG</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2015-01-14T18:22:09Z</cp:lastPrinted>
  <dcterms:created xsi:type="dcterms:W3CDTF">2006-11-27T14:03:20Z</dcterms:created>
  <dcterms:modified xsi:type="dcterms:W3CDTF">2019-01-15T14:14:19Z</dcterms:modified>
</cp:coreProperties>
</file>