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708" windowWidth="23256" windowHeight="6288" tabRatio="784" activeTab="9"/>
  </bookViews>
  <sheets>
    <sheet name="January" sheetId="1" r:id="rId1"/>
    <sheet name="February" sheetId="2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0" r:id="rId10"/>
    <sheet name="November" sheetId="11" r:id="rId11"/>
    <sheet name="December" sheetId="12" r:id="rId12"/>
  </sheets>
  <definedNames>
    <definedName name="_xlnm.Print_Area" localSheetId="0">'January'!$A$1:$L$62</definedName>
  </definedNames>
  <calcPr fullCalcOnLoad="1"/>
</workbook>
</file>

<file path=xl/sharedStrings.xml><?xml version="1.0" encoding="utf-8"?>
<sst xmlns="http://schemas.openxmlformats.org/spreadsheetml/2006/main" count="911" uniqueCount="79">
  <si>
    <t>FEEDER CATTLE</t>
  </si>
  <si>
    <t>BEEF CATTLE</t>
  </si>
  <si>
    <t>DAIRY CATTLE</t>
  </si>
  <si>
    <t>SLAUGHTER CATTLE</t>
  </si>
  <si>
    <t>STATE OF ORIGIN</t>
  </si>
  <si>
    <t>MONTH</t>
  </si>
  <si>
    <t>YTD</t>
  </si>
  <si>
    <t>ALABAMA</t>
  </si>
  <si>
    <t>ALASKA</t>
  </si>
  <si>
    <t>ARIZONA</t>
  </si>
  <si>
    <t>ARKANSAS</t>
  </si>
  <si>
    <t>CALIFORNIA</t>
  </si>
  <si>
    <t>CANADA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</si>
  <si>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</si>
  <si>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</si>
  <si>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</si>
  <si>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</si>
  <si>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</si>
  <si>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</si>
  <si>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</si>
  <si>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</si>
  <si>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</si>
  <si>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</si>
  <si>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</si>
  <si>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</si>
  <si>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</si>
  <si>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</si>
  <si>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</si>
  <si>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</si>
  <si>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</si>
  <si>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</si>
  <si>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</si>
  <si>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</si>
  <si>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</si>
  <si>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</si>
  <si>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</si>
  <si>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</si>
  <si>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</si>
  <si>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</si>
  <si>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</si>
  <si>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</si>
  <si>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</si>
  <si>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</si>
  <si>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</si>
  <si>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</si>
  <si>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</si>
  <si>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</si>
  <si>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</si>
  <si>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</si>
  <si>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</si>
  <si>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</si>
  <si>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</si>
  <si>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</si>
  <si>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</si>
  <si>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</si>
  <si>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</si>
  <si>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</si>
  <si>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TOTALS (MONTH)</t>
  </si>
  <si>
    <t>TOTALS (YTD)</t>
  </si>
  <si>
    <t>STRAWS</t>
  </si>
  <si>
    <t>STRAWS (YTD)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</si>
  <si>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</si>
  <si>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</si>
  <si>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</si>
  <si>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</si>
  <si>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</si>
  <si>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</si>
  <si>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</si>
  <si>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</si>
  <si>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</si>
  <si>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</si>
  <si>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</si>
  <si>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</si>
  <si>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BISON</t>
  </si>
  <si>
    <t xml:space="preserve"> </t>
  </si>
  <si>
    <t># of CVIs</t>
  </si>
  <si>
    <t>Total # CVIs</t>
  </si>
  <si>
    <t>2016 Cattle Imported Into Iowa</t>
  </si>
  <si>
    <t>Karla Crawford and Katie Hyde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</si>
</sst>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5">
    <font>
      <sz val="12"/>
      <name val="Times New Roman"/>
      <family val="0"/>
    </font>
    <font>
      <b/>
      <sz val="18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8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Times New Roman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Times New Roman"/>
      <family val="1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Times New Roman"/>
      <family val="1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Times New Roman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double"/>
    </border>
    <border>
      <left style="double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 style="thin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6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5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3" fontId="6" fillId="0" borderId="11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3" fontId="6" fillId="33" borderId="10" xfId="0" applyNumberFormat="1" applyFont="1" applyFill="1" applyBorder="1" applyAlignment="1">
      <alignment/>
    </xf>
    <xf numFmtId="3" fontId="6" fillId="33" borderId="11" xfId="0" applyNumberFormat="1" applyFont="1" applyFill="1" applyBorder="1" applyAlignment="1">
      <alignment/>
    </xf>
    <xf numFmtId="3" fontId="6" fillId="34" borderId="10" xfId="0" applyNumberFormat="1" applyFont="1" applyFill="1" applyBorder="1" applyAlignment="1">
      <alignment/>
    </xf>
    <xf numFmtId="3" fontId="6" fillId="34" borderId="11" xfId="0" applyNumberFormat="1" applyFont="1" applyFill="1" applyBorder="1" applyAlignment="1">
      <alignment/>
    </xf>
    <xf numFmtId="3" fontId="6" fillId="35" borderId="10" xfId="0" applyNumberFormat="1" applyFont="1" applyFill="1" applyBorder="1" applyAlignment="1">
      <alignment/>
    </xf>
    <xf numFmtId="3" fontId="6" fillId="35" borderId="11" xfId="0" applyNumberFormat="1" applyFont="1" applyFill="1" applyBorder="1" applyAlignment="1">
      <alignment/>
    </xf>
    <xf numFmtId="3" fontId="6" fillId="36" borderId="10" xfId="0" applyNumberFormat="1" applyFont="1" applyFill="1" applyBorder="1" applyAlignment="1">
      <alignment/>
    </xf>
    <xf numFmtId="3" fontId="6" fillId="36" borderId="11" xfId="0" applyNumberFormat="1" applyFont="1" applyFill="1" applyBorder="1" applyAlignment="1">
      <alignment/>
    </xf>
    <xf numFmtId="3" fontId="2" fillId="34" borderId="10" xfId="0" applyNumberFormat="1" applyFont="1" applyFill="1" applyBorder="1" applyAlignment="1">
      <alignment/>
    </xf>
    <xf numFmtId="3" fontId="5" fillId="0" borderId="14" xfId="0" applyNumberFormat="1" applyFont="1" applyBorder="1" applyAlignment="1">
      <alignment/>
    </xf>
    <xf numFmtId="3" fontId="6" fillId="0" borderId="15" xfId="0" applyNumberFormat="1" applyFont="1" applyBorder="1" applyAlignment="1">
      <alignment/>
    </xf>
    <xf numFmtId="3" fontId="6" fillId="13" borderId="10" xfId="0" applyNumberFormat="1" applyFont="1" applyFill="1" applyBorder="1" applyAlignment="1">
      <alignment/>
    </xf>
    <xf numFmtId="3" fontId="6" fillId="13" borderId="11" xfId="0" applyNumberFormat="1" applyFont="1" applyFill="1" applyBorder="1" applyAlignment="1">
      <alignment/>
    </xf>
    <xf numFmtId="3" fontId="6" fillId="0" borderId="16" xfId="0" applyNumberFormat="1" applyFont="1" applyBorder="1" applyAlignment="1">
      <alignment horizontal="center"/>
    </xf>
    <xf numFmtId="3" fontId="6" fillId="0" borderId="10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/>
    </xf>
    <xf numFmtId="3" fontId="5" fillId="0" borderId="17" xfId="0" applyNumberFormat="1" applyFont="1" applyBorder="1" applyAlignment="1">
      <alignment/>
    </xf>
    <xf numFmtId="3" fontId="5" fillId="0" borderId="18" xfId="0" applyNumberFormat="1" applyFont="1" applyBorder="1" applyAlignment="1">
      <alignment/>
    </xf>
    <xf numFmtId="3" fontId="6" fillId="37" borderId="10" xfId="0" applyNumberFormat="1" applyFont="1" applyFill="1" applyBorder="1" applyAlignment="1">
      <alignment/>
    </xf>
    <xf numFmtId="3" fontId="6" fillId="33" borderId="10" xfId="57" applyNumberFormat="1" applyFont="1" applyFill="1" applyBorder="1">
      <alignment/>
      <protection/>
    </xf>
    <xf numFmtId="3" fontId="6" fillId="34" borderId="10" xfId="57" applyNumberFormat="1" applyFont="1" applyFill="1" applyBorder="1">
      <alignment/>
      <protection/>
    </xf>
    <xf numFmtId="3" fontId="6" fillId="34" borderId="11" xfId="57" applyNumberFormat="1" applyFont="1" applyFill="1" applyBorder="1">
      <alignment/>
      <protection/>
    </xf>
    <xf numFmtId="3" fontId="6" fillId="35" borderId="10" xfId="57" applyNumberFormat="1" applyFont="1" applyFill="1" applyBorder="1">
      <alignment/>
      <protection/>
    </xf>
    <xf numFmtId="3" fontId="6" fillId="13" borderId="10" xfId="57" applyNumberFormat="1" applyFont="1" applyFill="1" applyBorder="1">
      <alignment/>
      <protection/>
    </xf>
    <xf numFmtId="3" fontId="6" fillId="13" borderId="11" xfId="57" applyNumberFormat="1" applyFont="1" applyFill="1" applyBorder="1">
      <alignment/>
      <protection/>
    </xf>
    <xf numFmtId="3" fontId="5" fillId="0" borderId="19" xfId="0" applyNumberFormat="1" applyFont="1" applyBorder="1" applyAlignment="1">
      <alignment horizontal="center"/>
    </xf>
    <xf numFmtId="3" fontId="5" fillId="0" borderId="16" xfId="0" applyNumberFormat="1" applyFont="1" applyBorder="1" applyAlignment="1">
      <alignment horizontal="center"/>
    </xf>
    <xf numFmtId="3" fontId="5" fillId="0" borderId="20" xfId="0" applyNumberFormat="1" applyFont="1" applyBorder="1" applyAlignment="1">
      <alignment horizontal="center"/>
    </xf>
    <xf numFmtId="0" fontId="0" fillId="0" borderId="21" xfId="0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962025"/>
          <a:ext cx="6981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752725" y="55245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4000500" y="52387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10315575" y="48577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5" name="Line 5"/>
        <xdr:cNvSpPr>
          <a:spLocks/>
        </xdr:cNvSpPr>
      </xdr:nvSpPr>
      <xdr:spPr>
        <a:xfrm>
          <a:off x="5372100" y="52387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6" name="Line 6"/>
        <xdr:cNvSpPr>
          <a:spLocks/>
        </xdr:cNvSpPr>
      </xdr:nvSpPr>
      <xdr:spPr>
        <a:xfrm>
          <a:off x="5372100" y="52387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" name="Line 6"/>
        <xdr:cNvSpPr>
          <a:spLocks/>
        </xdr:cNvSpPr>
      </xdr:nvSpPr>
      <xdr:spPr>
        <a:xfrm flipH="1">
          <a:off x="2752725" y="495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2" name="Line 8"/>
        <xdr:cNvSpPr>
          <a:spLocks/>
        </xdr:cNvSpPr>
      </xdr:nvSpPr>
      <xdr:spPr>
        <a:xfrm>
          <a:off x="10315575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3" name="Line 12"/>
        <xdr:cNvSpPr>
          <a:spLocks/>
        </xdr:cNvSpPr>
      </xdr:nvSpPr>
      <xdr:spPr>
        <a:xfrm flipH="1">
          <a:off x="2752725" y="495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4" name="Line 14"/>
        <xdr:cNvSpPr>
          <a:spLocks/>
        </xdr:cNvSpPr>
      </xdr:nvSpPr>
      <xdr:spPr>
        <a:xfrm>
          <a:off x="10315575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904875"/>
          <a:ext cx="6981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752725" y="495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40005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10315575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5" name="Line 5"/>
        <xdr:cNvSpPr>
          <a:spLocks/>
        </xdr:cNvSpPr>
      </xdr:nvSpPr>
      <xdr:spPr>
        <a:xfrm>
          <a:off x="53721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6" name="Line 6"/>
        <xdr:cNvSpPr>
          <a:spLocks/>
        </xdr:cNvSpPr>
      </xdr:nvSpPr>
      <xdr:spPr>
        <a:xfrm>
          <a:off x="53721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7" name="Line 7"/>
        <xdr:cNvSpPr>
          <a:spLocks/>
        </xdr:cNvSpPr>
      </xdr:nvSpPr>
      <xdr:spPr>
        <a:xfrm flipV="1">
          <a:off x="0" y="904875"/>
          <a:ext cx="6981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8" name="Line 8"/>
        <xdr:cNvSpPr>
          <a:spLocks/>
        </xdr:cNvSpPr>
      </xdr:nvSpPr>
      <xdr:spPr>
        <a:xfrm flipH="1">
          <a:off x="2752725" y="495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9" name="Line 9"/>
        <xdr:cNvSpPr>
          <a:spLocks/>
        </xdr:cNvSpPr>
      </xdr:nvSpPr>
      <xdr:spPr>
        <a:xfrm>
          <a:off x="40005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10" name="Line 10"/>
        <xdr:cNvSpPr>
          <a:spLocks/>
        </xdr:cNvSpPr>
      </xdr:nvSpPr>
      <xdr:spPr>
        <a:xfrm>
          <a:off x="10315575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53721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2" name="Line 12"/>
        <xdr:cNvSpPr>
          <a:spLocks/>
        </xdr:cNvSpPr>
      </xdr:nvSpPr>
      <xdr:spPr>
        <a:xfrm>
          <a:off x="53721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1" name="Line 9"/>
        <xdr:cNvSpPr>
          <a:spLocks/>
        </xdr:cNvSpPr>
      </xdr:nvSpPr>
      <xdr:spPr>
        <a:xfrm flipV="1">
          <a:off x="0" y="904875"/>
          <a:ext cx="6981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10"/>
        <xdr:cNvSpPr>
          <a:spLocks/>
        </xdr:cNvSpPr>
      </xdr:nvSpPr>
      <xdr:spPr>
        <a:xfrm flipH="1">
          <a:off x="2752725" y="495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3" name="Line 11"/>
        <xdr:cNvSpPr>
          <a:spLocks/>
        </xdr:cNvSpPr>
      </xdr:nvSpPr>
      <xdr:spPr>
        <a:xfrm>
          <a:off x="40005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4" name="Line 12"/>
        <xdr:cNvSpPr>
          <a:spLocks/>
        </xdr:cNvSpPr>
      </xdr:nvSpPr>
      <xdr:spPr>
        <a:xfrm>
          <a:off x="10315575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5" name="Line 13"/>
        <xdr:cNvSpPr>
          <a:spLocks/>
        </xdr:cNvSpPr>
      </xdr:nvSpPr>
      <xdr:spPr>
        <a:xfrm>
          <a:off x="53721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6" name="Line 14"/>
        <xdr:cNvSpPr>
          <a:spLocks/>
        </xdr:cNvSpPr>
      </xdr:nvSpPr>
      <xdr:spPr>
        <a:xfrm>
          <a:off x="53721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7" name="Line 15"/>
        <xdr:cNvSpPr>
          <a:spLocks/>
        </xdr:cNvSpPr>
      </xdr:nvSpPr>
      <xdr:spPr>
        <a:xfrm flipV="1">
          <a:off x="0" y="904875"/>
          <a:ext cx="6981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8" name="Line 16"/>
        <xdr:cNvSpPr>
          <a:spLocks/>
        </xdr:cNvSpPr>
      </xdr:nvSpPr>
      <xdr:spPr>
        <a:xfrm flipH="1">
          <a:off x="2752725" y="495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9" name="Line 17"/>
        <xdr:cNvSpPr>
          <a:spLocks/>
        </xdr:cNvSpPr>
      </xdr:nvSpPr>
      <xdr:spPr>
        <a:xfrm>
          <a:off x="40005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10" name="Line 18"/>
        <xdr:cNvSpPr>
          <a:spLocks/>
        </xdr:cNvSpPr>
      </xdr:nvSpPr>
      <xdr:spPr>
        <a:xfrm>
          <a:off x="10315575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1" name="Line 19"/>
        <xdr:cNvSpPr>
          <a:spLocks/>
        </xdr:cNvSpPr>
      </xdr:nvSpPr>
      <xdr:spPr>
        <a:xfrm>
          <a:off x="53721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2" name="Line 20"/>
        <xdr:cNvSpPr>
          <a:spLocks/>
        </xdr:cNvSpPr>
      </xdr:nvSpPr>
      <xdr:spPr>
        <a:xfrm>
          <a:off x="53721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13" name="Line 21"/>
        <xdr:cNvSpPr>
          <a:spLocks/>
        </xdr:cNvSpPr>
      </xdr:nvSpPr>
      <xdr:spPr>
        <a:xfrm flipV="1">
          <a:off x="0" y="904875"/>
          <a:ext cx="6981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4" name="Line 22"/>
        <xdr:cNvSpPr>
          <a:spLocks/>
        </xdr:cNvSpPr>
      </xdr:nvSpPr>
      <xdr:spPr>
        <a:xfrm flipH="1">
          <a:off x="2752725" y="495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15" name="Line 23"/>
        <xdr:cNvSpPr>
          <a:spLocks/>
        </xdr:cNvSpPr>
      </xdr:nvSpPr>
      <xdr:spPr>
        <a:xfrm>
          <a:off x="40005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16" name="Line 24"/>
        <xdr:cNvSpPr>
          <a:spLocks/>
        </xdr:cNvSpPr>
      </xdr:nvSpPr>
      <xdr:spPr>
        <a:xfrm>
          <a:off x="10315575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7" name="Line 25"/>
        <xdr:cNvSpPr>
          <a:spLocks/>
        </xdr:cNvSpPr>
      </xdr:nvSpPr>
      <xdr:spPr>
        <a:xfrm>
          <a:off x="53721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8" name="Line 26"/>
        <xdr:cNvSpPr>
          <a:spLocks/>
        </xdr:cNvSpPr>
      </xdr:nvSpPr>
      <xdr:spPr>
        <a:xfrm>
          <a:off x="53721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19" name="Line 27"/>
        <xdr:cNvSpPr>
          <a:spLocks/>
        </xdr:cNvSpPr>
      </xdr:nvSpPr>
      <xdr:spPr>
        <a:xfrm flipV="1">
          <a:off x="0" y="904875"/>
          <a:ext cx="6981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0" name="Line 28"/>
        <xdr:cNvSpPr>
          <a:spLocks/>
        </xdr:cNvSpPr>
      </xdr:nvSpPr>
      <xdr:spPr>
        <a:xfrm flipH="1">
          <a:off x="2752725" y="495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21" name="Line 29"/>
        <xdr:cNvSpPr>
          <a:spLocks/>
        </xdr:cNvSpPr>
      </xdr:nvSpPr>
      <xdr:spPr>
        <a:xfrm>
          <a:off x="40005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22" name="Line 30"/>
        <xdr:cNvSpPr>
          <a:spLocks/>
        </xdr:cNvSpPr>
      </xdr:nvSpPr>
      <xdr:spPr>
        <a:xfrm>
          <a:off x="10315575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23" name="Line 31"/>
        <xdr:cNvSpPr>
          <a:spLocks/>
        </xdr:cNvSpPr>
      </xdr:nvSpPr>
      <xdr:spPr>
        <a:xfrm>
          <a:off x="53721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24" name="Line 32"/>
        <xdr:cNvSpPr>
          <a:spLocks/>
        </xdr:cNvSpPr>
      </xdr:nvSpPr>
      <xdr:spPr>
        <a:xfrm>
          <a:off x="53721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1" name="Line 11"/>
        <xdr:cNvSpPr>
          <a:spLocks/>
        </xdr:cNvSpPr>
      </xdr:nvSpPr>
      <xdr:spPr>
        <a:xfrm flipV="1">
          <a:off x="0" y="904875"/>
          <a:ext cx="70294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12"/>
        <xdr:cNvSpPr>
          <a:spLocks/>
        </xdr:cNvSpPr>
      </xdr:nvSpPr>
      <xdr:spPr>
        <a:xfrm flipH="1">
          <a:off x="2752725" y="495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3" name="Line 13"/>
        <xdr:cNvSpPr>
          <a:spLocks/>
        </xdr:cNvSpPr>
      </xdr:nvSpPr>
      <xdr:spPr>
        <a:xfrm>
          <a:off x="4048125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4" name="Line 14"/>
        <xdr:cNvSpPr>
          <a:spLocks/>
        </xdr:cNvSpPr>
      </xdr:nvSpPr>
      <xdr:spPr>
        <a:xfrm>
          <a:off x="10363200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5" name="Line 15"/>
        <xdr:cNvSpPr>
          <a:spLocks/>
        </xdr:cNvSpPr>
      </xdr:nvSpPr>
      <xdr:spPr>
        <a:xfrm>
          <a:off x="5419725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6" name="Line 16"/>
        <xdr:cNvSpPr>
          <a:spLocks/>
        </xdr:cNvSpPr>
      </xdr:nvSpPr>
      <xdr:spPr>
        <a:xfrm>
          <a:off x="5419725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1" name="Line 5"/>
        <xdr:cNvSpPr>
          <a:spLocks/>
        </xdr:cNvSpPr>
      </xdr:nvSpPr>
      <xdr:spPr>
        <a:xfrm flipV="1">
          <a:off x="0" y="904875"/>
          <a:ext cx="6981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6"/>
        <xdr:cNvSpPr>
          <a:spLocks/>
        </xdr:cNvSpPr>
      </xdr:nvSpPr>
      <xdr:spPr>
        <a:xfrm flipH="1">
          <a:off x="2752725" y="495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3" name="Line 7"/>
        <xdr:cNvSpPr>
          <a:spLocks/>
        </xdr:cNvSpPr>
      </xdr:nvSpPr>
      <xdr:spPr>
        <a:xfrm>
          <a:off x="40005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4" name="Line 8"/>
        <xdr:cNvSpPr>
          <a:spLocks/>
        </xdr:cNvSpPr>
      </xdr:nvSpPr>
      <xdr:spPr>
        <a:xfrm>
          <a:off x="10315575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5" name="Line 9"/>
        <xdr:cNvSpPr>
          <a:spLocks/>
        </xdr:cNvSpPr>
      </xdr:nvSpPr>
      <xdr:spPr>
        <a:xfrm>
          <a:off x="53721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6" name="Line 10"/>
        <xdr:cNvSpPr>
          <a:spLocks/>
        </xdr:cNvSpPr>
      </xdr:nvSpPr>
      <xdr:spPr>
        <a:xfrm>
          <a:off x="53721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1" name="Line 5"/>
        <xdr:cNvSpPr>
          <a:spLocks/>
        </xdr:cNvSpPr>
      </xdr:nvSpPr>
      <xdr:spPr>
        <a:xfrm flipV="1">
          <a:off x="0" y="904875"/>
          <a:ext cx="7067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6"/>
        <xdr:cNvSpPr>
          <a:spLocks/>
        </xdr:cNvSpPr>
      </xdr:nvSpPr>
      <xdr:spPr>
        <a:xfrm flipH="1">
          <a:off x="2752725" y="495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3" name="Line 7"/>
        <xdr:cNvSpPr>
          <a:spLocks/>
        </xdr:cNvSpPr>
      </xdr:nvSpPr>
      <xdr:spPr>
        <a:xfrm>
          <a:off x="4086225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4" name="Line 8"/>
        <xdr:cNvSpPr>
          <a:spLocks/>
        </xdr:cNvSpPr>
      </xdr:nvSpPr>
      <xdr:spPr>
        <a:xfrm>
          <a:off x="10401300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5" name="Line 9"/>
        <xdr:cNvSpPr>
          <a:spLocks/>
        </xdr:cNvSpPr>
      </xdr:nvSpPr>
      <xdr:spPr>
        <a:xfrm>
          <a:off x="5457825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6" name="Line 10"/>
        <xdr:cNvSpPr>
          <a:spLocks/>
        </xdr:cNvSpPr>
      </xdr:nvSpPr>
      <xdr:spPr>
        <a:xfrm>
          <a:off x="5457825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152400</xdr:rowOff>
    </xdr:from>
    <xdr:to>
      <xdr:col>9</xdr:col>
      <xdr:colOff>0</xdr:colOff>
      <xdr:row>4</xdr:row>
      <xdr:rowOff>0</xdr:rowOff>
    </xdr:to>
    <xdr:sp>
      <xdr:nvSpPr>
        <xdr:cNvPr id="1" name="Line 5"/>
        <xdr:cNvSpPr>
          <a:spLocks/>
        </xdr:cNvSpPr>
      </xdr:nvSpPr>
      <xdr:spPr>
        <a:xfrm flipV="1">
          <a:off x="0" y="685800"/>
          <a:ext cx="7067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6"/>
        <xdr:cNvSpPr>
          <a:spLocks/>
        </xdr:cNvSpPr>
      </xdr:nvSpPr>
      <xdr:spPr>
        <a:xfrm flipH="1">
          <a:off x="2752725" y="419100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3" name="Line 7"/>
        <xdr:cNvSpPr>
          <a:spLocks/>
        </xdr:cNvSpPr>
      </xdr:nvSpPr>
      <xdr:spPr>
        <a:xfrm>
          <a:off x="4086225" y="390525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152400</xdr:rowOff>
    </xdr:from>
    <xdr:to>
      <xdr:col>13</xdr:col>
      <xdr:colOff>676275</xdr:colOff>
      <xdr:row>4</xdr:row>
      <xdr:rowOff>66675</xdr:rowOff>
    </xdr:to>
    <xdr:sp>
      <xdr:nvSpPr>
        <xdr:cNvPr id="4" name="Line 8"/>
        <xdr:cNvSpPr>
          <a:spLocks/>
        </xdr:cNvSpPr>
      </xdr:nvSpPr>
      <xdr:spPr>
        <a:xfrm>
          <a:off x="10401300" y="381000"/>
          <a:ext cx="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5" name="Line 9"/>
        <xdr:cNvSpPr>
          <a:spLocks/>
        </xdr:cNvSpPr>
      </xdr:nvSpPr>
      <xdr:spPr>
        <a:xfrm>
          <a:off x="5457825" y="390525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6" name="Line 10"/>
        <xdr:cNvSpPr>
          <a:spLocks/>
        </xdr:cNvSpPr>
      </xdr:nvSpPr>
      <xdr:spPr>
        <a:xfrm>
          <a:off x="5457825" y="390525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152400</xdr:rowOff>
    </xdr:from>
    <xdr:to>
      <xdr:col>9</xdr:col>
      <xdr:colOff>0</xdr:colOff>
      <xdr:row>4</xdr:row>
      <xdr:rowOff>0</xdr:rowOff>
    </xdr:to>
    <xdr:sp>
      <xdr:nvSpPr>
        <xdr:cNvPr id="7" name="Line 11"/>
        <xdr:cNvSpPr>
          <a:spLocks/>
        </xdr:cNvSpPr>
      </xdr:nvSpPr>
      <xdr:spPr>
        <a:xfrm flipV="1">
          <a:off x="0" y="685800"/>
          <a:ext cx="7067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8" name="Line 12"/>
        <xdr:cNvSpPr>
          <a:spLocks/>
        </xdr:cNvSpPr>
      </xdr:nvSpPr>
      <xdr:spPr>
        <a:xfrm flipH="1">
          <a:off x="2752725" y="419100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9" name="Line 13"/>
        <xdr:cNvSpPr>
          <a:spLocks/>
        </xdr:cNvSpPr>
      </xdr:nvSpPr>
      <xdr:spPr>
        <a:xfrm>
          <a:off x="4086225" y="390525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152400</xdr:rowOff>
    </xdr:from>
    <xdr:to>
      <xdr:col>13</xdr:col>
      <xdr:colOff>676275</xdr:colOff>
      <xdr:row>4</xdr:row>
      <xdr:rowOff>66675</xdr:rowOff>
    </xdr:to>
    <xdr:sp>
      <xdr:nvSpPr>
        <xdr:cNvPr id="10" name="Line 14"/>
        <xdr:cNvSpPr>
          <a:spLocks/>
        </xdr:cNvSpPr>
      </xdr:nvSpPr>
      <xdr:spPr>
        <a:xfrm>
          <a:off x="10401300" y="381000"/>
          <a:ext cx="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1" name="Line 15"/>
        <xdr:cNvSpPr>
          <a:spLocks/>
        </xdr:cNvSpPr>
      </xdr:nvSpPr>
      <xdr:spPr>
        <a:xfrm>
          <a:off x="5457825" y="390525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2" name="Line 16"/>
        <xdr:cNvSpPr>
          <a:spLocks/>
        </xdr:cNvSpPr>
      </xdr:nvSpPr>
      <xdr:spPr>
        <a:xfrm>
          <a:off x="5457825" y="390525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1" name="Line 5"/>
        <xdr:cNvSpPr>
          <a:spLocks/>
        </xdr:cNvSpPr>
      </xdr:nvSpPr>
      <xdr:spPr>
        <a:xfrm flipV="1">
          <a:off x="0" y="904875"/>
          <a:ext cx="6981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6"/>
        <xdr:cNvSpPr>
          <a:spLocks/>
        </xdr:cNvSpPr>
      </xdr:nvSpPr>
      <xdr:spPr>
        <a:xfrm flipH="1">
          <a:off x="2752725" y="495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3" name="Line 7"/>
        <xdr:cNvSpPr>
          <a:spLocks/>
        </xdr:cNvSpPr>
      </xdr:nvSpPr>
      <xdr:spPr>
        <a:xfrm>
          <a:off x="40005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4" name="Line 9"/>
        <xdr:cNvSpPr>
          <a:spLocks/>
        </xdr:cNvSpPr>
      </xdr:nvSpPr>
      <xdr:spPr>
        <a:xfrm>
          <a:off x="53721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5" name="Line 10"/>
        <xdr:cNvSpPr>
          <a:spLocks/>
        </xdr:cNvSpPr>
      </xdr:nvSpPr>
      <xdr:spPr>
        <a:xfrm>
          <a:off x="53721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6" name="Line 11"/>
        <xdr:cNvSpPr>
          <a:spLocks/>
        </xdr:cNvSpPr>
      </xdr:nvSpPr>
      <xdr:spPr>
        <a:xfrm flipV="1">
          <a:off x="0" y="904875"/>
          <a:ext cx="6981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7" name="Line 12"/>
        <xdr:cNvSpPr>
          <a:spLocks/>
        </xdr:cNvSpPr>
      </xdr:nvSpPr>
      <xdr:spPr>
        <a:xfrm flipH="1">
          <a:off x="2752725" y="495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8" name="Line 13"/>
        <xdr:cNvSpPr>
          <a:spLocks/>
        </xdr:cNvSpPr>
      </xdr:nvSpPr>
      <xdr:spPr>
        <a:xfrm>
          <a:off x="40005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9" name="Line 15"/>
        <xdr:cNvSpPr>
          <a:spLocks/>
        </xdr:cNvSpPr>
      </xdr:nvSpPr>
      <xdr:spPr>
        <a:xfrm>
          <a:off x="53721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0" name="Line 16"/>
        <xdr:cNvSpPr>
          <a:spLocks/>
        </xdr:cNvSpPr>
      </xdr:nvSpPr>
      <xdr:spPr>
        <a:xfrm>
          <a:off x="53721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1" name="Line 5"/>
        <xdr:cNvSpPr>
          <a:spLocks/>
        </xdr:cNvSpPr>
      </xdr:nvSpPr>
      <xdr:spPr>
        <a:xfrm flipV="1">
          <a:off x="0" y="904875"/>
          <a:ext cx="7067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6"/>
        <xdr:cNvSpPr>
          <a:spLocks/>
        </xdr:cNvSpPr>
      </xdr:nvSpPr>
      <xdr:spPr>
        <a:xfrm flipH="1">
          <a:off x="2752725" y="495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3" name="Line 7"/>
        <xdr:cNvSpPr>
          <a:spLocks/>
        </xdr:cNvSpPr>
      </xdr:nvSpPr>
      <xdr:spPr>
        <a:xfrm>
          <a:off x="4086225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4" name="Line 8"/>
        <xdr:cNvSpPr>
          <a:spLocks/>
        </xdr:cNvSpPr>
      </xdr:nvSpPr>
      <xdr:spPr>
        <a:xfrm>
          <a:off x="10401300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5" name="Line 9"/>
        <xdr:cNvSpPr>
          <a:spLocks/>
        </xdr:cNvSpPr>
      </xdr:nvSpPr>
      <xdr:spPr>
        <a:xfrm>
          <a:off x="5457825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6" name="Line 10"/>
        <xdr:cNvSpPr>
          <a:spLocks/>
        </xdr:cNvSpPr>
      </xdr:nvSpPr>
      <xdr:spPr>
        <a:xfrm>
          <a:off x="5457825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7" name="Line 11"/>
        <xdr:cNvSpPr>
          <a:spLocks/>
        </xdr:cNvSpPr>
      </xdr:nvSpPr>
      <xdr:spPr>
        <a:xfrm flipV="1">
          <a:off x="0" y="904875"/>
          <a:ext cx="7067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8" name="Line 12"/>
        <xdr:cNvSpPr>
          <a:spLocks/>
        </xdr:cNvSpPr>
      </xdr:nvSpPr>
      <xdr:spPr>
        <a:xfrm flipH="1">
          <a:off x="2752725" y="495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9" name="Line 13"/>
        <xdr:cNvSpPr>
          <a:spLocks/>
        </xdr:cNvSpPr>
      </xdr:nvSpPr>
      <xdr:spPr>
        <a:xfrm>
          <a:off x="4086225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10" name="Line 14"/>
        <xdr:cNvSpPr>
          <a:spLocks/>
        </xdr:cNvSpPr>
      </xdr:nvSpPr>
      <xdr:spPr>
        <a:xfrm>
          <a:off x="10401300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1" name="Line 15"/>
        <xdr:cNvSpPr>
          <a:spLocks/>
        </xdr:cNvSpPr>
      </xdr:nvSpPr>
      <xdr:spPr>
        <a:xfrm>
          <a:off x="5457825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2" name="Line 16"/>
        <xdr:cNvSpPr>
          <a:spLocks/>
        </xdr:cNvSpPr>
      </xdr:nvSpPr>
      <xdr:spPr>
        <a:xfrm>
          <a:off x="5457825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1" name="Line 5"/>
        <xdr:cNvSpPr>
          <a:spLocks/>
        </xdr:cNvSpPr>
      </xdr:nvSpPr>
      <xdr:spPr>
        <a:xfrm flipV="1">
          <a:off x="0" y="904875"/>
          <a:ext cx="70389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6"/>
        <xdr:cNvSpPr>
          <a:spLocks/>
        </xdr:cNvSpPr>
      </xdr:nvSpPr>
      <xdr:spPr>
        <a:xfrm flipH="1">
          <a:off x="2752725" y="495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3" name="Line 7"/>
        <xdr:cNvSpPr>
          <a:spLocks/>
        </xdr:cNvSpPr>
      </xdr:nvSpPr>
      <xdr:spPr>
        <a:xfrm>
          <a:off x="405765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4" name="Line 8"/>
        <xdr:cNvSpPr>
          <a:spLocks/>
        </xdr:cNvSpPr>
      </xdr:nvSpPr>
      <xdr:spPr>
        <a:xfrm>
          <a:off x="10458450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5" name="Line 9"/>
        <xdr:cNvSpPr>
          <a:spLocks/>
        </xdr:cNvSpPr>
      </xdr:nvSpPr>
      <xdr:spPr>
        <a:xfrm>
          <a:off x="542925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6" name="Line 10"/>
        <xdr:cNvSpPr>
          <a:spLocks/>
        </xdr:cNvSpPr>
      </xdr:nvSpPr>
      <xdr:spPr>
        <a:xfrm>
          <a:off x="542925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7" name="Line 11"/>
        <xdr:cNvSpPr>
          <a:spLocks/>
        </xdr:cNvSpPr>
      </xdr:nvSpPr>
      <xdr:spPr>
        <a:xfrm flipV="1">
          <a:off x="0" y="904875"/>
          <a:ext cx="70389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8" name="Line 12"/>
        <xdr:cNvSpPr>
          <a:spLocks/>
        </xdr:cNvSpPr>
      </xdr:nvSpPr>
      <xdr:spPr>
        <a:xfrm flipH="1">
          <a:off x="2752725" y="495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9" name="Line 13"/>
        <xdr:cNvSpPr>
          <a:spLocks/>
        </xdr:cNvSpPr>
      </xdr:nvSpPr>
      <xdr:spPr>
        <a:xfrm>
          <a:off x="405765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10" name="Line 14"/>
        <xdr:cNvSpPr>
          <a:spLocks/>
        </xdr:cNvSpPr>
      </xdr:nvSpPr>
      <xdr:spPr>
        <a:xfrm>
          <a:off x="10458450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1" name="Line 15"/>
        <xdr:cNvSpPr>
          <a:spLocks/>
        </xdr:cNvSpPr>
      </xdr:nvSpPr>
      <xdr:spPr>
        <a:xfrm>
          <a:off x="542925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2" name="Line 16"/>
        <xdr:cNvSpPr>
          <a:spLocks/>
        </xdr:cNvSpPr>
      </xdr:nvSpPr>
      <xdr:spPr>
        <a:xfrm>
          <a:off x="542925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1" name="Line 5"/>
        <xdr:cNvSpPr>
          <a:spLocks/>
        </xdr:cNvSpPr>
      </xdr:nvSpPr>
      <xdr:spPr>
        <a:xfrm flipV="1">
          <a:off x="0" y="904875"/>
          <a:ext cx="70485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6"/>
        <xdr:cNvSpPr>
          <a:spLocks/>
        </xdr:cNvSpPr>
      </xdr:nvSpPr>
      <xdr:spPr>
        <a:xfrm flipH="1">
          <a:off x="2752725" y="495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3" name="Line 7"/>
        <xdr:cNvSpPr>
          <a:spLocks/>
        </xdr:cNvSpPr>
      </xdr:nvSpPr>
      <xdr:spPr>
        <a:xfrm>
          <a:off x="4067175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4" name="Line 8"/>
        <xdr:cNvSpPr>
          <a:spLocks/>
        </xdr:cNvSpPr>
      </xdr:nvSpPr>
      <xdr:spPr>
        <a:xfrm>
          <a:off x="10382250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5" name="Line 9"/>
        <xdr:cNvSpPr>
          <a:spLocks/>
        </xdr:cNvSpPr>
      </xdr:nvSpPr>
      <xdr:spPr>
        <a:xfrm>
          <a:off x="5438775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6" name="Line 10"/>
        <xdr:cNvSpPr>
          <a:spLocks/>
        </xdr:cNvSpPr>
      </xdr:nvSpPr>
      <xdr:spPr>
        <a:xfrm>
          <a:off x="5438775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7" name="Line 11"/>
        <xdr:cNvSpPr>
          <a:spLocks/>
        </xdr:cNvSpPr>
      </xdr:nvSpPr>
      <xdr:spPr>
        <a:xfrm flipV="1">
          <a:off x="0" y="904875"/>
          <a:ext cx="70485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8" name="Line 12"/>
        <xdr:cNvSpPr>
          <a:spLocks/>
        </xdr:cNvSpPr>
      </xdr:nvSpPr>
      <xdr:spPr>
        <a:xfrm flipH="1">
          <a:off x="2752725" y="495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9" name="Line 13"/>
        <xdr:cNvSpPr>
          <a:spLocks/>
        </xdr:cNvSpPr>
      </xdr:nvSpPr>
      <xdr:spPr>
        <a:xfrm>
          <a:off x="4067175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10" name="Line 14"/>
        <xdr:cNvSpPr>
          <a:spLocks/>
        </xdr:cNvSpPr>
      </xdr:nvSpPr>
      <xdr:spPr>
        <a:xfrm>
          <a:off x="10382250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1" name="Line 15"/>
        <xdr:cNvSpPr>
          <a:spLocks/>
        </xdr:cNvSpPr>
      </xdr:nvSpPr>
      <xdr:spPr>
        <a:xfrm>
          <a:off x="5438775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2" name="Line 16"/>
        <xdr:cNvSpPr>
          <a:spLocks/>
        </xdr:cNvSpPr>
      </xdr:nvSpPr>
      <xdr:spPr>
        <a:xfrm>
          <a:off x="5438775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P62"/>
  <sheetViews>
    <sheetView zoomScale="110" zoomScaleNormal="110" zoomScalePageLayoutView="0" workbookViewId="0" topLeftCell="A1">
      <pane ySplit="4" topLeftCell="A50" activePane="bottomLeft" state="frozen"/>
      <selection pane="topLeft" activeCell="A1" sqref="A1"/>
      <selection pane="bottomLeft" activeCell="B52" sqref="B52"/>
    </sheetView>
  </sheetViews>
  <sheetFormatPr defaultColWidth="9.00390625" defaultRowHeight="15.75"/>
  <cols>
    <col min="1" max="1" width="18.125" style="2" customWidth="1"/>
    <col min="2" max="3" width="9.00390625" style="2" customWidth="1"/>
    <col min="4" max="4" width="9.25390625" style="2" customWidth="1"/>
    <col min="5" max="5" width="7.00390625" style="2" customWidth="1"/>
    <col min="6" max="8" width="9.00390625" style="2" customWidth="1"/>
    <col min="9" max="9" width="12.25390625" style="2" customWidth="1"/>
    <col min="10" max="10" width="7.875" style="2" customWidth="1"/>
    <col min="11" max="14" width="9.00390625" style="2" customWidth="1"/>
    <col min="15" max="16" width="12.25390625" style="2" customWidth="1"/>
    <col min="17" max="16384" width="9.00390625" style="2" customWidth="1"/>
  </cols>
  <sheetData>
    <row r="1" spans="1:8" ht="22.5">
      <c r="A1" s="1" t="s">
        <v>77</v>
      </c>
      <c r="F1" s="2" t="s">
        <v>61</v>
      </c>
      <c r="H1" s="2" t="s">
        <v>78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1" s="5" customFormat="1" ht="18" customHeight="1">
      <c r="A3" s="4"/>
      <c r="B3" s="38" t="s">
        <v>0</v>
      </c>
      <c r="C3" s="39"/>
      <c r="D3" s="38" t="s">
        <v>1</v>
      </c>
      <c r="E3" s="39"/>
      <c r="F3" s="38" t="s">
        <v>2</v>
      </c>
      <c r="G3" s="39"/>
      <c r="H3" s="38" t="s">
        <v>3</v>
      </c>
      <c r="I3" s="39"/>
      <c r="J3" s="40" t="s">
        <v>73</v>
      </c>
      <c r="K3" s="41"/>
    </row>
    <row r="4" spans="1:11" s="8" customFormat="1" ht="18" customHeight="1">
      <c r="A4" s="6" t="s">
        <v>4</v>
      </c>
      <c r="B4" s="7" t="s">
        <v>5</v>
      </c>
      <c r="C4" s="7" t="s">
        <v>6</v>
      </c>
      <c r="D4" s="7" t="s">
        <v>5</v>
      </c>
      <c r="E4" s="7" t="s">
        <v>6</v>
      </c>
      <c r="F4" s="7" t="s">
        <v>5</v>
      </c>
      <c r="G4" s="7" t="s">
        <v>6</v>
      </c>
      <c r="H4" s="7" t="s">
        <v>5</v>
      </c>
      <c r="I4" s="7" t="s">
        <v>6</v>
      </c>
      <c r="J4" s="27" t="s">
        <v>5</v>
      </c>
      <c r="K4" s="26" t="s">
        <v>6</v>
      </c>
    </row>
    <row r="5" spans="1:11" s="5" customFormat="1" ht="18" customHeight="1">
      <c r="A5" s="9" t="s">
        <v>7</v>
      </c>
      <c r="B5" s="13"/>
      <c r="C5" s="9">
        <f aca="true" t="shared" si="0" ref="C5:C36">B5</f>
        <v>0</v>
      </c>
      <c r="D5" s="15"/>
      <c r="E5" s="9">
        <f aca="true" t="shared" si="1" ref="E5:E36">D5</f>
        <v>0</v>
      </c>
      <c r="F5" s="17"/>
      <c r="G5" s="9">
        <f aca="true" t="shared" si="2" ref="G5:G36">F5</f>
        <v>0</v>
      </c>
      <c r="H5" s="19"/>
      <c r="I5" s="9">
        <f aca="true" t="shared" si="3" ref="I5:I36">H5</f>
        <v>0</v>
      </c>
      <c r="J5" s="24"/>
      <c r="K5" s="9">
        <f aca="true" t="shared" si="4" ref="K5:K54">J5</f>
        <v>0</v>
      </c>
    </row>
    <row r="6" spans="1:11" s="5" customFormat="1" ht="18" customHeight="1">
      <c r="A6" s="9" t="s">
        <v>8</v>
      </c>
      <c r="B6" s="13"/>
      <c r="C6" s="9">
        <f t="shared" si="0"/>
        <v>0</v>
      </c>
      <c r="D6" s="15"/>
      <c r="E6" s="9">
        <f t="shared" si="1"/>
        <v>0</v>
      </c>
      <c r="F6" s="17"/>
      <c r="G6" s="9">
        <f t="shared" si="2"/>
        <v>0</v>
      </c>
      <c r="H6" s="19"/>
      <c r="I6" s="9">
        <f t="shared" si="3"/>
        <v>0</v>
      </c>
      <c r="J6" s="24"/>
      <c r="K6" s="9">
        <f t="shared" si="4"/>
        <v>0</v>
      </c>
    </row>
    <row r="7" spans="1:11" s="5" customFormat="1" ht="18" customHeight="1">
      <c r="A7" s="9" t="s">
        <v>9</v>
      </c>
      <c r="B7" s="13"/>
      <c r="C7" s="9">
        <f t="shared" si="0"/>
        <v>0</v>
      </c>
      <c r="D7" s="15"/>
      <c r="E7" s="9">
        <f t="shared" si="1"/>
        <v>0</v>
      </c>
      <c r="F7" s="17"/>
      <c r="G7" s="9">
        <f t="shared" si="2"/>
        <v>0</v>
      </c>
      <c r="H7" s="19"/>
      <c r="I7" s="9">
        <f t="shared" si="3"/>
        <v>0</v>
      </c>
      <c r="J7" s="24"/>
      <c r="K7" s="9">
        <f t="shared" si="4"/>
        <v>0</v>
      </c>
    </row>
    <row r="8" spans="1:11" s="5" customFormat="1" ht="18" customHeight="1">
      <c r="A8" s="9" t="s">
        <v>10</v>
      </c>
      <c r="B8" s="13"/>
      <c r="C8" s="9">
        <f t="shared" si="0"/>
        <v>0</v>
      </c>
      <c r="D8" s="15">
        <f>6</f>
        <v>6</v>
      </c>
      <c r="E8" s="9">
        <f t="shared" si="1"/>
        <v>6</v>
      </c>
      <c r="F8" s="17"/>
      <c r="G8" s="9">
        <f t="shared" si="2"/>
        <v>0</v>
      </c>
      <c r="H8" s="19"/>
      <c r="I8" s="9">
        <f t="shared" si="3"/>
        <v>0</v>
      </c>
      <c r="J8" s="24"/>
      <c r="K8" s="9">
        <f t="shared" si="4"/>
        <v>0</v>
      </c>
    </row>
    <row r="9" spans="1:11" s="5" customFormat="1" ht="18" customHeight="1">
      <c r="A9" s="9" t="s">
        <v>11</v>
      </c>
      <c r="B9" s="13">
        <f>100</f>
        <v>100</v>
      </c>
      <c r="C9" s="9">
        <f t="shared" si="0"/>
        <v>100</v>
      </c>
      <c r="D9" s="15">
        <f>1+1</f>
        <v>2</v>
      </c>
      <c r="E9" s="9">
        <f t="shared" si="1"/>
        <v>2</v>
      </c>
      <c r="F9" s="17">
        <f>261</f>
        <v>261</v>
      </c>
      <c r="G9" s="9">
        <f t="shared" si="2"/>
        <v>261</v>
      </c>
      <c r="H9" s="19"/>
      <c r="I9" s="9">
        <f t="shared" si="3"/>
        <v>0</v>
      </c>
      <c r="J9" s="24"/>
      <c r="K9" s="9">
        <f t="shared" si="4"/>
        <v>0</v>
      </c>
    </row>
    <row r="10" spans="1:11" s="5" customFormat="1" ht="18" customHeight="1">
      <c r="A10" s="9" t="s">
        <v>12</v>
      </c>
      <c r="B10" s="13">
        <f>107</f>
        <v>107</v>
      </c>
      <c r="C10" s="9">
        <f t="shared" si="0"/>
        <v>107</v>
      </c>
      <c r="D10" s="15">
        <f>82</f>
        <v>82</v>
      </c>
      <c r="E10" s="9">
        <f t="shared" si="1"/>
        <v>82</v>
      </c>
      <c r="F10" s="17"/>
      <c r="G10" s="9">
        <f t="shared" si="2"/>
        <v>0</v>
      </c>
      <c r="H10" s="19"/>
      <c r="I10" s="9">
        <f t="shared" si="3"/>
        <v>0</v>
      </c>
      <c r="J10" s="24"/>
      <c r="K10" s="9">
        <f t="shared" si="4"/>
        <v>0</v>
      </c>
    </row>
    <row r="11" spans="1:11" s="5" customFormat="1" ht="18" customHeight="1">
      <c r="A11" s="9" t="s">
        <v>13</v>
      </c>
      <c r="B11" s="13">
        <f>291</f>
        <v>291</v>
      </c>
      <c r="C11" s="9">
        <f t="shared" si="0"/>
        <v>291</v>
      </c>
      <c r="D11" s="15">
        <f>1</f>
        <v>1</v>
      </c>
      <c r="E11" s="9">
        <f t="shared" si="1"/>
        <v>1</v>
      </c>
      <c r="F11" s="17"/>
      <c r="G11" s="9">
        <f t="shared" si="2"/>
        <v>0</v>
      </c>
      <c r="H11" s="19"/>
      <c r="I11" s="9">
        <f t="shared" si="3"/>
        <v>0</v>
      </c>
      <c r="J11" s="24"/>
      <c r="K11" s="9">
        <f t="shared" si="4"/>
        <v>0</v>
      </c>
    </row>
    <row r="12" spans="1:11" s="5" customFormat="1" ht="18" customHeight="1">
      <c r="A12" s="9" t="s">
        <v>14</v>
      </c>
      <c r="B12" s="13"/>
      <c r="C12" s="9">
        <f t="shared" si="0"/>
        <v>0</v>
      </c>
      <c r="D12" s="15"/>
      <c r="E12" s="9">
        <f t="shared" si="1"/>
        <v>0</v>
      </c>
      <c r="F12" s="17"/>
      <c r="G12" s="9">
        <f t="shared" si="2"/>
        <v>0</v>
      </c>
      <c r="H12" s="19"/>
      <c r="I12" s="9">
        <f t="shared" si="3"/>
        <v>0</v>
      </c>
      <c r="J12" s="24"/>
      <c r="K12" s="9">
        <f t="shared" si="4"/>
        <v>0</v>
      </c>
    </row>
    <row r="13" spans="1:11" s="5" customFormat="1" ht="18" customHeight="1">
      <c r="A13" s="9" t="s">
        <v>15</v>
      </c>
      <c r="B13" s="13"/>
      <c r="C13" s="9">
        <f t="shared" si="0"/>
        <v>0</v>
      </c>
      <c r="D13" s="15"/>
      <c r="E13" s="9">
        <f t="shared" si="1"/>
        <v>0</v>
      </c>
      <c r="F13" s="17"/>
      <c r="G13" s="9">
        <f t="shared" si="2"/>
        <v>0</v>
      </c>
      <c r="H13" s="19"/>
      <c r="I13" s="9">
        <f t="shared" si="3"/>
        <v>0</v>
      </c>
      <c r="J13" s="24"/>
      <c r="K13" s="9">
        <f t="shared" si="4"/>
        <v>0</v>
      </c>
    </row>
    <row r="14" spans="1:11" s="5" customFormat="1" ht="18" customHeight="1">
      <c r="A14" s="9" t="s">
        <v>16</v>
      </c>
      <c r="B14" s="13">
        <f>80</f>
        <v>80</v>
      </c>
      <c r="C14" s="9">
        <f t="shared" si="0"/>
        <v>80</v>
      </c>
      <c r="D14" s="15"/>
      <c r="E14" s="9">
        <f t="shared" si="1"/>
        <v>0</v>
      </c>
      <c r="F14" s="17"/>
      <c r="G14" s="9">
        <f t="shared" si="2"/>
        <v>0</v>
      </c>
      <c r="H14" s="19"/>
      <c r="I14" s="9">
        <f t="shared" si="3"/>
        <v>0</v>
      </c>
      <c r="J14" s="24"/>
      <c r="K14" s="9">
        <f t="shared" si="4"/>
        <v>0</v>
      </c>
    </row>
    <row r="15" spans="1:11" s="5" customFormat="1" ht="18" customHeight="1">
      <c r="A15" s="9" t="s">
        <v>17</v>
      </c>
      <c r="B15" s="13">
        <f>86</f>
        <v>86</v>
      </c>
      <c r="C15" s="9">
        <f t="shared" si="0"/>
        <v>86</v>
      </c>
      <c r="D15" s="15"/>
      <c r="E15" s="9">
        <f t="shared" si="1"/>
        <v>0</v>
      </c>
      <c r="F15" s="17"/>
      <c r="G15" s="9">
        <f t="shared" si="2"/>
        <v>0</v>
      </c>
      <c r="H15" s="19"/>
      <c r="I15" s="9">
        <f t="shared" si="3"/>
        <v>0</v>
      </c>
      <c r="J15" s="24"/>
      <c r="K15" s="9">
        <f t="shared" si="4"/>
        <v>0</v>
      </c>
    </row>
    <row r="16" spans="1:11" s="5" customFormat="1" ht="18" customHeight="1">
      <c r="A16" s="9" t="s">
        <v>18</v>
      </c>
      <c r="B16" s="13"/>
      <c r="C16" s="9">
        <f t="shared" si="0"/>
        <v>0</v>
      </c>
      <c r="D16" s="15"/>
      <c r="E16" s="9">
        <f t="shared" si="1"/>
        <v>0</v>
      </c>
      <c r="F16" s="17"/>
      <c r="G16" s="9">
        <f t="shared" si="2"/>
        <v>0</v>
      </c>
      <c r="H16" s="19"/>
      <c r="I16" s="9">
        <f t="shared" si="3"/>
        <v>0</v>
      </c>
      <c r="J16" s="24"/>
      <c r="K16" s="9">
        <f t="shared" si="4"/>
        <v>0</v>
      </c>
    </row>
    <row r="17" spans="1:11" s="5" customFormat="1" ht="18" customHeight="1">
      <c r="A17" s="9" t="s">
        <v>19</v>
      </c>
      <c r="B17" s="13">
        <f>187</f>
        <v>187</v>
      </c>
      <c r="C17" s="9">
        <f t="shared" si="0"/>
        <v>187</v>
      </c>
      <c r="D17" s="15">
        <f>235</f>
        <v>235</v>
      </c>
      <c r="E17" s="9">
        <f t="shared" si="1"/>
        <v>235</v>
      </c>
      <c r="F17" s="17"/>
      <c r="G17" s="9">
        <f t="shared" si="2"/>
        <v>0</v>
      </c>
      <c r="H17" s="19"/>
      <c r="I17" s="9">
        <f t="shared" si="3"/>
        <v>0</v>
      </c>
      <c r="J17" s="24"/>
      <c r="K17" s="9">
        <f t="shared" si="4"/>
        <v>0</v>
      </c>
    </row>
    <row r="18" spans="1:11" s="5" customFormat="1" ht="18" customHeight="1">
      <c r="A18" s="9" t="s">
        <v>20</v>
      </c>
      <c r="B18" s="13">
        <f>207+5</f>
        <v>212</v>
      </c>
      <c r="C18" s="9">
        <f t="shared" si="0"/>
        <v>212</v>
      </c>
      <c r="D18" s="15">
        <f>6+16</f>
        <v>22</v>
      </c>
      <c r="E18" s="9">
        <f t="shared" si="1"/>
        <v>22</v>
      </c>
      <c r="F18" s="17">
        <f>11</f>
        <v>11</v>
      </c>
      <c r="G18" s="9">
        <f t="shared" si="2"/>
        <v>11</v>
      </c>
      <c r="H18" s="19"/>
      <c r="I18" s="9">
        <f t="shared" si="3"/>
        <v>0</v>
      </c>
      <c r="J18" s="24"/>
      <c r="K18" s="9">
        <f t="shared" si="4"/>
        <v>0</v>
      </c>
    </row>
    <row r="19" spans="1:11" s="5" customFormat="1" ht="18" customHeight="1">
      <c r="A19" s="9" t="s">
        <v>21</v>
      </c>
      <c r="B19" s="13">
        <f>1350+240</f>
        <v>1590</v>
      </c>
      <c r="C19" s="9">
        <f t="shared" si="0"/>
        <v>1590</v>
      </c>
      <c r="D19" s="15">
        <f>12</f>
        <v>12</v>
      </c>
      <c r="E19" s="9">
        <f t="shared" si="1"/>
        <v>12</v>
      </c>
      <c r="F19" s="17">
        <f>2519</f>
        <v>2519</v>
      </c>
      <c r="G19" s="9">
        <f t="shared" si="2"/>
        <v>2519</v>
      </c>
      <c r="H19" s="19"/>
      <c r="I19" s="9">
        <f t="shared" si="3"/>
        <v>0</v>
      </c>
      <c r="J19" s="24"/>
      <c r="K19" s="9">
        <f t="shared" si="4"/>
        <v>0</v>
      </c>
    </row>
    <row r="20" spans="1:11" s="5" customFormat="1" ht="18" customHeight="1">
      <c r="A20" s="9" t="s">
        <v>22</v>
      </c>
      <c r="B20" s="13">
        <f>4150</f>
        <v>4150</v>
      </c>
      <c r="C20" s="9">
        <f t="shared" si="0"/>
        <v>4150</v>
      </c>
      <c r="D20" s="15">
        <f>16</f>
        <v>16</v>
      </c>
      <c r="E20" s="9">
        <f t="shared" si="1"/>
        <v>16</v>
      </c>
      <c r="F20" s="17">
        <f>175</f>
        <v>175</v>
      </c>
      <c r="G20" s="9">
        <f t="shared" si="2"/>
        <v>175</v>
      </c>
      <c r="H20" s="19"/>
      <c r="I20" s="9">
        <f t="shared" si="3"/>
        <v>0</v>
      </c>
      <c r="J20" s="24"/>
      <c r="K20" s="9">
        <f t="shared" si="4"/>
        <v>0</v>
      </c>
    </row>
    <row r="21" spans="1:11" s="5" customFormat="1" ht="18" customHeight="1">
      <c r="A21" s="9" t="s">
        <v>23</v>
      </c>
      <c r="B21" s="13">
        <f>155</f>
        <v>155</v>
      </c>
      <c r="C21" s="9">
        <f t="shared" si="0"/>
        <v>155</v>
      </c>
      <c r="D21" s="15">
        <f>520</f>
        <v>520</v>
      </c>
      <c r="E21" s="9">
        <f t="shared" si="1"/>
        <v>520</v>
      </c>
      <c r="F21" s="17"/>
      <c r="G21" s="9">
        <f t="shared" si="2"/>
        <v>0</v>
      </c>
      <c r="H21" s="19"/>
      <c r="I21" s="9">
        <f t="shared" si="3"/>
        <v>0</v>
      </c>
      <c r="J21" s="24"/>
      <c r="K21" s="9">
        <f t="shared" si="4"/>
        <v>0</v>
      </c>
    </row>
    <row r="22" spans="1:11" s="5" customFormat="1" ht="18" customHeight="1">
      <c r="A22" s="9" t="s">
        <v>24</v>
      </c>
      <c r="B22" s="13"/>
      <c r="C22" s="9">
        <f t="shared" si="0"/>
        <v>0</v>
      </c>
      <c r="D22" s="15"/>
      <c r="E22" s="9">
        <f t="shared" si="1"/>
        <v>0</v>
      </c>
      <c r="F22" s="17"/>
      <c r="G22" s="9">
        <f t="shared" si="2"/>
        <v>0</v>
      </c>
      <c r="H22" s="19"/>
      <c r="I22" s="9">
        <f t="shared" si="3"/>
        <v>0</v>
      </c>
      <c r="J22" s="24"/>
      <c r="K22" s="9">
        <f t="shared" si="4"/>
        <v>0</v>
      </c>
    </row>
    <row r="23" spans="1:11" s="5" customFormat="1" ht="18" customHeight="1">
      <c r="A23" s="9" t="s">
        <v>25</v>
      </c>
      <c r="B23" s="13"/>
      <c r="C23" s="9">
        <f t="shared" si="0"/>
        <v>0</v>
      </c>
      <c r="D23" s="15"/>
      <c r="E23" s="9">
        <f t="shared" si="1"/>
        <v>0</v>
      </c>
      <c r="F23" s="17"/>
      <c r="G23" s="9">
        <f t="shared" si="2"/>
        <v>0</v>
      </c>
      <c r="H23" s="19"/>
      <c r="I23" s="9">
        <f t="shared" si="3"/>
        <v>0</v>
      </c>
      <c r="J23" s="24"/>
      <c r="K23" s="9">
        <f t="shared" si="4"/>
        <v>0</v>
      </c>
    </row>
    <row r="24" spans="1:11" s="5" customFormat="1" ht="18" customHeight="1">
      <c r="A24" s="9" t="s">
        <v>26</v>
      </c>
      <c r="B24" s="13"/>
      <c r="C24" s="9">
        <f t="shared" si="0"/>
        <v>0</v>
      </c>
      <c r="D24" s="15"/>
      <c r="E24" s="9">
        <f t="shared" si="1"/>
        <v>0</v>
      </c>
      <c r="F24" s="17"/>
      <c r="G24" s="9">
        <f t="shared" si="2"/>
        <v>0</v>
      </c>
      <c r="H24" s="19"/>
      <c r="I24" s="9">
        <f t="shared" si="3"/>
        <v>0</v>
      </c>
      <c r="J24" s="24"/>
      <c r="K24" s="9">
        <f t="shared" si="4"/>
        <v>0</v>
      </c>
    </row>
    <row r="25" spans="1:11" s="5" customFormat="1" ht="18" customHeight="1">
      <c r="A25" s="9" t="s">
        <v>27</v>
      </c>
      <c r="B25" s="13"/>
      <c r="C25" s="9">
        <f t="shared" si="0"/>
        <v>0</v>
      </c>
      <c r="D25" s="15"/>
      <c r="E25" s="9">
        <f t="shared" si="1"/>
        <v>0</v>
      </c>
      <c r="F25" s="17"/>
      <c r="G25" s="9">
        <f t="shared" si="2"/>
        <v>0</v>
      </c>
      <c r="H25" s="19"/>
      <c r="I25" s="9">
        <f t="shared" si="3"/>
        <v>0</v>
      </c>
      <c r="J25" s="24"/>
      <c r="K25" s="9">
        <f t="shared" si="4"/>
        <v>0</v>
      </c>
    </row>
    <row r="26" spans="1:11" s="5" customFormat="1" ht="18" customHeight="1">
      <c r="A26" s="9" t="s">
        <v>28</v>
      </c>
      <c r="B26" s="13">
        <f>214+3791</f>
        <v>4005</v>
      </c>
      <c r="C26" s="9">
        <f t="shared" si="0"/>
        <v>4005</v>
      </c>
      <c r="D26" s="15"/>
      <c r="E26" s="9">
        <f t="shared" si="1"/>
        <v>0</v>
      </c>
      <c r="F26" s="17"/>
      <c r="G26" s="9">
        <f t="shared" si="2"/>
        <v>0</v>
      </c>
      <c r="H26" s="19"/>
      <c r="I26" s="9">
        <f t="shared" si="3"/>
        <v>0</v>
      </c>
      <c r="J26" s="24"/>
      <c r="K26" s="9">
        <f t="shared" si="4"/>
        <v>0</v>
      </c>
    </row>
    <row r="27" spans="1:11" s="5" customFormat="1" ht="18" customHeight="1">
      <c r="A27" s="9" t="s">
        <v>29</v>
      </c>
      <c r="B27" s="13">
        <f>141+2266</f>
        <v>2407</v>
      </c>
      <c r="C27" s="9">
        <f t="shared" si="0"/>
        <v>2407</v>
      </c>
      <c r="D27" s="15">
        <f>59+53</f>
        <v>112</v>
      </c>
      <c r="E27" s="9">
        <f t="shared" si="1"/>
        <v>112</v>
      </c>
      <c r="F27" s="17">
        <f>1050</f>
        <v>1050</v>
      </c>
      <c r="G27" s="9">
        <f t="shared" si="2"/>
        <v>1050</v>
      </c>
      <c r="H27" s="19"/>
      <c r="I27" s="9">
        <f t="shared" si="3"/>
        <v>0</v>
      </c>
      <c r="J27" s="24"/>
      <c r="K27" s="9">
        <f t="shared" si="4"/>
        <v>0</v>
      </c>
    </row>
    <row r="28" spans="1:11" s="5" customFormat="1" ht="18" customHeight="1">
      <c r="A28" s="9" t="s">
        <v>30</v>
      </c>
      <c r="B28" s="13"/>
      <c r="C28" s="9">
        <f t="shared" si="0"/>
        <v>0</v>
      </c>
      <c r="D28" s="15"/>
      <c r="E28" s="9">
        <f t="shared" si="1"/>
        <v>0</v>
      </c>
      <c r="F28" s="17"/>
      <c r="G28" s="9">
        <f t="shared" si="2"/>
        <v>0</v>
      </c>
      <c r="H28" s="19"/>
      <c r="I28" s="9">
        <f t="shared" si="3"/>
        <v>0</v>
      </c>
      <c r="J28" s="24"/>
      <c r="K28" s="9">
        <f t="shared" si="4"/>
        <v>0</v>
      </c>
    </row>
    <row r="29" spans="1:11" s="5" customFormat="1" ht="18" customHeight="1">
      <c r="A29" s="9" t="s">
        <v>31</v>
      </c>
      <c r="B29" s="13">
        <f>5177</f>
        <v>5177</v>
      </c>
      <c r="C29" s="9">
        <f t="shared" si="0"/>
        <v>5177</v>
      </c>
      <c r="D29" s="15">
        <f>1+35</f>
        <v>36</v>
      </c>
      <c r="E29" s="9">
        <f t="shared" si="1"/>
        <v>36</v>
      </c>
      <c r="F29" s="17">
        <f>890</f>
        <v>890</v>
      </c>
      <c r="G29" s="9">
        <f t="shared" si="2"/>
        <v>890</v>
      </c>
      <c r="H29" s="19"/>
      <c r="I29" s="9">
        <f t="shared" si="3"/>
        <v>0</v>
      </c>
      <c r="J29" s="24"/>
      <c r="K29" s="9">
        <f t="shared" si="4"/>
        <v>0</v>
      </c>
    </row>
    <row r="30" spans="1:11" s="5" customFormat="1" ht="18" customHeight="1">
      <c r="A30" s="9" t="s">
        <v>32</v>
      </c>
      <c r="B30" s="13">
        <f>1618+5055</f>
        <v>6673</v>
      </c>
      <c r="C30" s="9">
        <f t="shared" si="0"/>
        <v>6673</v>
      </c>
      <c r="D30" s="15">
        <f>304+845</f>
        <v>1149</v>
      </c>
      <c r="E30" s="9">
        <f t="shared" si="1"/>
        <v>1149</v>
      </c>
      <c r="F30" s="17"/>
      <c r="G30" s="9">
        <f t="shared" si="2"/>
        <v>0</v>
      </c>
      <c r="H30" s="19"/>
      <c r="I30" s="9">
        <f t="shared" si="3"/>
        <v>0</v>
      </c>
      <c r="J30" s="24"/>
      <c r="K30" s="9">
        <f t="shared" si="4"/>
        <v>0</v>
      </c>
    </row>
    <row r="31" spans="1:11" s="5" customFormat="1" ht="18" customHeight="1">
      <c r="A31" s="9" t="s">
        <v>33</v>
      </c>
      <c r="B31" s="13">
        <f>394+6778</f>
        <v>7172</v>
      </c>
      <c r="C31" s="9">
        <f t="shared" si="0"/>
        <v>7172</v>
      </c>
      <c r="D31" s="15">
        <f>222+859</f>
        <v>1081</v>
      </c>
      <c r="E31" s="9">
        <f t="shared" si="1"/>
        <v>1081</v>
      </c>
      <c r="F31" s="17">
        <f>327+16</f>
        <v>343</v>
      </c>
      <c r="G31" s="9">
        <f t="shared" si="2"/>
        <v>343</v>
      </c>
      <c r="H31" s="19"/>
      <c r="I31" s="9">
        <f t="shared" si="3"/>
        <v>0</v>
      </c>
      <c r="J31" s="24"/>
      <c r="K31" s="9">
        <f t="shared" si="4"/>
        <v>0</v>
      </c>
    </row>
    <row r="32" spans="1:11" s="5" customFormat="1" ht="18" customHeight="1">
      <c r="A32" s="9" t="s">
        <v>34</v>
      </c>
      <c r="B32" s="13"/>
      <c r="C32" s="9">
        <f t="shared" si="0"/>
        <v>0</v>
      </c>
      <c r="D32" s="15"/>
      <c r="E32" s="9">
        <f t="shared" si="1"/>
        <v>0</v>
      </c>
      <c r="F32" s="17"/>
      <c r="G32" s="9">
        <f t="shared" si="2"/>
        <v>0</v>
      </c>
      <c r="H32" s="19"/>
      <c r="I32" s="9">
        <f t="shared" si="3"/>
        <v>0</v>
      </c>
      <c r="J32" s="24"/>
      <c r="K32" s="9">
        <f t="shared" si="4"/>
        <v>0</v>
      </c>
    </row>
    <row r="33" spans="1:11" s="5" customFormat="1" ht="18" customHeight="1">
      <c r="A33" s="9" t="s">
        <v>35</v>
      </c>
      <c r="B33" s="13"/>
      <c r="C33" s="9">
        <f t="shared" si="0"/>
        <v>0</v>
      </c>
      <c r="D33" s="15"/>
      <c r="E33" s="9">
        <f t="shared" si="1"/>
        <v>0</v>
      </c>
      <c r="F33" s="17"/>
      <c r="G33" s="9">
        <f t="shared" si="2"/>
        <v>0</v>
      </c>
      <c r="H33" s="19"/>
      <c r="I33" s="9">
        <f t="shared" si="3"/>
        <v>0</v>
      </c>
      <c r="J33" s="24"/>
      <c r="K33" s="9">
        <f t="shared" si="4"/>
        <v>0</v>
      </c>
    </row>
    <row r="34" spans="1:11" s="5" customFormat="1" ht="18" customHeight="1">
      <c r="A34" s="9" t="s">
        <v>36</v>
      </c>
      <c r="B34" s="13"/>
      <c r="C34" s="9">
        <f t="shared" si="0"/>
        <v>0</v>
      </c>
      <c r="D34" s="15"/>
      <c r="E34" s="9">
        <f t="shared" si="1"/>
        <v>0</v>
      </c>
      <c r="F34" s="17"/>
      <c r="G34" s="9">
        <f t="shared" si="2"/>
        <v>0</v>
      </c>
      <c r="H34" s="19"/>
      <c r="I34" s="9">
        <f t="shared" si="3"/>
        <v>0</v>
      </c>
      <c r="J34" s="24"/>
      <c r="K34" s="9">
        <f t="shared" si="4"/>
        <v>0</v>
      </c>
    </row>
    <row r="35" spans="1:11" s="5" customFormat="1" ht="18" customHeight="1">
      <c r="A35" s="9" t="s">
        <v>37</v>
      </c>
      <c r="B35" s="13"/>
      <c r="C35" s="9">
        <f t="shared" si="0"/>
        <v>0</v>
      </c>
      <c r="D35" s="15"/>
      <c r="E35" s="9">
        <f t="shared" si="1"/>
        <v>0</v>
      </c>
      <c r="F35" s="17"/>
      <c r="G35" s="9">
        <f t="shared" si="2"/>
        <v>0</v>
      </c>
      <c r="H35" s="19"/>
      <c r="I35" s="9">
        <f t="shared" si="3"/>
        <v>0</v>
      </c>
      <c r="J35" s="24"/>
      <c r="K35" s="9">
        <f t="shared" si="4"/>
        <v>0</v>
      </c>
    </row>
    <row r="36" spans="1:11" s="5" customFormat="1" ht="18" customHeight="1">
      <c r="A36" s="9" t="s">
        <v>38</v>
      </c>
      <c r="B36" s="13"/>
      <c r="C36" s="9">
        <f t="shared" si="0"/>
        <v>0</v>
      </c>
      <c r="D36" s="15"/>
      <c r="E36" s="9">
        <f t="shared" si="1"/>
        <v>0</v>
      </c>
      <c r="F36" s="17">
        <f>245</f>
        <v>245</v>
      </c>
      <c r="G36" s="9">
        <f t="shared" si="2"/>
        <v>245</v>
      </c>
      <c r="H36" s="19"/>
      <c r="I36" s="9">
        <f t="shared" si="3"/>
        <v>0</v>
      </c>
      <c r="J36" s="24"/>
      <c r="K36" s="9">
        <f t="shared" si="4"/>
        <v>0</v>
      </c>
    </row>
    <row r="37" spans="1:11" s="5" customFormat="1" ht="18" customHeight="1">
      <c r="A37" s="9" t="s">
        <v>39</v>
      </c>
      <c r="B37" s="13"/>
      <c r="C37" s="9">
        <f aca="true" t="shared" si="5" ref="C37:C54">B37</f>
        <v>0</v>
      </c>
      <c r="D37" s="15">
        <f>144</f>
        <v>144</v>
      </c>
      <c r="E37" s="9">
        <f aca="true" t="shared" si="6" ref="E37:E54">D37</f>
        <v>144</v>
      </c>
      <c r="F37" s="17"/>
      <c r="G37" s="9">
        <f aca="true" t="shared" si="7" ref="G37:G54">F37</f>
        <v>0</v>
      </c>
      <c r="H37" s="19"/>
      <c r="I37" s="9">
        <f aca="true" t="shared" si="8" ref="I37:I54">H37</f>
        <v>0</v>
      </c>
      <c r="J37" s="24"/>
      <c r="K37" s="9">
        <f t="shared" si="4"/>
        <v>0</v>
      </c>
    </row>
    <row r="38" spans="1:11" s="5" customFormat="1" ht="18" customHeight="1">
      <c r="A38" s="9" t="s">
        <v>40</v>
      </c>
      <c r="B38" s="13">
        <f>2097+6621</f>
        <v>8718</v>
      </c>
      <c r="C38" s="9">
        <f t="shared" si="5"/>
        <v>8718</v>
      </c>
      <c r="D38" s="15">
        <f>224</f>
        <v>224</v>
      </c>
      <c r="E38" s="9">
        <f t="shared" si="6"/>
        <v>224</v>
      </c>
      <c r="F38" s="17"/>
      <c r="G38" s="9">
        <f t="shared" si="7"/>
        <v>0</v>
      </c>
      <c r="H38" s="19"/>
      <c r="I38" s="9">
        <f t="shared" si="8"/>
        <v>0</v>
      </c>
      <c r="J38" s="24"/>
      <c r="K38" s="9">
        <f t="shared" si="4"/>
        <v>0</v>
      </c>
    </row>
    <row r="39" spans="1:11" s="5" customFormat="1" ht="18" customHeight="1">
      <c r="A39" s="9" t="s">
        <v>41</v>
      </c>
      <c r="B39" s="13">
        <f>465+1290</f>
        <v>1755</v>
      </c>
      <c r="C39" s="9">
        <f t="shared" si="5"/>
        <v>1755</v>
      </c>
      <c r="D39" s="15"/>
      <c r="E39" s="9">
        <f t="shared" si="6"/>
        <v>0</v>
      </c>
      <c r="F39" s="17">
        <f>1+98</f>
        <v>99</v>
      </c>
      <c r="G39" s="9">
        <f t="shared" si="7"/>
        <v>99</v>
      </c>
      <c r="H39" s="19"/>
      <c r="I39" s="9">
        <f t="shared" si="8"/>
        <v>0</v>
      </c>
      <c r="J39" s="24"/>
      <c r="K39" s="9">
        <f t="shared" si="4"/>
        <v>0</v>
      </c>
    </row>
    <row r="40" spans="1:11" s="5" customFormat="1" ht="18" customHeight="1">
      <c r="A40" s="9" t="s">
        <v>42</v>
      </c>
      <c r="B40" s="13">
        <f>297</f>
        <v>297</v>
      </c>
      <c r="C40" s="9">
        <f t="shared" si="5"/>
        <v>297</v>
      </c>
      <c r="D40" s="15">
        <f>26</f>
        <v>26</v>
      </c>
      <c r="E40" s="9">
        <f t="shared" si="6"/>
        <v>26</v>
      </c>
      <c r="F40" s="17"/>
      <c r="G40" s="9">
        <f t="shared" si="7"/>
        <v>0</v>
      </c>
      <c r="H40" s="19"/>
      <c r="I40" s="9">
        <f t="shared" si="8"/>
        <v>0</v>
      </c>
      <c r="J40" s="24"/>
      <c r="K40" s="9">
        <f t="shared" si="4"/>
        <v>0</v>
      </c>
    </row>
    <row r="41" spans="1:11" s="5" customFormat="1" ht="18" customHeight="1">
      <c r="A41" s="9" t="s">
        <v>43</v>
      </c>
      <c r="B41" s="13"/>
      <c r="C41" s="9">
        <f t="shared" si="5"/>
        <v>0</v>
      </c>
      <c r="D41" s="21"/>
      <c r="E41" s="9">
        <f t="shared" si="6"/>
        <v>0</v>
      </c>
      <c r="F41" s="17"/>
      <c r="G41" s="9">
        <f t="shared" si="7"/>
        <v>0</v>
      </c>
      <c r="H41" s="19"/>
      <c r="I41" s="9">
        <f t="shared" si="8"/>
        <v>0</v>
      </c>
      <c r="J41" s="24"/>
      <c r="K41" s="9">
        <f t="shared" si="4"/>
        <v>0</v>
      </c>
    </row>
    <row r="42" spans="1:11" s="5" customFormat="1" ht="18" customHeight="1">
      <c r="A42" s="9" t="s">
        <v>44</v>
      </c>
      <c r="B42" s="13"/>
      <c r="C42" s="9">
        <f t="shared" si="5"/>
        <v>0</v>
      </c>
      <c r="D42" s="15"/>
      <c r="E42" s="9">
        <f t="shared" si="6"/>
        <v>0</v>
      </c>
      <c r="F42" s="17">
        <f>47</f>
        <v>47</v>
      </c>
      <c r="G42" s="9">
        <f t="shared" si="7"/>
        <v>47</v>
      </c>
      <c r="H42" s="19"/>
      <c r="I42" s="9">
        <f t="shared" si="8"/>
        <v>0</v>
      </c>
      <c r="J42" s="24"/>
      <c r="K42" s="9">
        <f t="shared" si="4"/>
        <v>0</v>
      </c>
    </row>
    <row r="43" spans="1:11" s="5" customFormat="1" ht="18" customHeight="1">
      <c r="A43" s="9" t="s">
        <v>45</v>
      </c>
      <c r="B43" s="13"/>
      <c r="C43" s="9">
        <f t="shared" si="5"/>
        <v>0</v>
      </c>
      <c r="D43" s="15"/>
      <c r="E43" s="9">
        <f t="shared" si="6"/>
        <v>0</v>
      </c>
      <c r="F43" s="17"/>
      <c r="G43" s="9">
        <f t="shared" si="7"/>
        <v>0</v>
      </c>
      <c r="H43" s="19"/>
      <c r="I43" s="9">
        <f t="shared" si="8"/>
        <v>0</v>
      </c>
      <c r="J43" s="24"/>
      <c r="K43" s="9">
        <f t="shared" si="4"/>
        <v>0</v>
      </c>
    </row>
    <row r="44" spans="1:11" s="5" customFormat="1" ht="18" customHeight="1">
      <c r="A44" s="9" t="s">
        <v>46</v>
      </c>
      <c r="B44" s="13"/>
      <c r="C44" s="9">
        <f t="shared" si="5"/>
        <v>0</v>
      </c>
      <c r="D44" s="15"/>
      <c r="E44" s="9">
        <f t="shared" si="6"/>
        <v>0</v>
      </c>
      <c r="F44" s="17"/>
      <c r="G44" s="9">
        <f t="shared" si="7"/>
        <v>0</v>
      </c>
      <c r="H44" s="19"/>
      <c r="I44" s="9">
        <f t="shared" si="8"/>
        <v>0</v>
      </c>
      <c r="J44" s="24"/>
      <c r="K44" s="9">
        <f t="shared" si="4"/>
        <v>0</v>
      </c>
    </row>
    <row r="45" spans="1:11" s="5" customFormat="1" ht="18" customHeight="1">
      <c r="A45" s="9" t="s">
        <v>47</v>
      </c>
      <c r="B45" s="13">
        <f>4085+25715</f>
        <v>29800</v>
      </c>
      <c r="C45" s="9">
        <f t="shared" si="5"/>
        <v>29800</v>
      </c>
      <c r="D45" s="15">
        <f>274+794</f>
        <v>1068</v>
      </c>
      <c r="E45" s="9">
        <f t="shared" si="6"/>
        <v>1068</v>
      </c>
      <c r="F45" s="17">
        <f>38</f>
        <v>38</v>
      </c>
      <c r="G45" s="9">
        <f t="shared" si="7"/>
        <v>38</v>
      </c>
      <c r="H45" s="19"/>
      <c r="I45" s="9">
        <f t="shared" si="8"/>
        <v>0</v>
      </c>
      <c r="J45" s="24"/>
      <c r="K45" s="9">
        <f t="shared" si="4"/>
        <v>0</v>
      </c>
    </row>
    <row r="46" spans="1:11" s="5" customFormat="1" ht="18" customHeight="1">
      <c r="A46" s="9" t="s">
        <v>48</v>
      </c>
      <c r="B46" s="13">
        <f>1006</f>
        <v>1006</v>
      </c>
      <c r="C46" s="9">
        <f t="shared" si="5"/>
        <v>1006</v>
      </c>
      <c r="D46" s="15"/>
      <c r="E46" s="9">
        <f t="shared" si="6"/>
        <v>0</v>
      </c>
      <c r="F46" s="17"/>
      <c r="G46" s="9">
        <f t="shared" si="7"/>
        <v>0</v>
      </c>
      <c r="H46" s="19"/>
      <c r="I46" s="9">
        <f t="shared" si="8"/>
        <v>0</v>
      </c>
      <c r="J46" s="24"/>
      <c r="K46" s="9">
        <f t="shared" si="4"/>
        <v>0</v>
      </c>
    </row>
    <row r="47" spans="1:11" s="5" customFormat="1" ht="18" customHeight="1">
      <c r="A47" s="9" t="s">
        <v>49</v>
      </c>
      <c r="B47" s="13">
        <f>1635+550</f>
        <v>2185</v>
      </c>
      <c r="C47" s="9">
        <f t="shared" si="5"/>
        <v>2185</v>
      </c>
      <c r="D47" s="15">
        <f>1+2</f>
        <v>3</v>
      </c>
      <c r="E47" s="9">
        <f t="shared" si="6"/>
        <v>3</v>
      </c>
      <c r="F47" s="17"/>
      <c r="G47" s="9">
        <f t="shared" si="7"/>
        <v>0</v>
      </c>
      <c r="H47" s="19"/>
      <c r="I47" s="9">
        <f t="shared" si="8"/>
        <v>0</v>
      </c>
      <c r="J47" s="24"/>
      <c r="K47" s="9">
        <f t="shared" si="4"/>
        <v>0</v>
      </c>
    </row>
    <row r="48" spans="1:11" s="5" customFormat="1" ht="18" customHeight="1">
      <c r="A48" s="9" t="s">
        <v>50</v>
      </c>
      <c r="B48" s="13">
        <f>210</f>
        <v>210</v>
      </c>
      <c r="C48" s="9">
        <f t="shared" si="5"/>
        <v>210</v>
      </c>
      <c r="D48" s="15"/>
      <c r="E48" s="9">
        <f t="shared" si="6"/>
        <v>0</v>
      </c>
      <c r="F48" s="17">
        <f>834</f>
        <v>834</v>
      </c>
      <c r="G48" s="9">
        <f t="shared" si="7"/>
        <v>834</v>
      </c>
      <c r="H48" s="19"/>
      <c r="I48" s="9">
        <f t="shared" si="8"/>
        <v>0</v>
      </c>
      <c r="J48" s="24"/>
      <c r="K48" s="9">
        <f t="shared" si="4"/>
        <v>0</v>
      </c>
    </row>
    <row r="49" spans="1:11" s="5" customFormat="1" ht="18" customHeight="1">
      <c r="A49" s="9" t="s">
        <v>51</v>
      </c>
      <c r="B49" s="13"/>
      <c r="C49" s="9">
        <f t="shared" si="5"/>
        <v>0</v>
      </c>
      <c r="D49" s="15"/>
      <c r="E49" s="9">
        <f t="shared" si="6"/>
        <v>0</v>
      </c>
      <c r="F49" s="17"/>
      <c r="G49" s="9">
        <f t="shared" si="7"/>
        <v>0</v>
      </c>
      <c r="H49" s="19"/>
      <c r="I49" s="9">
        <f t="shared" si="8"/>
        <v>0</v>
      </c>
      <c r="J49" s="24"/>
      <c r="K49" s="9">
        <f t="shared" si="4"/>
        <v>0</v>
      </c>
    </row>
    <row r="50" spans="1:11" s="5" customFormat="1" ht="18" customHeight="1">
      <c r="A50" s="9" t="s">
        <v>52</v>
      </c>
      <c r="B50" s="13"/>
      <c r="C50" s="9">
        <f t="shared" si="5"/>
        <v>0</v>
      </c>
      <c r="D50" s="15"/>
      <c r="E50" s="9">
        <f t="shared" si="6"/>
        <v>0</v>
      </c>
      <c r="F50" s="17"/>
      <c r="G50" s="9">
        <f t="shared" si="7"/>
        <v>0</v>
      </c>
      <c r="H50" s="19"/>
      <c r="I50" s="9">
        <f t="shared" si="8"/>
        <v>0</v>
      </c>
      <c r="J50" s="24"/>
      <c r="K50" s="9">
        <f t="shared" si="4"/>
        <v>0</v>
      </c>
    </row>
    <row r="51" spans="1:11" s="5" customFormat="1" ht="18" customHeight="1">
      <c r="A51" s="9" t="s">
        <v>53</v>
      </c>
      <c r="B51" s="13"/>
      <c r="C51" s="9">
        <f t="shared" si="5"/>
        <v>0</v>
      </c>
      <c r="D51" s="15"/>
      <c r="E51" s="9">
        <v>0</v>
      </c>
      <c r="F51" s="17"/>
      <c r="G51" s="9">
        <f t="shared" si="7"/>
        <v>0</v>
      </c>
      <c r="H51" s="19"/>
      <c r="I51" s="9">
        <f t="shared" si="8"/>
        <v>0</v>
      </c>
      <c r="J51" s="24"/>
      <c r="K51" s="9">
        <f t="shared" si="4"/>
        <v>0</v>
      </c>
    </row>
    <row r="52" spans="1:11" s="5" customFormat="1" ht="18" customHeight="1">
      <c r="A52" s="9" t="s">
        <v>54</v>
      </c>
      <c r="B52" s="13">
        <f>84</f>
        <v>84</v>
      </c>
      <c r="C52" s="9">
        <f t="shared" si="5"/>
        <v>84</v>
      </c>
      <c r="D52" s="15"/>
      <c r="E52" s="9">
        <f t="shared" si="6"/>
        <v>0</v>
      </c>
      <c r="F52" s="17"/>
      <c r="G52" s="9">
        <f t="shared" si="7"/>
        <v>0</v>
      </c>
      <c r="H52" s="19"/>
      <c r="I52" s="9">
        <f t="shared" si="8"/>
        <v>0</v>
      </c>
      <c r="J52" s="24"/>
      <c r="K52" s="9">
        <f t="shared" si="4"/>
        <v>0</v>
      </c>
    </row>
    <row r="53" spans="1:11" s="5" customFormat="1" ht="18" customHeight="1">
      <c r="A53" s="9" t="s">
        <v>55</v>
      </c>
      <c r="B53" s="13">
        <f>1358+4517</f>
        <v>5875</v>
      </c>
      <c r="C53" s="9">
        <f t="shared" si="5"/>
        <v>5875</v>
      </c>
      <c r="D53" s="15">
        <f>281+1</f>
        <v>282</v>
      </c>
      <c r="E53" s="9">
        <f t="shared" si="6"/>
        <v>282</v>
      </c>
      <c r="F53" s="17">
        <f>250+750</f>
        <v>1000</v>
      </c>
      <c r="G53" s="9">
        <f t="shared" si="7"/>
        <v>1000</v>
      </c>
      <c r="H53" s="19"/>
      <c r="I53" s="9">
        <f t="shared" si="8"/>
        <v>0</v>
      </c>
      <c r="J53" s="24"/>
      <c r="K53" s="9">
        <f t="shared" si="4"/>
        <v>0</v>
      </c>
    </row>
    <row r="54" spans="1:11" s="5" customFormat="1" ht="18" customHeight="1" thickBot="1">
      <c r="A54" s="10" t="s">
        <v>56</v>
      </c>
      <c r="B54" s="14">
        <f>245</f>
        <v>245</v>
      </c>
      <c r="C54" s="9">
        <f t="shared" si="5"/>
        <v>245</v>
      </c>
      <c r="D54" s="16">
        <f>210</f>
        <v>210</v>
      </c>
      <c r="E54" s="9">
        <f t="shared" si="6"/>
        <v>210</v>
      </c>
      <c r="F54" s="18"/>
      <c r="G54" s="9">
        <f t="shared" si="7"/>
        <v>0</v>
      </c>
      <c r="H54" s="20"/>
      <c r="I54" s="9">
        <f t="shared" si="8"/>
        <v>0</v>
      </c>
      <c r="J54" s="25"/>
      <c r="K54" s="9">
        <f t="shared" si="4"/>
        <v>0</v>
      </c>
    </row>
    <row r="55" spans="1:11" s="5" customFormat="1" ht="18" customHeight="1" thickBot="1" thickTop="1">
      <c r="A55" s="11" t="s">
        <v>57</v>
      </c>
      <c r="B55" s="11">
        <f>SUM(B5:B54)</f>
        <v>82567</v>
      </c>
      <c r="C55" s="11"/>
      <c r="D55" s="11">
        <f>SUM(D5:D54)</f>
        <v>5231</v>
      </c>
      <c r="E55" s="11"/>
      <c r="F55" s="11">
        <f>SUM(F5:F54)</f>
        <v>7512</v>
      </c>
      <c r="G55" s="11"/>
      <c r="H55" s="11">
        <f>SUM(H5:H54)</f>
        <v>0</v>
      </c>
      <c r="I55" s="22"/>
      <c r="J55" s="11">
        <f>SUM(J5:J54)</f>
        <v>0</v>
      </c>
      <c r="K55" s="23"/>
    </row>
    <row r="56" spans="1:9" s="5" customFormat="1" ht="18" customHeight="1" thickBot="1" thickTop="1">
      <c r="A56" s="8"/>
      <c r="B56" s="8"/>
      <c r="C56" s="8"/>
      <c r="D56" s="8"/>
      <c r="E56" s="8"/>
      <c r="F56" s="8"/>
      <c r="G56" s="8"/>
      <c r="H56" s="8"/>
      <c r="I56" s="8"/>
    </row>
    <row r="57" spans="1:11" s="5" customFormat="1" ht="18" customHeight="1" thickBot="1" thickTop="1">
      <c r="A57" s="12" t="s">
        <v>58</v>
      </c>
      <c r="B57" s="11"/>
      <c r="C57" s="11">
        <f>B55</f>
        <v>82567</v>
      </c>
      <c r="D57" s="11"/>
      <c r="E57" s="11">
        <f>D55</f>
        <v>5231</v>
      </c>
      <c r="F57" s="11"/>
      <c r="G57" s="11">
        <f>F55</f>
        <v>7512</v>
      </c>
      <c r="H57" s="11"/>
      <c r="I57" s="11">
        <f>H55</f>
        <v>0</v>
      </c>
      <c r="J57" s="11"/>
      <c r="K57" s="11">
        <f>J55</f>
        <v>0</v>
      </c>
    </row>
    <row r="58" spans="1:13" s="5" customFormat="1" ht="18" customHeight="1" thickTop="1">
      <c r="A58" s="6" t="s">
        <v>75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6" t="s">
        <v>76</v>
      </c>
      <c r="M58" s="31">
        <f>B58+D58+F58</f>
        <v>0</v>
      </c>
    </row>
    <row r="59" s="5" customFormat="1" ht="18" customHeight="1">
      <c r="A59" s="5" t="s">
        <v>59</v>
      </c>
    </row>
    <row r="60" spans="1:6" s="5" customFormat="1" ht="18" customHeight="1">
      <c r="A60" s="5" t="s">
        <v>12</v>
      </c>
      <c r="D60" s="5">
        <v>1000</v>
      </c>
      <c r="F60" s="5">
        <v>12440</v>
      </c>
    </row>
    <row r="61" s="5" customFormat="1" ht="18" customHeight="1"/>
    <row r="62" spans="1:7" s="4" customFormat="1" ht="18" customHeight="1">
      <c r="A62" s="4" t="s">
        <v>60</v>
      </c>
      <c r="E62" s="4">
        <f>D60</f>
        <v>1000</v>
      </c>
      <c r="G62" s="4">
        <f>F60</f>
        <v>12440</v>
      </c>
    </row>
    <row r="63" s="5" customFormat="1" ht="18" customHeight="1"/>
    <row r="64" s="5" customFormat="1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5">
    <mergeCell ref="H3:I3"/>
    <mergeCell ref="B3:C3"/>
    <mergeCell ref="D3:E3"/>
    <mergeCell ref="F3:G3"/>
    <mergeCell ref="J3:K3"/>
  </mergeCells>
  <printOptions/>
  <pageMargins left="0.5" right="0.5" top="0.1" bottom="0.1" header="0.5" footer="0.5"/>
  <pageSetup horizontalDpi="600" verticalDpi="600" orientation="portrait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P62"/>
  <sheetViews>
    <sheetView tabSelected="1" zoomScale="110" zoomScaleNormal="110" zoomScalePageLayoutView="0" workbookViewId="0" topLeftCell="A1">
      <pane ySplit="4" topLeftCell="A5" activePane="bottomLeft" state="frozen"/>
      <selection pane="topLeft" activeCell="A1" sqref="A1"/>
      <selection pane="bottomLeft" activeCell="B55" sqref="B55"/>
    </sheetView>
  </sheetViews>
  <sheetFormatPr defaultColWidth="9.00390625" defaultRowHeight="18" customHeight="1"/>
  <cols>
    <col min="1" max="1" width="18.125" style="2" customWidth="1"/>
    <col min="2" max="3" width="9.00390625" style="2" customWidth="1"/>
    <col min="4" max="4" width="9.25390625" style="2" customWidth="1"/>
    <col min="5" max="5" width="7.00390625" style="2" customWidth="1"/>
    <col min="6" max="8" width="9.00390625" style="2" customWidth="1"/>
    <col min="9" max="9" width="12.25390625" style="2" customWidth="1"/>
    <col min="10" max="10" width="7.875" style="2" customWidth="1"/>
    <col min="11" max="14" width="9.00390625" style="2" customWidth="1"/>
    <col min="15" max="16" width="12.25390625" style="2" customWidth="1"/>
    <col min="17" max="16384" width="9.00390625" style="2" customWidth="1"/>
  </cols>
  <sheetData>
    <row r="1" spans="1:8" ht="18" customHeight="1">
      <c r="A1" s="1" t="s">
        <v>77</v>
      </c>
      <c r="F1" s="2" t="s">
        <v>70</v>
      </c>
      <c r="H1" s="2" t="s">
        <v>78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1" s="5" customFormat="1" ht="18" customHeight="1">
      <c r="A3" s="4"/>
      <c r="B3" s="38" t="s">
        <v>0</v>
      </c>
      <c r="C3" s="39"/>
      <c r="D3" s="38" t="s">
        <v>1</v>
      </c>
      <c r="E3" s="39"/>
      <c r="F3" s="38" t="s">
        <v>2</v>
      </c>
      <c r="G3" s="39"/>
      <c r="H3" s="38" t="s">
        <v>3</v>
      </c>
      <c r="I3" s="39"/>
      <c r="J3" s="40" t="s">
        <v>73</v>
      </c>
      <c r="K3" s="41"/>
    </row>
    <row r="4" spans="1:11" s="8" customFormat="1" ht="18" customHeight="1">
      <c r="A4" s="6" t="s">
        <v>4</v>
      </c>
      <c r="B4" s="7" t="s">
        <v>5</v>
      </c>
      <c r="C4" s="7" t="s">
        <v>6</v>
      </c>
      <c r="D4" s="7" t="s">
        <v>5</v>
      </c>
      <c r="E4" s="7" t="s">
        <v>6</v>
      </c>
      <c r="F4" s="7" t="s">
        <v>5</v>
      </c>
      <c r="G4" s="7" t="s">
        <v>6</v>
      </c>
      <c r="H4" s="7" t="s">
        <v>5</v>
      </c>
      <c r="I4" s="7" t="s">
        <v>6</v>
      </c>
      <c r="J4" s="27" t="s">
        <v>5</v>
      </c>
      <c r="K4" s="26" t="s">
        <v>6</v>
      </c>
    </row>
    <row r="5" spans="1:11" s="5" customFormat="1" ht="18" customHeight="1">
      <c r="A5" s="9" t="s">
        <v>7</v>
      </c>
      <c r="B5" s="32">
        <v>118</v>
      </c>
      <c r="C5" s="9">
        <f>September!C5+B5</f>
        <v>581</v>
      </c>
      <c r="D5" s="33"/>
      <c r="E5" s="9">
        <f>September!E5+D5</f>
        <v>2</v>
      </c>
      <c r="F5" s="35"/>
      <c r="G5" s="9">
        <f>September!G5+F5</f>
        <v>0</v>
      </c>
      <c r="H5" s="19"/>
      <c r="I5" s="9">
        <f>September!I5+H5</f>
        <v>0</v>
      </c>
      <c r="J5" s="24"/>
      <c r="K5" s="9">
        <f>September!K5+J5</f>
        <v>0</v>
      </c>
    </row>
    <row r="6" spans="1:11" s="5" customFormat="1" ht="18" customHeight="1">
      <c r="A6" s="9" t="s">
        <v>8</v>
      </c>
      <c r="B6" s="32"/>
      <c r="C6" s="9">
        <f>September!C6+B6</f>
        <v>0</v>
      </c>
      <c r="D6" s="33"/>
      <c r="E6" s="9">
        <f>September!E6+D6</f>
        <v>0</v>
      </c>
      <c r="F6" s="35"/>
      <c r="G6" s="9">
        <f>September!G6+F6</f>
        <v>0</v>
      </c>
      <c r="H6" s="19"/>
      <c r="I6" s="9">
        <f>September!I6+H6</f>
        <v>0</v>
      </c>
      <c r="J6" s="24"/>
      <c r="K6" s="9">
        <f>September!K6+J6</f>
        <v>0</v>
      </c>
    </row>
    <row r="7" spans="1:11" s="5" customFormat="1" ht="18" customHeight="1">
      <c r="A7" s="9" t="s">
        <v>9</v>
      </c>
      <c r="B7" s="32"/>
      <c r="C7" s="9">
        <f>September!C7+B7</f>
        <v>581</v>
      </c>
      <c r="D7" s="33"/>
      <c r="E7" s="9">
        <f>September!E7+D7</f>
        <v>1</v>
      </c>
      <c r="F7" s="35"/>
      <c r="G7" s="9">
        <f>September!G7+F7</f>
        <v>145</v>
      </c>
      <c r="H7" s="19"/>
      <c r="I7" s="9">
        <f>September!I7+H7</f>
        <v>0</v>
      </c>
      <c r="J7" s="24"/>
      <c r="K7" s="9">
        <f>September!K7+J7</f>
        <v>0</v>
      </c>
    </row>
    <row r="8" spans="1:11" s="5" customFormat="1" ht="18" customHeight="1">
      <c r="A8" s="9" t="s">
        <v>10</v>
      </c>
      <c r="B8" s="32">
        <v>418</v>
      </c>
      <c r="C8" s="9">
        <f>September!C8+B8</f>
        <v>4053</v>
      </c>
      <c r="D8" s="33">
        <v>11</v>
      </c>
      <c r="E8" s="9">
        <f>September!E8+D8</f>
        <v>80</v>
      </c>
      <c r="F8" s="35"/>
      <c r="G8" s="9">
        <f>September!G8+F8</f>
        <v>227</v>
      </c>
      <c r="H8" s="19"/>
      <c r="I8" s="9">
        <f>September!I8+H8</f>
        <v>0</v>
      </c>
      <c r="J8" s="24"/>
      <c r="K8" s="9">
        <f>September!K8+J8</f>
        <v>0</v>
      </c>
    </row>
    <row r="9" spans="1:11" s="5" customFormat="1" ht="18" customHeight="1">
      <c r="A9" s="9" t="s">
        <v>11</v>
      </c>
      <c r="B9" s="32">
        <f>270+520</f>
        <v>790</v>
      </c>
      <c r="C9" s="9">
        <f>September!C9+B9</f>
        <v>3872</v>
      </c>
      <c r="D9" s="33">
        <v>14</v>
      </c>
      <c r="E9" s="9">
        <f>September!E9+D9</f>
        <v>34</v>
      </c>
      <c r="F9" s="35"/>
      <c r="G9" s="9">
        <f>September!G9+F9</f>
        <v>1475</v>
      </c>
      <c r="H9" s="19"/>
      <c r="I9" s="9">
        <f>September!I9+H9</f>
        <v>0</v>
      </c>
      <c r="J9" s="24"/>
      <c r="K9" s="9">
        <f>September!K9+J9</f>
        <v>0</v>
      </c>
    </row>
    <row r="10" spans="1:11" s="5" customFormat="1" ht="18" customHeight="1">
      <c r="A10" s="9" t="s">
        <v>12</v>
      </c>
      <c r="B10" s="32"/>
      <c r="C10" s="9">
        <f>September!C10+B10</f>
        <v>8066</v>
      </c>
      <c r="D10" s="33">
        <v>100</v>
      </c>
      <c r="E10" s="9">
        <f>September!E10+D10</f>
        <v>222</v>
      </c>
      <c r="F10" s="35"/>
      <c r="G10" s="9">
        <f>September!G10+F10</f>
        <v>208</v>
      </c>
      <c r="H10" s="19"/>
      <c r="I10" s="9">
        <f>September!I10+H10</f>
        <v>0</v>
      </c>
      <c r="J10" s="24"/>
      <c r="K10" s="9">
        <f>September!K10+J10</f>
        <v>198</v>
      </c>
    </row>
    <row r="11" spans="1:11" s="5" customFormat="1" ht="18" customHeight="1">
      <c r="A11" s="9" t="s">
        <v>13</v>
      </c>
      <c r="B11" s="32">
        <v>1578</v>
      </c>
      <c r="C11" s="9">
        <f>September!C11+B11</f>
        <v>6949</v>
      </c>
      <c r="D11" s="33">
        <v>3</v>
      </c>
      <c r="E11" s="9">
        <f>September!E11+D11</f>
        <v>155</v>
      </c>
      <c r="F11" s="35"/>
      <c r="G11" s="9">
        <f>September!G11+F11</f>
        <v>170</v>
      </c>
      <c r="H11" s="19"/>
      <c r="I11" s="9">
        <f>September!I11+H11</f>
        <v>0</v>
      </c>
      <c r="J11" s="24"/>
      <c r="K11" s="9">
        <f>September!K11+J11</f>
        <v>0</v>
      </c>
    </row>
    <row r="12" spans="1:11" s="5" customFormat="1" ht="18" customHeight="1">
      <c r="A12" s="9" t="s">
        <v>14</v>
      </c>
      <c r="B12" s="32"/>
      <c r="C12" s="9">
        <f>September!C12+B12</f>
        <v>0</v>
      </c>
      <c r="D12" s="33"/>
      <c r="E12" s="9">
        <f>September!E12+D12</f>
        <v>4</v>
      </c>
      <c r="F12" s="35"/>
      <c r="G12" s="9">
        <f>September!G12+F12</f>
        <v>4</v>
      </c>
      <c r="H12" s="19"/>
      <c r="I12" s="9">
        <f>September!I12+H12</f>
        <v>0</v>
      </c>
      <c r="J12" s="24"/>
      <c r="K12" s="9">
        <f>September!K12+J12</f>
        <v>0</v>
      </c>
    </row>
    <row r="13" spans="1:11" s="5" customFormat="1" ht="18" customHeight="1">
      <c r="A13" s="9" t="s">
        <v>15</v>
      </c>
      <c r="B13" s="32"/>
      <c r="C13" s="9">
        <f>September!C13+B13</f>
        <v>0</v>
      </c>
      <c r="D13" s="33"/>
      <c r="E13" s="9">
        <f>September!E13+D13</f>
        <v>0</v>
      </c>
      <c r="F13" s="35"/>
      <c r="G13" s="9">
        <f>September!G13+F13</f>
        <v>0</v>
      </c>
      <c r="H13" s="19"/>
      <c r="I13" s="9">
        <f>September!I13+H13</f>
        <v>0</v>
      </c>
      <c r="J13" s="24"/>
      <c r="K13" s="9">
        <f>September!K13+J13</f>
        <v>0</v>
      </c>
    </row>
    <row r="14" spans="1:11" s="5" customFormat="1" ht="18" customHeight="1">
      <c r="A14" s="9" t="s">
        <v>16</v>
      </c>
      <c r="B14" s="32">
        <f>154+210</f>
        <v>364</v>
      </c>
      <c r="C14" s="9">
        <f>September!C14+B14</f>
        <v>4735</v>
      </c>
      <c r="D14" s="33"/>
      <c r="E14" s="9">
        <f>September!E14+D14</f>
        <v>22</v>
      </c>
      <c r="F14" s="35">
        <v>4</v>
      </c>
      <c r="G14" s="9">
        <f>September!G14+F14</f>
        <v>6</v>
      </c>
      <c r="H14" s="19"/>
      <c r="I14" s="9">
        <f>September!I14+H14</f>
        <v>0</v>
      </c>
      <c r="J14" s="24"/>
      <c r="K14" s="9">
        <f>September!K14+J14</f>
        <v>0</v>
      </c>
    </row>
    <row r="15" spans="1:11" s="5" customFormat="1" ht="18" customHeight="1">
      <c r="A15" s="9" t="s">
        <v>17</v>
      </c>
      <c r="B15" s="32">
        <v>1096</v>
      </c>
      <c r="C15" s="9">
        <f>September!C15+B15</f>
        <v>5017</v>
      </c>
      <c r="D15" s="33"/>
      <c r="E15" s="9">
        <f>September!E15+D15</f>
        <v>3</v>
      </c>
      <c r="F15" s="35"/>
      <c r="G15" s="9">
        <f>September!G15+F15</f>
        <v>0</v>
      </c>
      <c r="H15" s="19"/>
      <c r="I15" s="9">
        <f>September!I15+H15</f>
        <v>0</v>
      </c>
      <c r="J15" s="24"/>
      <c r="K15" s="9">
        <f>September!K15+J15</f>
        <v>0</v>
      </c>
    </row>
    <row r="16" spans="1:11" s="5" customFormat="1" ht="18" customHeight="1">
      <c r="A16" s="9" t="s">
        <v>18</v>
      </c>
      <c r="B16" s="32"/>
      <c r="C16" s="9">
        <f>September!C16+B16</f>
        <v>0</v>
      </c>
      <c r="D16" s="33"/>
      <c r="E16" s="9">
        <f>September!E16+D16</f>
        <v>0</v>
      </c>
      <c r="F16" s="35"/>
      <c r="G16" s="9">
        <f>September!G16+F16</f>
        <v>0</v>
      </c>
      <c r="H16" s="19"/>
      <c r="I16" s="9">
        <f>September!I16+H16</f>
        <v>0</v>
      </c>
      <c r="J16" s="24"/>
      <c r="K16" s="9">
        <f>September!K16+J16</f>
        <v>0</v>
      </c>
    </row>
    <row r="17" spans="1:11" s="5" customFormat="1" ht="18" customHeight="1">
      <c r="A17" s="9" t="s">
        <v>19</v>
      </c>
      <c r="B17" s="32">
        <v>937</v>
      </c>
      <c r="C17" s="9">
        <f>September!C17+B17</f>
        <v>3595</v>
      </c>
      <c r="D17" s="33">
        <v>47</v>
      </c>
      <c r="E17" s="9">
        <f>September!E17+D17</f>
        <v>567</v>
      </c>
      <c r="F17" s="35"/>
      <c r="G17" s="9">
        <f>September!G17+F17</f>
        <v>197</v>
      </c>
      <c r="H17" s="19"/>
      <c r="I17" s="9">
        <f>September!I17+H17</f>
        <v>0</v>
      </c>
      <c r="J17" s="24"/>
      <c r="K17" s="9">
        <f>September!K17+J17</f>
        <v>0</v>
      </c>
    </row>
    <row r="18" spans="1:11" s="5" customFormat="1" ht="18" customHeight="1">
      <c r="A18" s="9" t="s">
        <v>20</v>
      </c>
      <c r="B18" s="32">
        <v>283</v>
      </c>
      <c r="C18" s="9">
        <f>September!C18+B18</f>
        <v>4125</v>
      </c>
      <c r="D18" s="33">
        <v>48</v>
      </c>
      <c r="E18" s="9">
        <f>September!E18+D18</f>
        <v>782</v>
      </c>
      <c r="F18" s="35">
        <v>9</v>
      </c>
      <c r="G18" s="9">
        <f>September!G18+F18</f>
        <v>633</v>
      </c>
      <c r="H18" s="19"/>
      <c r="I18" s="9">
        <f>September!I18+H18</f>
        <v>0</v>
      </c>
      <c r="J18" s="24"/>
      <c r="K18" s="9">
        <f>September!K18+J18</f>
        <v>0</v>
      </c>
    </row>
    <row r="19" spans="1:11" s="5" customFormat="1" ht="18" customHeight="1">
      <c r="A19" s="9" t="s">
        <v>21</v>
      </c>
      <c r="B19" s="32">
        <f>944+1779</f>
        <v>2723</v>
      </c>
      <c r="C19" s="9">
        <f>September!C19+B19</f>
        <v>32537</v>
      </c>
      <c r="D19" s="33">
        <v>1</v>
      </c>
      <c r="E19" s="9">
        <f>September!E19+D19</f>
        <v>104</v>
      </c>
      <c r="F19" s="35">
        <f>1+165</f>
        <v>166</v>
      </c>
      <c r="G19" s="9">
        <f>September!G19+F19</f>
        <v>5734</v>
      </c>
      <c r="H19" s="19"/>
      <c r="I19" s="9">
        <f>September!I19+H19</f>
        <v>0</v>
      </c>
      <c r="J19" s="24"/>
      <c r="K19" s="9">
        <f>September!K19+J19</f>
        <v>0</v>
      </c>
    </row>
    <row r="20" spans="1:11" s="5" customFormat="1" ht="18" customHeight="1">
      <c r="A20" s="9" t="s">
        <v>22</v>
      </c>
      <c r="B20" s="32">
        <v>2280</v>
      </c>
      <c r="C20" s="9">
        <f>September!C20+B20</f>
        <v>31141</v>
      </c>
      <c r="D20" s="33">
        <v>27</v>
      </c>
      <c r="E20" s="9">
        <f>September!E20+D20</f>
        <v>1228</v>
      </c>
      <c r="F20" s="35"/>
      <c r="G20" s="9">
        <f>September!G20+F20</f>
        <v>1065</v>
      </c>
      <c r="H20" s="19"/>
      <c r="I20" s="9">
        <f>September!I20+H20</f>
        <v>0</v>
      </c>
      <c r="J20" s="24"/>
      <c r="K20" s="9">
        <f>September!K20+J20</f>
        <v>0</v>
      </c>
    </row>
    <row r="21" spans="1:11" s="5" customFormat="1" ht="18" customHeight="1">
      <c r="A21" s="9" t="s">
        <v>23</v>
      </c>
      <c r="B21" s="32">
        <v>7054</v>
      </c>
      <c r="C21" s="9">
        <f>September!C21+B21</f>
        <v>56998</v>
      </c>
      <c r="D21" s="33"/>
      <c r="E21" s="9">
        <f>September!E21+D21</f>
        <v>1563</v>
      </c>
      <c r="F21" s="35">
        <v>72</v>
      </c>
      <c r="G21" s="9">
        <f>September!G21+F21</f>
        <v>374</v>
      </c>
      <c r="H21" s="19"/>
      <c r="I21" s="9">
        <f>September!I21+H21</f>
        <v>0</v>
      </c>
      <c r="J21" s="24"/>
      <c r="K21" s="9">
        <f>September!K21+J21</f>
        <v>0</v>
      </c>
    </row>
    <row r="22" spans="1:11" s="5" customFormat="1" ht="18" customHeight="1">
      <c r="A22" s="9" t="s">
        <v>24</v>
      </c>
      <c r="B22" s="32"/>
      <c r="C22" s="9">
        <f>September!C22+B22</f>
        <v>0</v>
      </c>
      <c r="D22" s="33"/>
      <c r="E22" s="9">
        <f>September!E22+D22</f>
        <v>0</v>
      </c>
      <c r="F22" s="35"/>
      <c r="G22" s="9">
        <f>September!G22+F22</f>
        <v>0</v>
      </c>
      <c r="H22" s="19"/>
      <c r="I22" s="9">
        <f>September!I22+H22</f>
        <v>0</v>
      </c>
      <c r="J22" s="24"/>
      <c r="K22" s="9">
        <f>September!K22+J22</f>
        <v>0</v>
      </c>
    </row>
    <row r="23" spans="1:11" s="5" customFormat="1" ht="18" customHeight="1">
      <c r="A23" s="9" t="s">
        <v>25</v>
      </c>
      <c r="B23" s="32"/>
      <c r="C23" s="9">
        <f>September!C23+B23</f>
        <v>0</v>
      </c>
      <c r="D23" s="33"/>
      <c r="E23" s="9">
        <f>September!E23+D23</f>
        <v>0</v>
      </c>
      <c r="F23" s="35"/>
      <c r="G23" s="9">
        <f>September!G23+F23</f>
        <v>0</v>
      </c>
      <c r="H23" s="19"/>
      <c r="I23" s="9">
        <f>September!I23+H23</f>
        <v>0</v>
      </c>
      <c r="J23" s="24"/>
      <c r="K23" s="9">
        <f>September!K23+J23</f>
        <v>0</v>
      </c>
    </row>
    <row r="24" spans="1:11" s="5" customFormat="1" ht="18" customHeight="1">
      <c r="A24" s="9" t="s">
        <v>26</v>
      </c>
      <c r="B24" s="32"/>
      <c r="C24" s="9">
        <f>September!C24+B24</f>
        <v>0</v>
      </c>
      <c r="D24" s="33"/>
      <c r="E24" s="9">
        <f>September!E24+D24</f>
        <v>1</v>
      </c>
      <c r="F24" s="35"/>
      <c r="G24" s="9">
        <f>September!G24+F24</f>
        <v>5</v>
      </c>
      <c r="H24" s="19"/>
      <c r="I24" s="9">
        <f>September!I24+H24</f>
        <v>0</v>
      </c>
      <c r="J24" s="24"/>
      <c r="K24" s="9">
        <f>September!K24+J24</f>
        <v>0</v>
      </c>
    </row>
    <row r="25" spans="1:11" s="5" customFormat="1" ht="18" customHeight="1">
      <c r="A25" s="9" t="s">
        <v>27</v>
      </c>
      <c r="B25" s="32"/>
      <c r="C25" s="9">
        <f>September!C25+B25</f>
        <v>0</v>
      </c>
      <c r="D25" s="33"/>
      <c r="E25" s="9">
        <f>September!E25+D25</f>
        <v>0</v>
      </c>
      <c r="F25" s="35"/>
      <c r="G25" s="9">
        <f>September!G25+F25</f>
        <v>0</v>
      </c>
      <c r="H25" s="19"/>
      <c r="I25" s="9">
        <f>September!I25+H25</f>
        <v>0</v>
      </c>
      <c r="J25" s="24"/>
      <c r="K25" s="9">
        <f>September!K25+J25</f>
        <v>0</v>
      </c>
    </row>
    <row r="26" spans="1:11" s="5" customFormat="1" ht="18" customHeight="1">
      <c r="A26" s="9" t="s">
        <v>28</v>
      </c>
      <c r="B26" s="32">
        <f>78+3362</f>
        <v>3440</v>
      </c>
      <c r="C26" s="9">
        <f>September!C26+B26</f>
        <v>35011</v>
      </c>
      <c r="D26" s="33">
        <v>2</v>
      </c>
      <c r="E26" s="9">
        <f>September!E26+D26</f>
        <v>66</v>
      </c>
      <c r="F26" s="35"/>
      <c r="G26" s="9">
        <f>September!G26+F26</f>
        <v>87</v>
      </c>
      <c r="H26" s="19"/>
      <c r="I26" s="9">
        <f>September!I26+H26</f>
        <v>0</v>
      </c>
      <c r="J26" s="24"/>
      <c r="K26" s="9">
        <f>September!K26+J26</f>
        <v>0</v>
      </c>
    </row>
    <row r="27" spans="1:11" s="5" customFormat="1" ht="18" customHeight="1">
      <c r="A27" s="9" t="s">
        <v>29</v>
      </c>
      <c r="B27" s="32">
        <f>64+2520</f>
        <v>2584</v>
      </c>
      <c r="C27" s="9">
        <f>September!C27+B27</f>
        <v>22591</v>
      </c>
      <c r="D27" s="33">
        <v>29</v>
      </c>
      <c r="E27" s="9">
        <f>September!E27+D27</f>
        <v>1196</v>
      </c>
      <c r="F27" s="35">
        <v>201</v>
      </c>
      <c r="G27" s="9">
        <f>September!G27+F27</f>
        <v>5780</v>
      </c>
      <c r="H27" s="19"/>
      <c r="I27" s="9">
        <f>September!I27+H27</f>
        <v>0</v>
      </c>
      <c r="J27" s="24"/>
      <c r="K27" s="9">
        <f>September!K27+J27</f>
        <v>0</v>
      </c>
    </row>
    <row r="28" spans="1:11" s="5" customFormat="1" ht="18" customHeight="1">
      <c r="A28" s="9" t="s">
        <v>30</v>
      </c>
      <c r="B28" s="32">
        <v>771</v>
      </c>
      <c r="C28" s="9">
        <f>September!C28+B28</f>
        <v>1607</v>
      </c>
      <c r="D28" s="33"/>
      <c r="E28" s="9">
        <f>September!E28+D28</f>
        <v>10</v>
      </c>
      <c r="F28" s="35"/>
      <c r="G28" s="9">
        <f>September!G28+F28</f>
        <v>0</v>
      </c>
      <c r="H28" s="19"/>
      <c r="I28" s="9">
        <f>September!I28+H28</f>
        <v>0</v>
      </c>
      <c r="J28" s="24"/>
      <c r="K28" s="9">
        <f>September!K28+J28</f>
        <v>0</v>
      </c>
    </row>
    <row r="29" spans="1:11" s="5" customFormat="1" ht="18" customHeight="1">
      <c r="A29" s="9" t="s">
        <v>31</v>
      </c>
      <c r="B29" s="32">
        <v>3641</v>
      </c>
      <c r="C29" s="9">
        <f>September!C29+B29</f>
        <v>82015</v>
      </c>
      <c r="D29" s="33">
        <v>159</v>
      </c>
      <c r="E29" s="9">
        <f>September!E29+D29</f>
        <v>1575</v>
      </c>
      <c r="F29" s="35"/>
      <c r="G29" s="9">
        <f>September!G29+F29</f>
        <v>2043</v>
      </c>
      <c r="H29" s="19"/>
      <c r="I29" s="9">
        <f>September!I29+H29</f>
        <v>0</v>
      </c>
      <c r="J29" s="24"/>
      <c r="K29" s="9">
        <f>September!K29+J29</f>
        <v>58</v>
      </c>
    </row>
    <row r="30" spans="1:11" s="5" customFormat="1" ht="18" customHeight="1">
      <c r="A30" s="9" t="s">
        <v>32</v>
      </c>
      <c r="B30" s="32">
        <f>51517+13603</f>
        <v>65120</v>
      </c>
      <c r="C30" s="9">
        <f>September!C30+B30</f>
        <v>113618</v>
      </c>
      <c r="D30" s="33">
        <f>356+394</f>
        <v>750</v>
      </c>
      <c r="E30" s="9">
        <f>September!E30+D30</f>
        <v>9534</v>
      </c>
      <c r="F30" s="35"/>
      <c r="G30" s="9">
        <f>September!G30+F30</f>
        <v>220</v>
      </c>
      <c r="H30" s="19"/>
      <c r="I30" s="9">
        <f>September!I30+H30</f>
        <v>0</v>
      </c>
      <c r="J30" s="24"/>
      <c r="K30" s="9">
        <f>September!K30+J30</f>
        <v>0</v>
      </c>
    </row>
    <row r="31" spans="1:11" s="5" customFormat="1" ht="18" customHeight="1">
      <c r="A31" s="9" t="s">
        <v>33</v>
      </c>
      <c r="B31" s="32">
        <f>530+14874</f>
        <v>15404</v>
      </c>
      <c r="C31" s="9">
        <f>September!C31+B31</f>
        <v>58399</v>
      </c>
      <c r="D31" s="33">
        <f>9+237</f>
        <v>246</v>
      </c>
      <c r="E31" s="9">
        <f>September!E31+D31</f>
        <v>5939</v>
      </c>
      <c r="F31" s="35">
        <v>166</v>
      </c>
      <c r="G31" s="9">
        <f>September!G31+F31</f>
        <v>1589</v>
      </c>
      <c r="H31" s="19"/>
      <c r="I31" s="9">
        <f>September!I31+H31</f>
        <v>0</v>
      </c>
      <c r="J31" s="24"/>
      <c r="K31" s="9">
        <f>September!K31+J31</f>
        <v>0</v>
      </c>
    </row>
    <row r="32" spans="1:11" s="5" customFormat="1" ht="18" customHeight="1">
      <c r="A32" s="9" t="s">
        <v>34</v>
      </c>
      <c r="B32" s="32"/>
      <c r="C32" s="9">
        <f>September!C32+B32</f>
        <v>0</v>
      </c>
      <c r="D32" s="33"/>
      <c r="E32" s="9">
        <f>September!E32+D32</f>
        <v>0</v>
      </c>
      <c r="F32" s="35"/>
      <c r="G32" s="9">
        <f>September!G32+F32</f>
        <v>0</v>
      </c>
      <c r="H32" s="19"/>
      <c r="I32" s="9">
        <f>September!I32+H32</f>
        <v>0</v>
      </c>
      <c r="J32" s="24"/>
      <c r="K32" s="9">
        <f>September!K32+J32</f>
        <v>0</v>
      </c>
    </row>
    <row r="33" spans="1:11" s="5" customFormat="1" ht="18" customHeight="1">
      <c r="A33" s="9" t="s">
        <v>35</v>
      </c>
      <c r="B33" s="32"/>
      <c r="C33" s="9">
        <f>September!C33+B33</f>
        <v>0</v>
      </c>
      <c r="D33" s="33"/>
      <c r="E33" s="9">
        <f>September!E33+D33</f>
        <v>0</v>
      </c>
      <c r="F33" s="35"/>
      <c r="G33" s="9">
        <f>September!G33+F33</f>
        <v>0</v>
      </c>
      <c r="H33" s="19"/>
      <c r="I33" s="9">
        <f>September!I33+H33</f>
        <v>0</v>
      </c>
      <c r="J33" s="24"/>
      <c r="K33" s="9">
        <f>September!K33+J33</f>
        <v>0</v>
      </c>
    </row>
    <row r="34" spans="1:11" s="5" customFormat="1" ht="18" customHeight="1">
      <c r="A34" s="9" t="s">
        <v>36</v>
      </c>
      <c r="B34" s="32"/>
      <c r="C34" s="9">
        <f>September!C34+B34</f>
        <v>0</v>
      </c>
      <c r="D34" s="33"/>
      <c r="E34" s="9">
        <f>September!E34+D34</f>
        <v>0</v>
      </c>
      <c r="F34" s="35"/>
      <c r="G34" s="9">
        <f>September!G34+F34</f>
        <v>0</v>
      </c>
      <c r="H34" s="19"/>
      <c r="I34" s="9">
        <f>September!I34+H34</f>
        <v>0</v>
      </c>
      <c r="J34" s="24"/>
      <c r="K34" s="9">
        <f>September!K34+J34</f>
        <v>0</v>
      </c>
    </row>
    <row r="35" spans="1:11" s="5" customFormat="1" ht="18" customHeight="1">
      <c r="A35" s="9" t="s">
        <v>37</v>
      </c>
      <c r="B35" s="32">
        <f>196+1688</f>
        <v>1884</v>
      </c>
      <c r="C35" s="9">
        <f>September!C35+B35</f>
        <v>6856</v>
      </c>
      <c r="D35" s="33"/>
      <c r="E35" s="9">
        <f>September!E35+D35</f>
        <v>27</v>
      </c>
      <c r="F35" s="35"/>
      <c r="G35" s="9">
        <f>September!G35+F35</f>
        <v>1137</v>
      </c>
      <c r="H35" s="19"/>
      <c r="I35" s="9">
        <f>September!I35+H35</f>
        <v>0</v>
      </c>
      <c r="J35" s="24"/>
      <c r="K35" s="9">
        <f>September!K35+J35</f>
        <v>0</v>
      </c>
    </row>
    <row r="36" spans="1:11" s="5" customFormat="1" ht="18" customHeight="1">
      <c r="A36" s="9" t="s">
        <v>38</v>
      </c>
      <c r="B36" s="32">
        <v>3</v>
      </c>
      <c r="C36" s="9">
        <f>September!C36+B36</f>
        <v>344</v>
      </c>
      <c r="D36" s="33"/>
      <c r="E36" s="9">
        <f>September!E36+D36</f>
        <v>2</v>
      </c>
      <c r="F36" s="35">
        <v>228</v>
      </c>
      <c r="G36" s="9">
        <f>September!G36+F36</f>
        <v>2226</v>
      </c>
      <c r="H36" s="19"/>
      <c r="I36" s="9">
        <f>September!I36+H36</f>
        <v>0</v>
      </c>
      <c r="J36" s="24"/>
      <c r="K36" s="9">
        <f>September!K36+J36</f>
        <v>0</v>
      </c>
    </row>
    <row r="37" spans="1:11" s="5" customFormat="1" ht="18" customHeight="1">
      <c r="A37" s="9" t="s">
        <v>39</v>
      </c>
      <c r="B37" s="32"/>
      <c r="C37" s="9">
        <f>September!C37+B37</f>
        <v>290</v>
      </c>
      <c r="D37" s="33"/>
      <c r="E37" s="9">
        <f>September!E37+D37</f>
        <v>321</v>
      </c>
      <c r="F37" s="35"/>
      <c r="G37" s="9">
        <f>September!G37+F37</f>
        <v>0</v>
      </c>
      <c r="H37" s="19"/>
      <c r="I37" s="9">
        <f>September!I37+H37</f>
        <v>0</v>
      </c>
      <c r="J37" s="24"/>
      <c r="K37" s="9">
        <f>September!K37+J37</f>
        <v>0</v>
      </c>
    </row>
    <row r="38" spans="1:11" s="5" customFormat="1" ht="18" customHeight="1">
      <c r="A38" s="9" t="s">
        <v>40</v>
      </c>
      <c r="B38" s="32">
        <v>8560</v>
      </c>
      <c r="C38" s="9">
        <f>September!C38+B38</f>
        <v>54812</v>
      </c>
      <c r="D38" s="33">
        <v>149</v>
      </c>
      <c r="E38" s="9">
        <f>September!E38+D38</f>
        <v>616</v>
      </c>
      <c r="F38" s="35"/>
      <c r="G38" s="9">
        <f>September!G38+F38</f>
        <v>190</v>
      </c>
      <c r="H38" s="19"/>
      <c r="I38" s="9">
        <f>September!I38+H38</f>
        <v>0</v>
      </c>
      <c r="J38" s="24"/>
      <c r="K38" s="9">
        <f>September!K38+J38</f>
        <v>0</v>
      </c>
    </row>
    <row r="39" spans="1:11" s="5" customFormat="1" ht="18" customHeight="1">
      <c r="A39" s="9" t="s">
        <v>41</v>
      </c>
      <c r="B39" s="32">
        <v>500</v>
      </c>
      <c r="C39" s="9">
        <f>September!C39+B39</f>
        <v>9819</v>
      </c>
      <c r="D39" s="33">
        <f>1+14</f>
        <v>15</v>
      </c>
      <c r="E39" s="9">
        <f>September!E39+D39</f>
        <v>50</v>
      </c>
      <c r="F39" s="35">
        <f>80+156</f>
        <v>236</v>
      </c>
      <c r="G39" s="9">
        <f>September!G39+F39</f>
        <v>530</v>
      </c>
      <c r="H39" s="19"/>
      <c r="I39" s="9">
        <f>September!I39+H39</f>
        <v>0</v>
      </c>
      <c r="J39" s="24"/>
      <c r="K39" s="9">
        <f>September!K39+J39</f>
        <v>0</v>
      </c>
    </row>
    <row r="40" spans="1:11" s="5" customFormat="1" ht="18" customHeight="1">
      <c r="A40" s="9" t="s">
        <v>42</v>
      </c>
      <c r="B40" s="32">
        <v>340</v>
      </c>
      <c r="C40" s="9">
        <f>September!C40+B40</f>
        <v>9548</v>
      </c>
      <c r="D40" s="33">
        <f>3+181</f>
        <v>184</v>
      </c>
      <c r="E40" s="9">
        <f>September!E40+D40</f>
        <v>900</v>
      </c>
      <c r="F40" s="35"/>
      <c r="G40" s="9">
        <f>September!G40+F40</f>
        <v>0</v>
      </c>
      <c r="H40" s="19"/>
      <c r="I40" s="9">
        <f>September!I40+H40</f>
        <v>0</v>
      </c>
      <c r="J40" s="24"/>
      <c r="K40" s="9">
        <f>September!K40+J40</f>
        <v>0</v>
      </c>
    </row>
    <row r="41" spans="1:11" s="5" customFormat="1" ht="18" customHeight="1">
      <c r="A41" s="9" t="s">
        <v>43</v>
      </c>
      <c r="B41" s="32">
        <v>268</v>
      </c>
      <c r="C41" s="9">
        <f>September!C41+B41</f>
        <v>268</v>
      </c>
      <c r="D41" s="33"/>
      <c r="E41" s="9">
        <f>September!E41+D41</f>
        <v>2</v>
      </c>
      <c r="F41" s="35"/>
      <c r="G41" s="9">
        <f>September!G41+F41</f>
        <v>0</v>
      </c>
      <c r="H41" s="19"/>
      <c r="I41" s="9">
        <f>September!I41+H41</f>
        <v>0</v>
      </c>
      <c r="J41" s="24"/>
      <c r="K41" s="9">
        <f>September!K41+J41</f>
        <v>0</v>
      </c>
    </row>
    <row r="42" spans="1:11" s="5" customFormat="1" ht="18" customHeight="1">
      <c r="A42" s="9" t="s">
        <v>44</v>
      </c>
      <c r="B42" s="32"/>
      <c r="C42" s="9">
        <f>September!C42+B42</f>
        <v>1249</v>
      </c>
      <c r="D42" s="33">
        <v>12</v>
      </c>
      <c r="E42" s="9">
        <f>September!E42+D42</f>
        <v>23</v>
      </c>
      <c r="F42" s="35"/>
      <c r="G42" s="9">
        <f>September!G42+F42</f>
        <v>1184</v>
      </c>
      <c r="H42" s="19"/>
      <c r="I42" s="9">
        <f>September!I42+H42</f>
        <v>0</v>
      </c>
      <c r="J42" s="24"/>
      <c r="K42" s="9">
        <f>September!K42+J42</f>
        <v>0</v>
      </c>
    </row>
    <row r="43" spans="1:11" s="5" customFormat="1" ht="18" customHeight="1">
      <c r="A43" s="9" t="s">
        <v>45</v>
      </c>
      <c r="B43" s="32"/>
      <c r="C43" s="9">
        <f>September!C43+B43</f>
        <v>0</v>
      </c>
      <c r="D43" s="33"/>
      <c r="E43" s="9">
        <f>September!E43+D43</f>
        <v>0</v>
      </c>
      <c r="F43" s="35"/>
      <c r="G43" s="9">
        <f>September!G43+F43</f>
        <v>0</v>
      </c>
      <c r="H43" s="19"/>
      <c r="I43" s="9">
        <f>September!I43+H43</f>
        <v>0</v>
      </c>
      <c r="J43" s="24"/>
      <c r="K43" s="9">
        <f>September!K43+J43</f>
        <v>0</v>
      </c>
    </row>
    <row r="44" spans="1:11" s="5" customFormat="1" ht="18" customHeight="1">
      <c r="A44" s="9" t="s">
        <v>46</v>
      </c>
      <c r="B44" s="32"/>
      <c r="C44" s="9">
        <f>September!C44+B44</f>
        <v>561</v>
      </c>
      <c r="D44" s="33"/>
      <c r="E44" s="9">
        <f>September!E44+D44</f>
        <v>5</v>
      </c>
      <c r="F44" s="35"/>
      <c r="G44" s="9">
        <f>September!G44+F44</f>
        <v>14</v>
      </c>
      <c r="H44" s="19"/>
      <c r="I44" s="9">
        <f>September!I44+H44</f>
        <v>0</v>
      </c>
      <c r="J44" s="24"/>
      <c r="K44" s="9">
        <f>September!K44+J44</f>
        <v>0</v>
      </c>
    </row>
    <row r="45" spans="1:11" s="5" customFormat="1" ht="18" customHeight="1">
      <c r="A45" s="9" t="s">
        <v>47</v>
      </c>
      <c r="B45" s="32">
        <f>10464+48125</f>
        <v>58589</v>
      </c>
      <c r="C45" s="9">
        <f>September!C45+B45</f>
        <v>238046</v>
      </c>
      <c r="D45" s="33">
        <f>38+282</f>
        <v>320</v>
      </c>
      <c r="E45" s="9">
        <f>September!E45+D45</f>
        <v>6048</v>
      </c>
      <c r="F45" s="35">
        <v>2</v>
      </c>
      <c r="G45" s="9">
        <f>September!G45+F45</f>
        <v>1274</v>
      </c>
      <c r="H45" s="19"/>
      <c r="I45" s="9">
        <f>September!I45+H45</f>
        <v>0</v>
      </c>
      <c r="J45" s="24"/>
      <c r="K45" s="9">
        <f>September!K45+J45</f>
        <v>0</v>
      </c>
    </row>
    <row r="46" spans="1:11" s="5" customFormat="1" ht="18" customHeight="1">
      <c r="A46" s="9" t="s">
        <v>48</v>
      </c>
      <c r="B46" s="32">
        <f>58+1011</f>
        <v>1069</v>
      </c>
      <c r="C46" s="9">
        <f>September!C46+B46</f>
        <v>12943</v>
      </c>
      <c r="D46" s="33">
        <v>2</v>
      </c>
      <c r="E46" s="9">
        <f>September!E46+D46</f>
        <v>20</v>
      </c>
      <c r="F46" s="35">
        <v>5</v>
      </c>
      <c r="G46" s="9">
        <f>September!G46+F46</f>
        <v>202</v>
      </c>
      <c r="H46" s="19"/>
      <c r="I46" s="9">
        <f>September!I46+H46</f>
        <v>0</v>
      </c>
      <c r="J46" s="24"/>
      <c r="K46" s="9">
        <f>September!K46+J46</f>
        <v>0</v>
      </c>
    </row>
    <row r="47" spans="1:11" s="5" customFormat="1" ht="18" customHeight="1">
      <c r="A47" s="9" t="s">
        <v>49</v>
      </c>
      <c r="B47" s="32">
        <f>2016+685</f>
        <v>2701</v>
      </c>
      <c r="C47" s="9">
        <f>September!C47+B47</f>
        <v>20743</v>
      </c>
      <c r="D47" s="33">
        <f>102+6</f>
        <v>108</v>
      </c>
      <c r="E47" s="9">
        <f>September!E47+D47</f>
        <v>429</v>
      </c>
      <c r="F47" s="35"/>
      <c r="G47" s="9">
        <f>September!G47+F47</f>
        <v>2298</v>
      </c>
      <c r="H47" s="19"/>
      <c r="I47" s="9">
        <f>September!I47+H47</f>
        <v>0</v>
      </c>
      <c r="J47" s="24"/>
      <c r="K47" s="9">
        <f>September!K47+J47</f>
        <v>3</v>
      </c>
    </row>
    <row r="48" spans="1:11" s="5" customFormat="1" ht="18" customHeight="1">
      <c r="A48" s="9" t="s">
        <v>50</v>
      </c>
      <c r="B48" s="32">
        <v>376</v>
      </c>
      <c r="C48" s="9">
        <f>September!C48+B48</f>
        <v>1065</v>
      </c>
      <c r="D48" s="33">
        <v>2</v>
      </c>
      <c r="E48" s="9">
        <f>September!E48+D48</f>
        <v>13</v>
      </c>
      <c r="F48" s="35"/>
      <c r="G48" s="9">
        <f>September!G48+F48</f>
        <v>1715</v>
      </c>
      <c r="H48" s="19"/>
      <c r="I48" s="9">
        <f>September!I48+H48</f>
        <v>0</v>
      </c>
      <c r="J48" s="24"/>
      <c r="K48" s="9">
        <f>September!K48+J48</f>
        <v>0</v>
      </c>
    </row>
    <row r="49" spans="1:11" s="5" customFormat="1" ht="18" customHeight="1">
      <c r="A49" s="9" t="s">
        <v>51</v>
      </c>
      <c r="B49" s="32"/>
      <c r="C49" s="9">
        <f>September!C49+B49</f>
        <v>0</v>
      </c>
      <c r="D49" s="33"/>
      <c r="E49" s="9">
        <f>September!E49+D49</f>
        <v>12</v>
      </c>
      <c r="F49" s="35"/>
      <c r="G49" s="9">
        <f>September!G49+F49</f>
        <v>189</v>
      </c>
      <c r="H49" s="19"/>
      <c r="I49" s="9">
        <f>September!I49+H49</f>
        <v>0</v>
      </c>
      <c r="J49" s="24"/>
      <c r="K49" s="9">
        <f>September!K49+J49</f>
        <v>0</v>
      </c>
    </row>
    <row r="50" spans="1:11" s="5" customFormat="1" ht="18" customHeight="1">
      <c r="A50" s="9" t="s">
        <v>52</v>
      </c>
      <c r="B50" s="32"/>
      <c r="C50" s="9">
        <f>September!C50+B50</f>
        <v>132</v>
      </c>
      <c r="D50" s="33">
        <v>1</v>
      </c>
      <c r="E50" s="9">
        <f>September!E50+D50</f>
        <v>3</v>
      </c>
      <c r="F50" s="35"/>
      <c r="G50" s="9">
        <f>September!G50+F50</f>
        <v>0</v>
      </c>
      <c r="H50" s="19"/>
      <c r="I50" s="9">
        <f>September!I50+H50</f>
        <v>0</v>
      </c>
      <c r="J50" s="24"/>
      <c r="K50" s="9">
        <f>September!K50+J50</f>
        <v>0</v>
      </c>
    </row>
    <row r="51" spans="1:11" s="5" customFormat="1" ht="18" customHeight="1">
      <c r="A51" s="9" t="s">
        <v>53</v>
      </c>
      <c r="B51" s="32">
        <v>1731</v>
      </c>
      <c r="C51" s="9">
        <f>September!C51+B51</f>
        <v>1802</v>
      </c>
      <c r="D51" s="33"/>
      <c r="E51" s="9">
        <f>September!E51+D51</f>
        <v>6</v>
      </c>
      <c r="F51" s="35"/>
      <c r="G51" s="9">
        <f>September!G51+F51</f>
        <v>1</v>
      </c>
      <c r="H51" s="19"/>
      <c r="I51" s="9">
        <f>September!I51+H51</f>
        <v>0</v>
      </c>
      <c r="J51" s="24"/>
      <c r="K51" s="9">
        <f>September!K51+J51</f>
        <v>0</v>
      </c>
    </row>
    <row r="52" spans="1:11" s="5" customFormat="1" ht="18" customHeight="1">
      <c r="A52" s="9" t="s">
        <v>54</v>
      </c>
      <c r="B52" s="32">
        <v>1361</v>
      </c>
      <c r="C52" s="9">
        <f>September!C52+B52</f>
        <v>2821</v>
      </c>
      <c r="D52" s="33"/>
      <c r="E52" s="9">
        <f>September!E52+D52</f>
        <v>6</v>
      </c>
      <c r="F52" s="35"/>
      <c r="G52" s="9">
        <f>September!G52+F52</f>
        <v>0</v>
      </c>
      <c r="H52" s="19"/>
      <c r="I52" s="9">
        <f>September!I52+H52</f>
        <v>0</v>
      </c>
      <c r="J52" s="24"/>
      <c r="K52" s="9">
        <f>September!K52+J52</f>
        <v>0</v>
      </c>
    </row>
    <row r="53" spans="1:11" s="5" customFormat="1" ht="18" customHeight="1">
      <c r="A53" s="9" t="s">
        <v>55</v>
      </c>
      <c r="B53" s="32">
        <v>7533</v>
      </c>
      <c r="C53" s="9">
        <f>September!C53+B53</f>
        <v>53996</v>
      </c>
      <c r="D53" s="33">
        <v>219</v>
      </c>
      <c r="E53" s="9">
        <f>September!E53+D53</f>
        <v>1679</v>
      </c>
      <c r="F53" s="35">
        <v>672</v>
      </c>
      <c r="G53" s="9">
        <f>September!G53+F53</f>
        <v>9571</v>
      </c>
      <c r="H53" s="19"/>
      <c r="I53" s="9">
        <f>September!I53+H53</f>
        <v>0</v>
      </c>
      <c r="J53" s="24"/>
      <c r="K53" s="9">
        <f>September!K53+J53</f>
        <v>0</v>
      </c>
    </row>
    <row r="54" spans="1:11" s="5" customFormat="1" ht="18" customHeight="1" thickBot="1">
      <c r="A54" s="10" t="s">
        <v>56</v>
      </c>
      <c r="B54" s="32">
        <v>6727</v>
      </c>
      <c r="C54" s="9">
        <f>September!C54+B54</f>
        <v>13843</v>
      </c>
      <c r="D54" s="34">
        <v>223</v>
      </c>
      <c r="E54" s="9">
        <f>September!E54+D54</f>
        <v>2274</v>
      </c>
      <c r="F54" s="35"/>
      <c r="G54" s="9">
        <f>September!G54+F54</f>
        <v>1094</v>
      </c>
      <c r="H54" s="19"/>
      <c r="I54" s="9">
        <f>September!I54+H54</f>
        <v>0</v>
      </c>
      <c r="J54" s="25"/>
      <c r="K54" s="9">
        <f>September!K54+J54</f>
        <v>0</v>
      </c>
    </row>
    <row r="55" spans="1:11" s="5" customFormat="1" ht="18" customHeight="1" thickBot="1" thickTop="1">
      <c r="A55" s="11" t="s">
        <v>57</v>
      </c>
      <c r="B55" s="11">
        <f>SUM(B5:B54)</f>
        <v>200243</v>
      </c>
      <c r="C55" s="11"/>
      <c r="D55" s="11">
        <f>SUM(D5:D54)</f>
        <v>2672</v>
      </c>
      <c r="E55" s="11"/>
      <c r="F55" s="11">
        <f>SUM(F5:F54)</f>
        <v>1761</v>
      </c>
      <c r="G55" s="11"/>
      <c r="H55" s="11">
        <f>SUM(H5:H54)</f>
        <v>0</v>
      </c>
      <c r="I55" s="11"/>
      <c r="J55" s="11">
        <f>SUM(J5:J54)</f>
        <v>0</v>
      </c>
      <c r="K55" s="23"/>
    </row>
    <row r="56" spans="1:9" s="5" customFormat="1" ht="18" customHeight="1" thickBot="1" thickTop="1">
      <c r="A56" s="8"/>
      <c r="B56" s="8"/>
      <c r="C56" s="8"/>
      <c r="D56" s="8"/>
      <c r="E56" s="8"/>
      <c r="F56" s="8"/>
      <c r="G56" s="8"/>
      <c r="H56" s="8"/>
      <c r="I56" s="8"/>
    </row>
    <row r="57" spans="1:11" s="5" customFormat="1" ht="18" customHeight="1" thickBot="1" thickTop="1">
      <c r="A57" s="12" t="s">
        <v>58</v>
      </c>
      <c r="B57" s="11"/>
      <c r="C57" s="11">
        <f>September!C57+B55</f>
        <v>904629</v>
      </c>
      <c r="D57" s="11"/>
      <c r="E57" s="11">
        <f>September!E57+D55</f>
        <v>35524</v>
      </c>
      <c r="F57" s="11"/>
      <c r="G57" s="11">
        <f>September!G57+F55</f>
        <v>41587</v>
      </c>
      <c r="H57" s="11"/>
      <c r="I57" s="11">
        <f>September!I57+H55</f>
        <v>0</v>
      </c>
      <c r="J57" s="11"/>
      <c r="K57" s="11">
        <f>September!K57+J55</f>
        <v>259</v>
      </c>
    </row>
    <row r="58" spans="1:13" s="5" customFormat="1" ht="18" customHeight="1" thickTop="1">
      <c r="A58" s="6" t="s">
        <v>75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6" t="s">
        <v>76</v>
      </c>
      <c r="M58" s="31">
        <f>B58+D58+F58</f>
        <v>0</v>
      </c>
    </row>
    <row r="59" s="5" customFormat="1" ht="18" customHeight="1">
      <c r="A59" s="5" t="s">
        <v>59</v>
      </c>
    </row>
    <row r="60" spans="1:6" s="5" customFormat="1" ht="18" customHeight="1">
      <c r="A60" s="5" t="s">
        <v>12</v>
      </c>
      <c r="F60" s="5">
        <v>658</v>
      </c>
    </row>
    <row r="61" s="5" customFormat="1" ht="18" customHeight="1"/>
    <row r="62" spans="1:7" s="4" customFormat="1" ht="18" customHeight="1">
      <c r="A62" s="4" t="s">
        <v>60</v>
      </c>
      <c r="E62" s="4">
        <f>September!E62+D60</f>
        <v>11215</v>
      </c>
      <c r="G62" s="4">
        <f>September!G62+F60</f>
        <v>27213</v>
      </c>
    </row>
    <row r="63" s="5" customFormat="1" ht="18" customHeight="1"/>
    <row r="64" s="5" customFormat="1" ht="18" customHeight="1"/>
  </sheetData>
  <sheetProtection/>
  <mergeCells count="5">
    <mergeCell ref="B3:C3"/>
    <mergeCell ref="D3:E3"/>
    <mergeCell ref="F3:G3"/>
    <mergeCell ref="H3:I3"/>
    <mergeCell ref="J3:K3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P62"/>
  <sheetViews>
    <sheetView zoomScale="110" zoomScaleNormal="110" zoomScalePageLayoutView="0" workbookViewId="0" topLeftCell="A1">
      <pane ySplit="4" topLeftCell="A5" activePane="bottomLeft" state="frozen"/>
      <selection pane="topLeft" activeCell="A1" sqref="A1"/>
      <selection pane="bottomLeft" activeCell="E34" sqref="E34"/>
    </sheetView>
  </sheetViews>
  <sheetFormatPr defaultColWidth="9.00390625" defaultRowHeight="18" customHeight="1"/>
  <cols>
    <col min="1" max="1" width="18.125" style="2" customWidth="1"/>
    <col min="2" max="3" width="9.00390625" style="2" customWidth="1"/>
    <col min="4" max="4" width="9.25390625" style="2" customWidth="1"/>
    <col min="5" max="5" width="7.00390625" style="2" customWidth="1"/>
    <col min="6" max="8" width="9.00390625" style="2" customWidth="1"/>
    <col min="9" max="9" width="12.25390625" style="2" customWidth="1"/>
    <col min="10" max="10" width="7.875" style="2" customWidth="1"/>
    <col min="11" max="14" width="9.00390625" style="2" customWidth="1"/>
    <col min="15" max="16" width="12.25390625" style="2" customWidth="1"/>
    <col min="17" max="16384" width="9.00390625" style="2" customWidth="1"/>
  </cols>
  <sheetData>
    <row r="1" spans="1:8" ht="18" customHeight="1">
      <c r="A1" s="1" t="s">
        <v>77</v>
      </c>
      <c r="F1" s="2" t="s">
        <v>71</v>
      </c>
      <c r="H1" s="2" t="s">
        <v>78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1" s="5" customFormat="1" ht="18" customHeight="1">
      <c r="A3" s="4"/>
      <c r="B3" s="38" t="s">
        <v>0</v>
      </c>
      <c r="C3" s="39"/>
      <c r="D3" s="38" t="s">
        <v>1</v>
      </c>
      <c r="E3" s="39"/>
      <c r="F3" s="38" t="s">
        <v>2</v>
      </c>
      <c r="G3" s="39"/>
      <c r="H3" s="38" t="s">
        <v>3</v>
      </c>
      <c r="I3" s="39"/>
      <c r="J3" s="40" t="s">
        <v>73</v>
      </c>
      <c r="K3" s="41"/>
    </row>
    <row r="4" spans="1:11" s="8" customFormat="1" ht="18" customHeight="1">
      <c r="A4" s="6" t="s">
        <v>4</v>
      </c>
      <c r="B4" s="7" t="s">
        <v>5</v>
      </c>
      <c r="C4" s="7" t="s">
        <v>6</v>
      </c>
      <c r="D4" s="7" t="s">
        <v>5</v>
      </c>
      <c r="E4" s="7" t="s">
        <v>6</v>
      </c>
      <c r="F4" s="7" t="s">
        <v>5</v>
      </c>
      <c r="G4" s="7" t="s">
        <v>6</v>
      </c>
      <c r="H4" s="7" t="s">
        <v>5</v>
      </c>
      <c r="I4" s="7" t="s">
        <v>6</v>
      </c>
      <c r="J4" s="27" t="s">
        <v>5</v>
      </c>
      <c r="K4" s="26" t="s">
        <v>6</v>
      </c>
    </row>
    <row r="5" spans="1:11" s="5" customFormat="1" ht="18" customHeight="1">
      <c r="A5" s="9" t="s">
        <v>7</v>
      </c>
      <c r="B5" s="13"/>
      <c r="C5" s="9">
        <f>October!C5+B5</f>
        <v>581</v>
      </c>
      <c r="D5" s="33">
        <v>2</v>
      </c>
      <c r="E5" s="9">
        <f>October!E5+D5</f>
        <v>4</v>
      </c>
      <c r="F5" s="35"/>
      <c r="G5" s="9">
        <f>October!G5+F5</f>
        <v>0</v>
      </c>
      <c r="H5" s="19"/>
      <c r="I5" s="9">
        <f>October!I5+H5</f>
        <v>0</v>
      </c>
      <c r="J5" s="24"/>
      <c r="K5" s="9">
        <f>October!K5+J5</f>
        <v>0</v>
      </c>
    </row>
    <row r="6" spans="1:11" s="5" customFormat="1" ht="18" customHeight="1">
      <c r="A6" s="9" t="s">
        <v>8</v>
      </c>
      <c r="B6" s="13"/>
      <c r="C6" s="9">
        <f>October!C6+B6</f>
        <v>0</v>
      </c>
      <c r="D6" s="33"/>
      <c r="E6" s="9">
        <f>October!E6+D6</f>
        <v>0</v>
      </c>
      <c r="F6" s="35"/>
      <c r="G6" s="9">
        <f>October!G6+F6</f>
        <v>0</v>
      </c>
      <c r="H6" s="19"/>
      <c r="I6" s="9">
        <f>October!I6+H6</f>
        <v>0</v>
      </c>
      <c r="J6" s="24"/>
      <c r="K6" s="9">
        <f>October!K6+J6</f>
        <v>0</v>
      </c>
    </row>
    <row r="7" spans="1:11" s="5" customFormat="1" ht="18" customHeight="1">
      <c r="A7" s="9" t="s">
        <v>9</v>
      </c>
      <c r="B7" s="13"/>
      <c r="C7" s="9">
        <f>October!C7+B7</f>
        <v>581</v>
      </c>
      <c r="D7" s="33"/>
      <c r="E7" s="9">
        <f>October!E7+D7</f>
        <v>1</v>
      </c>
      <c r="F7" s="35"/>
      <c r="G7" s="9">
        <f>October!G7+F7</f>
        <v>145</v>
      </c>
      <c r="H7" s="19"/>
      <c r="I7" s="9">
        <f>October!I7+H7</f>
        <v>0</v>
      </c>
      <c r="J7" s="24"/>
      <c r="K7" s="9">
        <f>October!K7+J7</f>
        <v>0</v>
      </c>
    </row>
    <row r="8" spans="1:11" s="5" customFormat="1" ht="18" customHeight="1">
      <c r="A8" s="9" t="s">
        <v>10</v>
      </c>
      <c r="B8" s="32">
        <v>234</v>
      </c>
      <c r="C8" s="9">
        <f>October!C8+B8</f>
        <v>4287</v>
      </c>
      <c r="D8" s="33"/>
      <c r="E8" s="9">
        <f>October!E8+D8</f>
        <v>80</v>
      </c>
      <c r="F8" s="35"/>
      <c r="G8" s="9">
        <f>October!G8+F8</f>
        <v>227</v>
      </c>
      <c r="H8" s="19"/>
      <c r="I8" s="9">
        <f>October!I8+H8</f>
        <v>0</v>
      </c>
      <c r="J8" s="24"/>
      <c r="K8" s="9">
        <f>October!K8+J8</f>
        <v>0</v>
      </c>
    </row>
    <row r="9" spans="1:11" s="5" customFormat="1" ht="18" customHeight="1">
      <c r="A9" s="9" t="s">
        <v>11</v>
      </c>
      <c r="B9" s="32">
        <v>200</v>
      </c>
      <c r="C9" s="9">
        <f>October!C9+B9</f>
        <v>4072</v>
      </c>
      <c r="D9" s="33"/>
      <c r="E9" s="9">
        <f>October!E9+D9</f>
        <v>34</v>
      </c>
      <c r="F9" s="35"/>
      <c r="G9" s="9">
        <f>October!G9+F9</f>
        <v>1475</v>
      </c>
      <c r="H9" s="19"/>
      <c r="I9" s="9">
        <f>October!I9+H9</f>
        <v>0</v>
      </c>
      <c r="J9" s="24"/>
      <c r="K9" s="9">
        <f>October!K9+J9</f>
        <v>0</v>
      </c>
    </row>
    <row r="10" spans="1:11" s="5" customFormat="1" ht="18" customHeight="1">
      <c r="A10" s="9" t="s">
        <v>12</v>
      </c>
      <c r="B10" s="32"/>
      <c r="C10" s="9">
        <f>October!C10+B10</f>
        <v>8066</v>
      </c>
      <c r="D10" s="33">
        <v>28</v>
      </c>
      <c r="E10" s="9">
        <f>October!E10+D10</f>
        <v>250</v>
      </c>
      <c r="F10" s="35"/>
      <c r="G10" s="9">
        <f>October!G10+F10</f>
        <v>208</v>
      </c>
      <c r="H10" s="19"/>
      <c r="I10" s="9">
        <f>October!I10+H10</f>
        <v>0</v>
      </c>
      <c r="J10" s="24"/>
      <c r="K10" s="9">
        <f>October!K10+J10</f>
        <v>198</v>
      </c>
    </row>
    <row r="11" spans="1:11" s="5" customFormat="1" ht="18" customHeight="1">
      <c r="A11" s="9" t="s">
        <v>13</v>
      </c>
      <c r="B11" s="32">
        <v>1239</v>
      </c>
      <c r="C11" s="9">
        <f>October!C11+B11</f>
        <v>8188</v>
      </c>
      <c r="D11" s="33">
        <v>2</v>
      </c>
      <c r="E11" s="9">
        <f>October!E11+D11</f>
        <v>157</v>
      </c>
      <c r="F11" s="35"/>
      <c r="G11" s="9">
        <f>October!G11+F11</f>
        <v>170</v>
      </c>
      <c r="H11" s="19"/>
      <c r="I11" s="9">
        <f>October!I11+H11</f>
        <v>0</v>
      </c>
      <c r="J11" s="24"/>
      <c r="K11" s="9">
        <f>October!K11+J11</f>
        <v>0</v>
      </c>
    </row>
    <row r="12" spans="1:11" s="5" customFormat="1" ht="18" customHeight="1">
      <c r="A12" s="9" t="s">
        <v>14</v>
      </c>
      <c r="B12" s="32"/>
      <c r="C12" s="9">
        <f>October!C12+B12</f>
        <v>0</v>
      </c>
      <c r="D12" s="33"/>
      <c r="E12" s="9">
        <f>October!E12+D12</f>
        <v>4</v>
      </c>
      <c r="F12" s="35"/>
      <c r="G12" s="9">
        <f>October!G12+F12</f>
        <v>4</v>
      </c>
      <c r="H12" s="19"/>
      <c r="I12" s="9">
        <f>October!I12+H12</f>
        <v>0</v>
      </c>
      <c r="J12" s="24"/>
      <c r="K12" s="9">
        <f>October!K12+J12</f>
        <v>0</v>
      </c>
    </row>
    <row r="13" spans="1:11" s="5" customFormat="1" ht="18" customHeight="1">
      <c r="A13" s="9" t="s">
        <v>15</v>
      </c>
      <c r="B13" s="32"/>
      <c r="C13" s="9">
        <f>October!C13+B13</f>
        <v>0</v>
      </c>
      <c r="D13" s="33"/>
      <c r="E13" s="9">
        <f>October!E13+D13</f>
        <v>0</v>
      </c>
      <c r="F13" s="35"/>
      <c r="G13" s="9">
        <f>October!G13+F13</f>
        <v>0</v>
      </c>
      <c r="H13" s="19"/>
      <c r="I13" s="9">
        <f>October!I13+H13</f>
        <v>0</v>
      </c>
      <c r="J13" s="24"/>
      <c r="K13" s="9">
        <f>October!K13+J13</f>
        <v>0</v>
      </c>
    </row>
    <row r="14" spans="1:11" s="5" customFormat="1" ht="18" customHeight="1">
      <c r="A14" s="9" t="s">
        <v>16</v>
      </c>
      <c r="B14" s="32">
        <v>301</v>
      </c>
      <c r="C14" s="9">
        <f>October!C14+B14</f>
        <v>5036</v>
      </c>
      <c r="D14" s="33"/>
      <c r="E14" s="9">
        <f>October!E14+D14</f>
        <v>22</v>
      </c>
      <c r="F14" s="35">
        <v>6</v>
      </c>
      <c r="G14" s="9">
        <f>October!G14+F14</f>
        <v>12</v>
      </c>
      <c r="H14" s="19"/>
      <c r="I14" s="9">
        <f>October!I14+H14</f>
        <v>0</v>
      </c>
      <c r="J14" s="24"/>
      <c r="K14" s="9">
        <f>October!K14+J14</f>
        <v>0</v>
      </c>
    </row>
    <row r="15" spans="1:11" s="5" customFormat="1" ht="18" customHeight="1">
      <c r="A15" s="9" t="s">
        <v>17</v>
      </c>
      <c r="B15" s="32">
        <v>768</v>
      </c>
      <c r="C15" s="9">
        <f>October!C15+B15</f>
        <v>5785</v>
      </c>
      <c r="D15" s="33"/>
      <c r="E15" s="9">
        <f>October!E15+D15</f>
        <v>3</v>
      </c>
      <c r="F15" s="35">
        <v>39</v>
      </c>
      <c r="G15" s="9">
        <f>October!G15+F15</f>
        <v>39</v>
      </c>
      <c r="H15" s="19"/>
      <c r="I15" s="9">
        <f>October!I15+H15</f>
        <v>0</v>
      </c>
      <c r="J15" s="24"/>
      <c r="K15" s="9">
        <f>October!K15+J15</f>
        <v>0</v>
      </c>
    </row>
    <row r="16" spans="1:11" s="5" customFormat="1" ht="18" customHeight="1">
      <c r="A16" s="9" t="s">
        <v>18</v>
      </c>
      <c r="B16" s="32"/>
      <c r="C16" s="9">
        <f>October!C16+B16</f>
        <v>0</v>
      </c>
      <c r="D16" s="33"/>
      <c r="E16" s="9">
        <f>October!E16+D16</f>
        <v>0</v>
      </c>
      <c r="F16" s="35"/>
      <c r="G16" s="9">
        <f>October!G16+F16</f>
        <v>0</v>
      </c>
      <c r="H16" s="19"/>
      <c r="I16" s="9">
        <f>October!I16+H16</f>
        <v>0</v>
      </c>
      <c r="J16" s="24"/>
      <c r="K16" s="9">
        <f>October!K16+J16</f>
        <v>0</v>
      </c>
    </row>
    <row r="17" spans="1:11" s="5" customFormat="1" ht="18" customHeight="1">
      <c r="A17" s="9" t="s">
        <v>19</v>
      </c>
      <c r="B17" s="32">
        <v>383</v>
      </c>
      <c r="C17" s="9">
        <f>October!C17+B17</f>
        <v>3978</v>
      </c>
      <c r="D17" s="33"/>
      <c r="E17" s="9">
        <f>October!E17+D17</f>
        <v>567</v>
      </c>
      <c r="F17" s="35"/>
      <c r="G17" s="9">
        <f>October!G17+F17</f>
        <v>197</v>
      </c>
      <c r="H17" s="19"/>
      <c r="I17" s="9">
        <f>October!I17+H17</f>
        <v>0</v>
      </c>
      <c r="J17" s="24"/>
      <c r="K17" s="9">
        <f>October!K17+J17</f>
        <v>0</v>
      </c>
    </row>
    <row r="18" spans="1:11" s="5" customFormat="1" ht="18" customHeight="1">
      <c r="A18" s="9" t="s">
        <v>20</v>
      </c>
      <c r="B18" s="32">
        <v>644</v>
      </c>
      <c r="C18" s="9">
        <f>October!C18+B18</f>
        <v>4769</v>
      </c>
      <c r="D18" s="33">
        <v>43</v>
      </c>
      <c r="E18" s="9">
        <f>October!E18+D18</f>
        <v>825</v>
      </c>
      <c r="F18" s="35">
        <v>7</v>
      </c>
      <c r="G18" s="9">
        <f>October!G18+F18</f>
        <v>640</v>
      </c>
      <c r="H18" s="19"/>
      <c r="I18" s="9">
        <f>October!I18+H18</f>
        <v>0</v>
      </c>
      <c r="J18" s="24"/>
      <c r="K18" s="9">
        <f>October!K18+J18</f>
        <v>0</v>
      </c>
    </row>
    <row r="19" spans="1:11" s="5" customFormat="1" ht="18" customHeight="1">
      <c r="A19" s="9" t="s">
        <v>21</v>
      </c>
      <c r="B19" s="32">
        <v>6907</v>
      </c>
      <c r="C19" s="9">
        <f>October!C19+B19</f>
        <v>39444</v>
      </c>
      <c r="D19" s="33">
        <v>2</v>
      </c>
      <c r="E19" s="9">
        <f>October!E19+D19</f>
        <v>106</v>
      </c>
      <c r="F19" s="35"/>
      <c r="G19" s="9">
        <f>October!G19+F19</f>
        <v>5734</v>
      </c>
      <c r="H19" s="19"/>
      <c r="I19" s="9">
        <f>October!I19+H19</f>
        <v>0</v>
      </c>
      <c r="J19" s="24"/>
      <c r="K19" s="9">
        <f>October!K19+J19</f>
        <v>0</v>
      </c>
    </row>
    <row r="20" spans="1:11" s="5" customFormat="1" ht="18" customHeight="1">
      <c r="A20" s="9" t="s">
        <v>22</v>
      </c>
      <c r="B20" s="32">
        <v>2906</v>
      </c>
      <c r="C20" s="9">
        <f>October!C20+B20</f>
        <v>34047</v>
      </c>
      <c r="D20" s="33">
        <v>71</v>
      </c>
      <c r="E20" s="9">
        <f>October!E20+D20</f>
        <v>1299</v>
      </c>
      <c r="F20" s="35"/>
      <c r="G20" s="9">
        <f>October!G20+F20</f>
        <v>1065</v>
      </c>
      <c r="H20" s="19"/>
      <c r="I20" s="9">
        <f>October!I20+H20</f>
        <v>0</v>
      </c>
      <c r="J20" s="24"/>
      <c r="K20" s="9">
        <f>October!K20+J20</f>
        <v>0</v>
      </c>
    </row>
    <row r="21" spans="1:11" s="5" customFormat="1" ht="18" customHeight="1">
      <c r="A21" s="9" t="s">
        <v>23</v>
      </c>
      <c r="B21" s="32">
        <v>7365</v>
      </c>
      <c r="C21" s="9">
        <f>October!C21+B21</f>
        <v>64363</v>
      </c>
      <c r="D21" s="33">
        <v>12</v>
      </c>
      <c r="E21" s="9">
        <f>October!E21+D21</f>
        <v>1575</v>
      </c>
      <c r="F21" s="35"/>
      <c r="G21" s="9">
        <f>October!G21+F21</f>
        <v>374</v>
      </c>
      <c r="H21" s="19"/>
      <c r="I21" s="9">
        <f>October!I21+H21</f>
        <v>0</v>
      </c>
      <c r="J21" s="24"/>
      <c r="K21" s="9">
        <f>October!K21+J21</f>
        <v>0</v>
      </c>
    </row>
    <row r="22" spans="1:11" s="5" customFormat="1" ht="18" customHeight="1">
      <c r="A22" s="9" t="s">
        <v>24</v>
      </c>
      <c r="B22" s="32"/>
      <c r="C22" s="9">
        <f>October!C22+B22</f>
        <v>0</v>
      </c>
      <c r="D22" s="33"/>
      <c r="E22" s="9">
        <f>October!E22+D22</f>
        <v>0</v>
      </c>
      <c r="F22" s="35"/>
      <c r="G22" s="9">
        <f>October!G22+F22</f>
        <v>0</v>
      </c>
      <c r="H22" s="19"/>
      <c r="I22" s="9">
        <f>October!I22+H22</f>
        <v>0</v>
      </c>
      <c r="J22" s="24"/>
      <c r="K22" s="9">
        <f>October!K22+J22</f>
        <v>0</v>
      </c>
    </row>
    <row r="23" spans="1:11" s="5" customFormat="1" ht="18" customHeight="1">
      <c r="A23" s="9" t="s">
        <v>25</v>
      </c>
      <c r="B23" s="32"/>
      <c r="C23" s="9">
        <f>October!C23+B23</f>
        <v>0</v>
      </c>
      <c r="D23" s="33"/>
      <c r="E23" s="9">
        <f>October!E23+D23</f>
        <v>0</v>
      </c>
      <c r="F23" s="35"/>
      <c r="G23" s="9">
        <f>October!G23+F23</f>
        <v>0</v>
      </c>
      <c r="H23" s="19"/>
      <c r="I23" s="9">
        <f>October!I23+H23</f>
        <v>0</v>
      </c>
      <c r="J23" s="24"/>
      <c r="K23" s="9">
        <f>October!K23+J23</f>
        <v>0</v>
      </c>
    </row>
    <row r="24" spans="1:11" s="5" customFormat="1" ht="18" customHeight="1">
      <c r="A24" s="9" t="s">
        <v>26</v>
      </c>
      <c r="B24" s="32"/>
      <c r="C24" s="9">
        <f>October!C24+B24</f>
        <v>0</v>
      </c>
      <c r="D24" s="33">
        <v>90</v>
      </c>
      <c r="E24" s="9">
        <f>October!E24+D24</f>
        <v>91</v>
      </c>
      <c r="F24" s="35"/>
      <c r="G24" s="9">
        <f>October!G24+F24</f>
        <v>5</v>
      </c>
      <c r="H24" s="19"/>
      <c r="I24" s="9">
        <f>October!I24+H24</f>
        <v>0</v>
      </c>
      <c r="J24" s="24"/>
      <c r="K24" s="9">
        <f>October!K24+J24</f>
        <v>0</v>
      </c>
    </row>
    <row r="25" spans="1:11" s="5" customFormat="1" ht="18" customHeight="1">
      <c r="A25" s="9" t="s">
        <v>27</v>
      </c>
      <c r="B25" s="32"/>
      <c r="C25" s="9">
        <f>October!C25+B25</f>
        <v>0</v>
      </c>
      <c r="D25" s="33"/>
      <c r="E25" s="9">
        <f>October!E25+D25</f>
        <v>0</v>
      </c>
      <c r="F25" s="35"/>
      <c r="G25" s="9">
        <f>October!G25+F25</f>
        <v>0</v>
      </c>
      <c r="H25" s="19"/>
      <c r="I25" s="9">
        <f>October!I25+H25</f>
        <v>0</v>
      </c>
      <c r="J25" s="24"/>
      <c r="K25" s="9">
        <f>October!K25+J25</f>
        <v>0</v>
      </c>
    </row>
    <row r="26" spans="1:11" s="5" customFormat="1" ht="18" customHeight="1">
      <c r="A26" s="9" t="s">
        <v>28</v>
      </c>
      <c r="B26" s="32">
        <v>3045</v>
      </c>
      <c r="C26" s="9">
        <f>October!C26+B26</f>
        <v>38056</v>
      </c>
      <c r="D26" s="33">
        <v>46</v>
      </c>
      <c r="E26" s="9">
        <f>October!E26+D26</f>
        <v>112</v>
      </c>
      <c r="F26" s="35">
        <v>66</v>
      </c>
      <c r="G26" s="9">
        <f>October!G26+F26</f>
        <v>153</v>
      </c>
      <c r="H26" s="19"/>
      <c r="I26" s="9">
        <f>October!I26+H26</f>
        <v>0</v>
      </c>
      <c r="J26" s="24"/>
      <c r="K26" s="9">
        <f>October!K26+J26</f>
        <v>0</v>
      </c>
    </row>
    <row r="27" spans="1:11" s="5" customFormat="1" ht="18" customHeight="1">
      <c r="A27" s="9" t="s">
        <v>29</v>
      </c>
      <c r="B27" s="32">
        <v>26177</v>
      </c>
      <c r="C27" s="9">
        <f>October!C27+B27</f>
        <v>48768</v>
      </c>
      <c r="D27" s="33">
        <v>165</v>
      </c>
      <c r="E27" s="9">
        <f>October!E27+D27</f>
        <v>1361</v>
      </c>
      <c r="F27" s="35">
        <v>361</v>
      </c>
      <c r="G27" s="9">
        <f>October!G27+F27</f>
        <v>6141</v>
      </c>
      <c r="H27" s="19"/>
      <c r="I27" s="9">
        <f>October!I27+H27</f>
        <v>0</v>
      </c>
      <c r="J27" s="24"/>
      <c r="K27" s="9">
        <f>October!K27+J27</f>
        <v>0</v>
      </c>
    </row>
    <row r="28" spans="1:11" s="5" customFormat="1" ht="18" customHeight="1">
      <c r="A28" s="9" t="s">
        <v>30</v>
      </c>
      <c r="B28" s="32"/>
      <c r="C28" s="9">
        <f>October!C28+B28</f>
        <v>1607</v>
      </c>
      <c r="D28" s="33"/>
      <c r="E28" s="9">
        <f>October!E28+D28</f>
        <v>10</v>
      </c>
      <c r="F28" s="35"/>
      <c r="G28" s="9">
        <f>October!G28+F28</f>
        <v>0</v>
      </c>
      <c r="H28" s="19"/>
      <c r="I28" s="9">
        <f>October!I28+H28</f>
        <v>0</v>
      </c>
      <c r="J28" s="24"/>
      <c r="K28" s="9">
        <f>October!K28+J28</f>
        <v>0</v>
      </c>
    </row>
    <row r="29" spans="1:11" s="5" customFormat="1" ht="18" customHeight="1">
      <c r="A29" s="9" t="s">
        <v>31</v>
      </c>
      <c r="B29" s="32">
        <v>4195</v>
      </c>
      <c r="C29" s="9">
        <f>October!C29+B29</f>
        <v>86210</v>
      </c>
      <c r="D29" s="33">
        <v>15</v>
      </c>
      <c r="E29" s="9">
        <f>October!E29+D29</f>
        <v>1590</v>
      </c>
      <c r="F29" s="35"/>
      <c r="G29" s="9">
        <f>October!G29+F29</f>
        <v>2043</v>
      </c>
      <c r="H29" s="19"/>
      <c r="I29" s="9">
        <f>October!I29+H29</f>
        <v>0</v>
      </c>
      <c r="J29" s="24"/>
      <c r="K29" s="9">
        <f>October!K29+J29</f>
        <v>58</v>
      </c>
    </row>
    <row r="30" spans="1:11" s="5" customFormat="1" ht="18" customHeight="1">
      <c r="A30" s="9" t="s">
        <v>32</v>
      </c>
      <c r="B30" s="32">
        <v>60640</v>
      </c>
      <c r="C30" s="9">
        <f>October!C30+B30</f>
        <v>174258</v>
      </c>
      <c r="D30" s="33">
        <v>323</v>
      </c>
      <c r="E30" s="9">
        <f>October!E30+D30</f>
        <v>9857</v>
      </c>
      <c r="F30" s="35"/>
      <c r="G30" s="9">
        <f>October!G30+F30</f>
        <v>220</v>
      </c>
      <c r="H30" s="19"/>
      <c r="I30" s="9">
        <f>October!I30+H30</f>
        <v>0</v>
      </c>
      <c r="J30" s="24"/>
      <c r="K30" s="9">
        <f>October!K30+J30</f>
        <v>0</v>
      </c>
    </row>
    <row r="31" spans="1:11" s="5" customFormat="1" ht="18" customHeight="1">
      <c r="A31" s="9" t="s">
        <v>33</v>
      </c>
      <c r="B31" s="32">
        <v>11013</v>
      </c>
      <c r="C31" s="9">
        <f>October!C31+B31</f>
        <v>69412</v>
      </c>
      <c r="D31" s="33">
        <v>1200</v>
      </c>
      <c r="E31" s="9">
        <f>October!E31+D31</f>
        <v>7139</v>
      </c>
      <c r="F31" s="35"/>
      <c r="G31" s="9">
        <f>October!G31+F31</f>
        <v>1589</v>
      </c>
      <c r="H31" s="19"/>
      <c r="I31" s="9">
        <f>October!I31+H31</f>
        <v>0</v>
      </c>
      <c r="J31" s="24"/>
      <c r="K31" s="9">
        <f>October!K31+J31</f>
        <v>0</v>
      </c>
    </row>
    <row r="32" spans="1:11" s="5" customFormat="1" ht="18" customHeight="1">
      <c r="A32" s="9" t="s">
        <v>34</v>
      </c>
      <c r="B32" s="32"/>
      <c r="C32" s="9">
        <f>October!C32+B32</f>
        <v>0</v>
      </c>
      <c r="D32" s="33"/>
      <c r="E32" s="9">
        <f>October!E32+D32</f>
        <v>0</v>
      </c>
      <c r="F32" s="35"/>
      <c r="G32" s="9">
        <f>October!G32+F32</f>
        <v>0</v>
      </c>
      <c r="H32" s="19"/>
      <c r="I32" s="9">
        <f>October!I32+H32</f>
        <v>0</v>
      </c>
      <c r="J32" s="24"/>
      <c r="K32" s="9">
        <f>October!K32+J32</f>
        <v>0</v>
      </c>
    </row>
    <row r="33" spans="1:11" s="5" customFormat="1" ht="18" customHeight="1">
      <c r="A33" s="9" t="s">
        <v>35</v>
      </c>
      <c r="B33" s="32"/>
      <c r="C33" s="9">
        <f>October!C33+B33</f>
        <v>0</v>
      </c>
      <c r="D33" s="33"/>
      <c r="E33" s="9">
        <f>October!E33+D33</f>
        <v>0</v>
      </c>
      <c r="F33" s="35"/>
      <c r="G33" s="9">
        <f>October!G33+F33</f>
        <v>0</v>
      </c>
      <c r="H33" s="19"/>
      <c r="I33" s="9">
        <f>October!I33+H33</f>
        <v>0</v>
      </c>
      <c r="J33" s="24"/>
      <c r="K33" s="9">
        <f>October!K33+J33</f>
        <v>0</v>
      </c>
    </row>
    <row r="34" spans="1:11" s="5" customFormat="1" ht="18" customHeight="1">
      <c r="A34" s="9" t="s">
        <v>36</v>
      </c>
      <c r="B34" s="32"/>
      <c r="C34" s="9">
        <f>October!C34+B34</f>
        <v>0</v>
      </c>
      <c r="D34" s="33"/>
      <c r="E34" s="9">
        <f>October!E34+D34</f>
        <v>0</v>
      </c>
      <c r="F34" s="35"/>
      <c r="G34" s="9">
        <f>October!G34+F34</f>
        <v>0</v>
      </c>
      <c r="H34" s="19"/>
      <c r="I34" s="9">
        <f>October!I34+H34</f>
        <v>0</v>
      </c>
      <c r="J34" s="24"/>
      <c r="K34" s="9">
        <f>October!K34+J34</f>
        <v>0</v>
      </c>
    </row>
    <row r="35" spans="1:11" s="5" customFormat="1" ht="18" customHeight="1">
      <c r="A35" s="9" t="s">
        <v>37</v>
      </c>
      <c r="B35" s="32">
        <v>1230</v>
      </c>
      <c r="C35" s="9">
        <f>October!C35+B35</f>
        <v>8086</v>
      </c>
      <c r="D35" s="33"/>
      <c r="E35" s="9">
        <f>October!E35+D35</f>
        <v>27</v>
      </c>
      <c r="F35" s="35"/>
      <c r="G35" s="9">
        <f>October!G35+F35</f>
        <v>1137</v>
      </c>
      <c r="H35" s="19"/>
      <c r="I35" s="9">
        <f>October!I35+H35</f>
        <v>0</v>
      </c>
      <c r="J35" s="24"/>
      <c r="K35" s="9">
        <f>October!K35+J35</f>
        <v>0</v>
      </c>
    </row>
    <row r="36" spans="1:11" s="5" customFormat="1" ht="18" customHeight="1">
      <c r="A36" s="9" t="s">
        <v>38</v>
      </c>
      <c r="B36" s="32">
        <v>7093</v>
      </c>
      <c r="C36" s="9">
        <f>October!C36+B36</f>
        <v>7437</v>
      </c>
      <c r="D36" s="33"/>
      <c r="E36" s="9">
        <f>October!E36+D36</f>
        <v>2</v>
      </c>
      <c r="F36" s="35">
        <v>191</v>
      </c>
      <c r="G36" s="9">
        <f>October!G36+F36</f>
        <v>2417</v>
      </c>
      <c r="H36" s="19"/>
      <c r="I36" s="9">
        <f>October!I36+H36</f>
        <v>0</v>
      </c>
      <c r="J36" s="24"/>
      <c r="K36" s="9">
        <f>October!K36+J36</f>
        <v>0</v>
      </c>
    </row>
    <row r="37" spans="1:11" s="5" customFormat="1" ht="18" customHeight="1">
      <c r="A37" s="9" t="s">
        <v>39</v>
      </c>
      <c r="B37" s="32"/>
      <c r="C37" s="9">
        <f>October!C37+B37</f>
        <v>290</v>
      </c>
      <c r="D37" s="33"/>
      <c r="E37" s="9">
        <f>October!E37+D37</f>
        <v>321</v>
      </c>
      <c r="F37" s="35"/>
      <c r="G37" s="9">
        <f>October!G37+F37</f>
        <v>0</v>
      </c>
      <c r="H37" s="19"/>
      <c r="I37" s="9">
        <f>October!I37+H37</f>
        <v>0</v>
      </c>
      <c r="J37" s="24"/>
      <c r="K37" s="9">
        <f>October!K37+J37</f>
        <v>0</v>
      </c>
    </row>
    <row r="38" spans="1:11" s="5" customFormat="1" ht="18" customHeight="1">
      <c r="A38" s="9" t="s">
        <v>40</v>
      </c>
      <c r="B38" s="32">
        <v>22554</v>
      </c>
      <c r="C38" s="9">
        <f>October!C38+B38</f>
        <v>77366</v>
      </c>
      <c r="D38" s="33">
        <v>107</v>
      </c>
      <c r="E38" s="9">
        <f>October!E38+D38</f>
        <v>723</v>
      </c>
      <c r="F38" s="35"/>
      <c r="G38" s="9">
        <f>October!G38+F38</f>
        <v>190</v>
      </c>
      <c r="H38" s="19"/>
      <c r="I38" s="9">
        <f>October!I38+H38</f>
        <v>0</v>
      </c>
      <c r="J38" s="24"/>
      <c r="K38" s="9">
        <f>October!K38+J38</f>
        <v>0</v>
      </c>
    </row>
    <row r="39" spans="1:11" s="5" customFormat="1" ht="18" customHeight="1">
      <c r="A39" s="9" t="s">
        <v>41</v>
      </c>
      <c r="B39" s="32">
        <v>140</v>
      </c>
      <c r="C39" s="9">
        <f>October!C39+B39</f>
        <v>9959</v>
      </c>
      <c r="D39" s="33">
        <v>16</v>
      </c>
      <c r="E39" s="9">
        <f>October!E39+D39</f>
        <v>66</v>
      </c>
      <c r="F39" s="35">
        <v>72</v>
      </c>
      <c r="G39" s="9">
        <f>October!G39+F39</f>
        <v>602</v>
      </c>
      <c r="H39" s="19"/>
      <c r="I39" s="9">
        <f>October!I39+H39</f>
        <v>0</v>
      </c>
      <c r="J39" s="24"/>
      <c r="K39" s="9">
        <f>October!K39+J39</f>
        <v>0</v>
      </c>
    </row>
    <row r="40" spans="1:11" s="5" customFormat="1" ht="18" customHeight="1">
      <c r="A40" s="9" t="s">
        <v>42</v>
      </c>
      <c r="B40" s="32">
        <v>884</v>
      </c>
      <c r="C40" s="9">
        <f>October!C40+B40</f>
        <v>10432</v>
      </c>
      <c r="D40" s="33">
        <v>11</v>
      </c>
      <c r="E40" s="9">
        <f>October!E40+D40</f>
        <v>911</v>
      </c>
      <c r="F40" s="35"/>
      <c r="G40" s="9">
        <f>October!G40+F40</f>
        <v>0</v>
      </c>
      <c r="H40" s="19"/>
      <c r="I40" s="9">
        <f>October!I40+H40</f>
        <v>0</v>
      </c>
      <c r="J40" s="24"/>
      <c r="K40" s="9">
        <f>October!K40+J40</f>
        <v>0</v>
      </c>
    </row>
    <row r="41" spans="1:11" s="5" customFormat="1" ht="18" customHeight="1">
      <c r="A41" s="9" t="s">
        <v>43</v>
      </c>
      <c r="B41" s="32">
        <v>280</v>
      </c>
      <c r="C41" s="9">
        <f>October!C41+B41</f>
        <v>548</v>
      </c>
      <c r="D41" s="33"/>
      <c r="E41" s="9">
        <f>October!E41+D41</f>
        <v>2</v>
      </c>
      <c r="F41" s="35"/>
      <c r="G41" s="9">
        <f>October!G41+F41</f>
        <v>0</v>
      </c>
      <c r="H41" s="19"/>
      <c r="I41" s="9">
        <f>October!I41+H41</f>
        <v>0</v>
      </c>
      <c r="J41" s="24"/>
      <c r="K41" s="9">
        <f>October!K41+J41</f>
        <v>0</v>
      </c>
    </row>
    <row r="42" spans="1:11" s="5" customFormat="1" ht="18" customHeight="1">
      <c r="A42" s="9" t="s">
        <v>44</v>
      </c>
      <c r="B42" s="32"/>
      <c r="C42" s="9">
        <f>October!C42+B42</f>
        <v>1249</v>
      </c>
      <c r="D42" s="33"/>
      <c r="E42" s="9">
        <f>October!E42+D42</f>
        <v>23</v>
      </c>
      <c r="F42" s="35">
        <v>37</v>
      </c>
      <c r="G42" s="9">
        <f>October!G42+F42</f>
        <v>1221</v>
      </c>
      <c r="H42" s="19"/>
      <c r="I42" s="9">
        <f>October!I42+H42</f>
        <v>0</v>
      </c>
      <c r="J42" s="24"/>
      <c r="K42" s="9">
        <f>October!K42+J42</f>
        <v>0</v>
      </c>
    </row>
    <row r="43" spans="1:11" s="5" customFormat="1" ht="18" customHeight="1">
      <c r="A43" s="9" t="s">
        <v>45</v>
      </c>
      <c r="B43" s="32"/>
      <c r="C43" s="9">
        <f>October!C43+B43</f>
        <v>0</v>
      </c>
      <c r="D43" s="33"/>
      <c r="E43" s="9">
        <f>October!E43+D43</f>
        <v>0</v>
      </c>
      <c r="F43" s="35"/>
      <c r="G43" s="9">
        <f>October!G43+F43</f>
        <v>0</v>
      </c>
      <c r="H43" s="19"/>
      <c r="I43" s="9">
        <f>October!I43+H43</f>
        <v>0</v>
      </c>
      <c r="J43" s="24"/>
      <c r="K43" s="9">
        <f>October!K43+J43</f>
        <v>0</v>
      </c>
    </row>
    <row r="44" spans="1:11" s="5" customFormat="1" ht="18" customHeight="1">
      <c r="A44" s="9" t="s">
        <v>46</v>
      </c>
      <c r="B44" s="32"/>
      <c r="C44" s="9">
        <f>October!C44+B44</f>
        <v>561</v>
      </c>
      <c r="D44" s="33"/>
      <c r="E44" s="9">
        <f>October!E44+D44</f>
        <v>5</v>
      </c>
      <c r="F44" s="35"/>
      <c r="G44" s="9">
        <f>October!G44+F44</f>
        <v>14</v>
      </c>
      <c r="H44" s="19"/>
      <c r="I44" s="9">
        <f>October!I44+H44</f>
        <v>0</v>
      </c>
      <c r="J44" s="24"/>
      <c r="K44" s="9">
        <f>October!K44+J44</f>
        <v>0</v>
      </c>
    </row>
    <row r="45" spans="1:11" s="5" customFormat="1" ht="18" customHeight="1">
      <c r="A45" s="9" t="s">
        <v>47</v>
      </c>
      <c r="B45" s="32">
        <v>49356</v>
      </c>
      <c r="C45" s="9">
        <f>October!C45+B45</f>
        <v>287402</v>
      </c>
      <c r="D45" s="33">
        <v>730</v>
      </c>
      <c r="E45" s="9">
        <f>October!E45+D45</f>
        <v>6778</v>
      </c>
      <c r="F45" s="35">
        <v>84</v>
      </c>
      <c r="G45" s="9">
        <f>October!G45+F45</f>
        <v>1358</v>
      </c>
      <c r="H45" s="19"/>
      <c r="I45" s="9">
        <f>October!I45+H45</f>
        <v>0</v>
      </c>
      <c r="J45" s="24"/>
      <c r="K45" s="9">
        <f>October!K45+J45</f>
        <v>0</v>
      </c>
    </row>
    <row r="46" spans="1:11" s="5" customFormat="1" ht="18" customHeight="1">
      <c r="A46" s="9" t="s">
        <v>48</v>
      </c>
      <c r="B46" s="32">
        <v>1052</v>
      </c>
      <c r="C46" s="9">
        <f>October!C46+B46</f>
        <v>13995</v>
      </c>
      <c r="D46" s="33"/>
      <c r="E46" s="9">
        <f>October!E46+D46</f>
        <v>20</v>
      </c>
      <c r="F46" s="35"/>
      <c r="G46" s="9">
        <f>October!G46+F46</f>
        <v>202</v>
      </c>
      <c r="H46" s="19"/>
      <c r="I46" s="9">
        <f>October!I46+H46</f>
        <v>0</v>
      </c>
      <c r="J46" s="24"/>
      <c r="K46" s="9">
        <f>October!K46+J46</f>
        <v>0</v>
      </c>
    </row>
    <row r="47" spans="1:11" s="5" customFormat="1" ht="18" customHeight="1">
      <c r="A47" s="9" t="s">
        <v>49</v>
      </c>
      <c r="B47" s="32">
        <v>2486</v>
      </c>
      <c r="C47" s="9">
        <f>October!C47+B47</f>
        <v>23229</v>
      </c>
      <c r="D47" s="33">
        <v>153</v>
      </c>
      <c r="E47" s="9">
        <f>October!E47+D47</f>
        <v>582</v>
      </c>
      <c r="F47" s="35">
        <v>42</v>
      </c>
      <c r="G47" s="9">
        <f>October!G47+F47</f>
        <v>2340</v>
      </c>
      <c r="H47" s="19"/>
      <c r="I47" s="9">
        <f>October!I47+H47</f>
        <v>0</v>
      </c>
      <c r="J47" s="24"/>
      <c r="K47" s="9">
        <f>October!K47+J47</f>
        <v>3</v>
      </c>
    </row>
    <row r="48" spans="1:11" s="5" customFormat="1" ht="18" customHeight="1">
      <c r="A48" s="9" t="s">
        <v>50</v>
      </c>
      <c r="B48" s="32">
        <v>1001</v>
      </c>
      <c r="C48" s="9">
        <f>October!C48+B48</f>
        <v>2066</v>
      </c>
      <c r="D48" s="33"/>
      <c r="E48" s="9">
        <f>October!E48+D48</f>
        <v>13</v>
      </c>
      <c r="F48" s="35"/>
      <c r="G48" s="9">
        <f>October!G48+F48</f>
        <v>1715</v>
      </c>
      <c r="H48" s="19"/>
      <c r="I48" s="9">
        <f>October!I48+H48</f>
        <v>0</v>
      </c>
      <c r="J48" s="24"/>
      <c r="K48" s="9">
        <f>October!K48+J48</f>
        <v>0</v>
      </c>
    </row>
    <row r="49" spans="1:11" s="5" customFormat="1" ht="18" customHeight="1">
      <c r="A49" s="9" t="s">
        <v>51</v>
      </c>
      <c r="B49" s="32"/>
      <c r="C49" s="9">
        <f>October!C49+B49</f>
        <v>0</v>
      </c>
      <c r="D49" s="33"/>
      <c r="E49" s="9">
        <f>October!E49+D49</f>
        <v>12</v>
      </c>
      <c r="F49" s="35"/>
      <c r="G49" s="9">
        <f>October!G49+F49</f>
        <v>189</v>
      </c>
      <c r="H49" s="19"/>
      <c r="I49" s="9">
        <f>October!I49+H49</f>
        <v>0</v>
      </c>
      <c r="J49" s="24"/>
      <c r="K49" s="9">
        <f>October!K49+J49</f>
        <v>0</v>
      </c>
    </row>
    <row r="50" spans="1:11" s="5" customFormat="1" ht="18" customHeight="1">
      <c r="A50" s="9" t="s">
        <v>52</v>
      </c>
      <c r="B50" s="32">
        <v>205</v>
      </c>
      <c r="C50" s="9">
        <f>October!C50+B50</f>
        <v>337</v>
      </c>
      <c r="D50" s="33"/>
      <c r="E50" s="9">
        <f>October!E50+D50</f>
        <v>3</v>
      </c>
      <c r="F50" s="35"/>
      <c r="G50" s="9">
        <f>October!G50+F50</f>
        <v>0</v>
      </c>
      <c r="H50" s="19"/>
      <c r="I50" s="9">
        <f>October!I50+H50</f>
        <v>0</v>
      </c>
      <c r="J50" s="24"/>
      <c r="K50" s="9">
        <f>October!K50+J50</f>
        <v>0</v>
      </c>
    </row>
    <row r="51" spans="1:11" s="5" customFormat="1" ht="18" customHeight="1">
      <c r="A51" s="9" t="s">
        <v>53</v>
      </c>
      <c r="B51" s="32"/>
      <c r="C51" s="9">
        <f>October!C51+B51</f>
        <v>1802</v>
      </c>
      <c r="D51" s="33">
        <v>1</v>
      </c>
      <c r="E51" s="9">
        <f>October!E51+D51</f>
        <v>7</v>
      </c>
      <c r="F51" s="35"/>
      <c r="G51" s="9">
        <f>October!G51+F51</f>
        <v>1</v>
      </c>
      <c r="H51" s="19"/>
      <c r="I51" s="9">
        <f>October!I51+H51</f>
        <v>0</v>
      </c>
      <c r="J51" s="24"/>
      <c r="K51" s="9">
        <f>October!K51+J51</f>
        <v>0</v>
      </c>
    </row>
    <row r="52" spans="1:11" s="5" customFormat="1" ht="18" customHeight="1">
      <c r="A52" s="9" t="s">
        <v>54</v>
      </c>
      <c r="B52" s="32">
        <v>340</v>
      </c>
      <c r="C52" s="9">
        <f>October!C52+B52</f>
        <v>3161</v>
      </c>
      <c r="D52" s="33"/>
      <c r="E52" s="9">
        <f>October!E52+D52</f>
        <v>6</v>
      </c>
      <c r="F52" s="35"/>
      <c r="G52" s="9">
        <f>October!G52+F52</f>
        <v>0</v>
      </c>
      <c r="H52" s="19"/>
      <c r="I52" s="9">
        <f>October!I52+H52</f>
        <v>0</v>
      </c>
      <c r="J52" s="24"/>
      <c r="K52" s="9">
        <f>October!K52+J52</f>
        <v>0</v>
      </c>
    </row>
    <row r="53" spans="1:11" s="5" customFormat="1" ht="18" customHeight="1">
      <c r="A53" s="9" t="s">
        <v>55</v>
      </c>
      <c r="B53" s="32">
        <v>9928</v>
      </c>
      <c r="C53" s="9">
        <f>October!C53+B53</f>
        <v>63924</v>
      </c>
      <c r="D53" s="33">
        <v>389</v>
      </c>
      <c r="E53" s="9">
        <f>October!E53+D53</f>
        <v>2068</v>
      </c>
      <c r="F53" s="35">
        <v>931</v>
      </c>
      <c r="G53" s="9">
        <f>October!G53+F53</f>
        <v>10502</v>
      </c>
      <c r="H53" s="19"/>
      <c r="I53" s="9">
        <f>October!I53+H53</f>
        <v>0</v>
      </c>
      <c r="J53" s="24"/>
      <c r="K53" s="9">
        <f>October!K53+J53</f>
        <v>0</v>
      </c>
    </row>
    <row r="54" spans="1:11" s="5" customFormat="1" ht="18" customHeight="1" thickBot="1">
      <c r="A54" s="10" t="s">
        <v>56</v>
      </c>
      <c r="B54" s="32">
        <v>8727</v>
      </c>
      <c r="C54" s="9">
        <f>October!C54+B54</f>
        <v>22570</v>
      </c>
      <c r="D54" s="34">
        <v>470</v>
      </c>
      <c r="E54" s="9">
        <f>October!E54+D54</f>
        <v>2744</v>
      </c>
      <c r="F54" s="17"/>
      <c r="G54" s="9">
        <f>October!G54+F54</f>
        <v>1094</v>
      </c>
      <c r="H54" s="19"/>
      <c r="I54" s="9">
        <f>October!I54+H54</f>
        <v>0</v>
      </c>
      <c r="J54" s="25"/>
      <c r="K54" s="9">
        <f>October!K54+J54</f>
        <v>0</v>
      </c>
    </row>
    <row r="55" spans="1:11" s="5" customFormat="1" ht="18" customHeight="1" thickBot="1" thickTop="1">
      <c r="A55" s="11" t="s">
        <v>57</v>
      </c>
      <c r="B55" s="11">
        <f>SUM(B5:B54)</f>
        <v>231293</v>
      </c>
      <c r="C55" s="11"/>
      <c r="D55" s="11">
        <f>SUM(D5:D54)</f>
        <v>3876</v>
      </c>
      <c r="E55" s="11"/>
      <c r="F55" s="11">
        <f>SUM(F5:F54)</f>
        <v>1836</v>
      </c>
      <c r="G55" s="11"/>
      <c r="H55" s="11">
        <f>SUM(H5:H54)</f>
        <v>0</v>
      </c>
      <c r="I55" s="11"/>
      <c r="J55" s="11">
        <f>SUM(J5:J54)</f>
        <v>0</v>
      </c>
      <c r="K55" s="23"/>
    </row>
    <row r="56" spans="1:9" s="5" customFormat="1" ht="18" customHeight="1" thickBot="1" thickTop="1">
      <c r="A56" s="8"/>
      <c r="B56" s="8"/>
      <c r="C56" s="8"/>
      <c r="D56" s="8"/>
      <c r="E56" s="8"/>
      <c r="F56" s="8"/>
      <c r="G56" s="8"/>
      <c r="H56" s="8"/>
      <c r="I56" s="8"/>
    </row>
    <row r="57" spans="1:11" s="5" customFormat="1" ht="18" customHeight="1" thickBot="1" thickTop="1">
      <c r="A57" s="12" t="s">
        <v>58</v>
      </c>
      <c r="B57" s="11"/>
      <c r="C57" s="11">
        <f>October!C57+B55</f>
        <v>1135922</v>
      </c>
      <c r="D57" s="11"/>
      <c r="E57" s="11">
        <f>October!E57+D55</f>
        <v>39400</v>
      </c>
      <c r="F57" s="11"/>
      <c r="G57" s="11">
        <f>October!G57+F55</f>
        <v>43423</v>
      </c>
      <c r="H57" s="11"/>
      <c r="I57" s="11">
        <f>October!I57+H55</f>
        <v>0</v>
      </c>
      <c r="J57" s="11"/>
      <c r="K57" s="11">
        <f>October!K57+J55</f>
        <v>259</v>
      </c>
    </row>
    <row r="58" spans="1:13" s="5" customFormat="1" ht="18" customHeight="1" thickTop="1">
      <c r="A58" s="6" t="s">
        <v>75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6" t="s">
        <v>76</v>
      </c>
      <c r="M58" s="31">
        <f>B58+D58+F58</f>
        <v>0</v>
      </c>
    </row>
    <row r="59" s="5" customFormat="1" ht="18" customHeight="1">
      <c r="A59" s="5" t="s">
        <v>59</v>
      </c>
    </row>
    <row r="60" spans="1:6" s="5" customFormat="1" ht="18" customHeight="1">
      <c r="A60" s="5" t="s">
        <v>12</v>
      </c>
      <c r="F60" s="5">
        <v>4118</v>
      </c>
    </row>
    <row r="61" s="5" customFormat="1" ht="18" customHeight="1"/>
    <row r="62" spans="1:7" s="4" customFormat="1" ht="18" customHeight="1">
      <c r="A62" s="4" t="s">
        <v>60</v>
      </c>
      <c r="E62" s="4">
        <f>October!E62+D60</f>
        <v>11215</v>
      </c>
      <c r="G62" s="4">
        <f>October!G62+F60</f>
        <v>31331</v>
      </c>
    </row>
    <row r="63" s="5" customFormat="1" ht="18" customHeight="1"/>
    <row r="64" s="5" customFormat="1" ht="18" customHeight="1"/>
  </sheetData>
  <sheetProtection/>
  <mergeCells count="5">
    <mergeCell ref="B3:C3"/>
    <mergeCell ref="D3:E3"/>
    <mergeCell ref="F3:G3"/>
    <mergeCell ref="H3:I3"/>
    <mergeCell ref="J3:K3"/>
  </mergeCells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P62"/>
  <sheetViews>
    <sheetView zoomScale="110" zoomScaleNormal="110" zoomScalePageLayoutView="0" workbookViewId="0" topLeftCell="A1">
      <selection activeCell="B11" sqref="B11"/>
    </sheetView>
  </sheetViews>
  <sheetFormatPr defaultColWidth="9.00390625" defaultRowHeight="18" customHeight="1"/>
  <cols>
    <col min="1" max="1" width="18.125" style="2" customWidth="1"/>
    <col min="2" max="3" width="9.00390625" style="2" customWidth="1"/>
    <col min="4" max="4" width="9.25390625" style="2" customWidth="1"/>
    <col min="5" max="5" width="7.00390625" style="2" customWidth="1"/>
    <col min="6" max="8" width="9.00390625" style="2" customWidth="1"/>
    <col min="9" max="9" width="12.25390625" style="2" customWidth="1"/>
    <col min="10" max="10" width="7.875" style="2" customWidth="1"/>
    <col min="11" max="14" width="9.00390625" style="2" customWidth="1"/>
    <col min="15" max="16" width="12.25390625" style="2" customWidth="1"/>
    <col min="17" max="16384" width="9.00390625" style="2" customWidth="1"/>
  </cols>
  <sheetData>
    <row r="1" spans="1:8" ht="18" customHeight="1">
      <c r="A1" s="1" t="s">
        <v>77</v>
      </c>
      <c r="F1" s="2" t="s">
        <v>72</v>
      </c>
      <c r="H1" s="2" t="s">
        <v>78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1" s="5" customFormat="1" ht="18" customHeight="1">
      <c r="A3" s="4"/>
      <c r="B3" s="38" t="s">
        <v>0</v>
      </c>
      <c r="C3" s="39"/>
      <c r="D3" s="38" t="s">
        <v>1</v>
      </c>
      <c r="E3" s="39"/>
      <c r="F3" s="38" t="s">
        <v>2</v>
      </c>
      <c r="G3" s="39"/>
      <c r="H3" s="38" t="s">
        <v>3</v>
      </c>
      <c r="I3" s="39"/>
      <c r="J3" s="40" t="s">
        <v>73</v>
      </c>
      <c r="K3" s="41"/>
    </row>
    <row r="4" spans="1:11" s="8" customFormat="1" ht="18" customHeight="1">
      <c r="A4" s="6" t="s">
        <v>4</v>
      </c>
      <c r="B4" s="7" t="s">
        <v>5</v>
      </c>
      <c r="C4" s="7" t="s">
        <v>6</v>
      </c>
      <c r="D4" s="7" t="s">
        <v>5</v>
      </c>
      <c r="E4" s="7" t="s">
        <v>6</v>
      </c>
      <c r="F4" s="7" t="s">
        <v>5</v>
      </c>
      <c r="G4" s="7" t="s">
        <v>6</v>
      </c>
      <c r="H4" s="7" t="s">
        <v>5</v>
      </c>
      <c r="I4" s="7" t="s">
        <v>6</v>
      </c>
      <c r="J4" s="27" t="s">
        <v>5</v>
      </c>
      <c r="K4" s="26" t="s">
        <v>6</v>
      </c>
    </row>
    <row r="5" spans="1:11" s="5" customFormat="1" ht="18" customHeight="1">
      <c r="A5" s="9" t="s">
        <v>7</v>
      </c>
      <c r="B5" s="32">
        <v>221</v>
      </c>
      <c r="C5" s="9">
        <f>November!C5+B5</f>
        <v>802</v>
      </c>
      <c r="D5" s="33">
        <v>28</v>
      </c>
      <c r="E5" s="9">
        <f>November!E5+D5</f>
        <v>32</v>
      </c>
      <c r="F5" s="35"/>
      <c r="G5" s="9">
        <f>November!G5+F5</f>
        <v>0</v>
      </c>
      <c r="H5" s="19"/>
      <c r="I5" s="9">
        <f>November!I5+H5</f>
        <v>0</v>
      </c>
      <c r="J5" s="24"/>
      <c r="K5" s="9">
        <f>November!K5+J5</f>
        <v>0</v>
      </c>
    </row>
    <row r="6" spans="1:11" s="5" customFormat="1" ht="18" customHeight="1">
      <c r="A6" s="9" t="s">
        <v>8</v>
      </c>
      <c r="B6" s="32"/>
      <c r="C6" s="9">
        <f>November!C6+B6</f>
        <v>0</v>
      </c>
      <c r="D6" s="33"/>
      <c r="E6" s="9">
        <f>November!E6+D6</f>
        <v>0</v>
      </c>
      <c r="F6" s="35"/>
      <c r="G6" s="9">
        <f>November!G6+F6</f>
        <v>0</v>
      </c>
      <c r="H6" s="19"/>
      <c r="I6" s="9">
        <f>November!I6+H6</f>
        <v>0</v>
      </c>
      <c r="J6" s="24"/>
      <c r="K6" s="9">
        <f>November!K6+J6</f>
        <v>0</v>
      </c>
    </row>
    <row r="7" spans="1:11" s="5" customFormat="1" ht="18" customHeight="1">
      <c r="A7" s="9" t="s">
        <v>9</v>
      </c>
      <c r="B7" s="32"/>
      <c r="C7" s="9">
        <f>November!C7+B7</f>
        <v>581</v>
      </c>
      <c r="D7" s="33"/>
      <c r="E7" s="9">
        <f>November!E7+D7</f>
        <v>1</v>
      </c>
      <c r="F7" s="35"/>
      <c r="G7" s="9"/>
      <c r="H7" s="19"/>
      <c r="I7" s="9">
        <f>November!I7+H7</f>
        <v>0</v>
      </c>
      <c r="J7" s="24"/>
      <c r="K7" s="9">
        <f>November!K7+J7</f>
        <v>0</v>
      </c>
    </row>
    <row r="8" spans="1:11" s="5" customFormat="1" ht="18" customHeight="1">
      <c r="A8" s="9" t="s">
        <v>10</v>
      </c>
      <c r="B8" s="32">
        <v>263</v>
      </c>
      <c r="C8" s="9">
        <f>November!C8+B8</f>
        <v>4550</v>
      </c>
      <c r="D8" s="33"/>
      <c r="E8" s="9">
        <f>November!E8+D8</f>
        <v>80</v>
      </c>
      <c r="F8" s="35"/>
      <c r="G8" s="9">
        <f>November!G8+F8</f>
        <v>227</v>
      </c>
      <c r="H8" s="19"/>
      <c r="I8" s="9">
        <f>November!I8+H8</f>
        <v>0</v>
      </c>
      <c r="J8" s="24"/>
      <c r="K8" s="9">
        <f>November!K8+J8</f>
        <v>0</v>
      </c>
    </row>
    <row r="9" spans="1:11" s="5" customFormat="1" ht="18" customHeight="1">
      <c r="A9" s="9" t="s">
        <v>11</v>
      </c>
      <c r="B9" s="32">
        <v>581</v>
      </c>
      <c r="C9" s="9">
        <f>November!C9+B9</f>
        <v>4653</v>
      </c>
      <c r="D9" s="33">
        <v>6</v>
      </c>
      <c r="E9" s="9">
        <f>November!E9+D9</f>
        <v>40</v>
      </c>
      <c r="F9" s="35">
        <v>1</v>
      </c>
      <c r="G9" s="9">
        <f>November!G9+F9</f>
        <v>1476</v>
      </c>
      <c r="H9" s="19"/>
      <c r="I9" s="9">
        <f>November!I9+H9</f>
        <v>0</v>
      </c>
      <c r="J9" s="24"/>
      <c r="K9" s="9">
        <f>November!K9+J9</f>
        <v>0</v>
      </c>
    </row>
    <row r="10" spans="1:11" s="5" customFormat="1" ht="18" customHeight="1">
      <c r="A10" s="9" t="s">
        <v>12</v>
      </c>
      <c r="B10" s="32"/>
      <c r="C10" s="9">
        <f>November!C10+B10</f>
        <v>8066</v>
      </c>
      <c r="D10" s="33">
        <v>18</v>
      </c>
      <c r="E10" s="9">
        <f>November!E10+D10</f>
        <v>268</v>
      </c>
      <c r="F10" s="35">
        <v>74</v>
      </c>
      <c r="G10" s="9">
        <f>November!G10+F10</f>
        <v>282</v>
      </c>
      <c r="H10" s="19"/>
      <c r="I10" s="9">
        <f>November!I10+H10</f>
        <v>0</v>
      </c>
      <c r="J10" s="24"/>
      <c r="K10" s="9">
        <f>November!K10+J10</f>
        <v>198</v>
      </c>
    </row>
    <row r="11" spans="1:11" s="5" customFormat="1" ht="18" customHeight="1">
      <c r="A11" s="9" t="s">
        <v>13</v>
      </c>
      <c r="B11" s="32">
        <v>1709</v>
      </c>
      <c r="C11" s="9">
        <f>November!C11+B11</f>
        <v>9897</v>
      </c>
      <c r="D11" s="33">
        <v>207</v>
      </c>
      <c r="E11" s="9">
        <f>November!E11+D11</f>
        <v>364</v>
      </c>
      <c r="F11" s="35"/>
      <c r="G11" s="9">
        <f>November!G11+F11</f>
        <v>170</v>
      </c>
      <c r="H11" s="19"/>
      <c r="I11" s="9">
        <f>November!I11+H11</f>
        <v>0</v>
      </c>
      <c r="J11" s="24"/>
      <c r="K11" s="9">
        <f>November!K11+J11</f>
        <v>0</v>
      </c>
    </row>
    <row r="12" spans="1:11" s="5" customFormat="1" ht="18" customHeight="1">
      <c r="A12" s="9" t="s">
        <v>14</v>
      </c>
      <c r="B12" s="32"/>
      <c r="C12" s="9">
        <f>November!C12+B12</f>
        <v>0</v>
      </c>
      <c r="D12" s="33"/>
      <c r="E12" s="9">
        <f>November!E12+D12</f>
        <v>4</v>
      </c>
      <c r="F12" s="35"/>
      <c r="G12" s="9">
        <f>November!G12+F12</f>
        <v>4</v>
      </c>
      <c r="H12" s="19"/>
      <c r="I12" s="9">
        <f>November!I12+H12</f>
        <v>0</v>
      </c>
      <c r="J12" s="24"/>
      <c r="K12" s="9">
        <f>November!K12+J12</f>
        <v>0</v>
      </c>
    </row>
    <row r="13" spans="1:11" s="5" customFormat="1" ht="18" customHeight="1">
      <c r="A13" s="9" t="s">
        <v>15</v>
      </c>
      <c r="B13" s="32"/>
      <c r="C13" s="9">
        <f>November!C13+B13</f>
        <v>0</v>
      </c>
      <c r="D13" s="33"/>
      <c r="E13" s="9">
        <f>November!E13+D13</f>
        <v>0</v>
      </c>
      <c r="F13" s="35"/>
      <c r="G13" s="9">
        <f>November!G13+F13</f>
        <v>0</v>
      </c>
      <c r="H13" s="19"/>
      <c r="I13" s="9">
        <f>November!I13+H13</f>
        <v>0</v>
      </c>
      <c r="J13" s="24"/>
      <c r="K13" s="9">
        <f>November!K13+J13</f>
        <v>0</v>
      </c>
    </row>
    <row r="14" spans="1:11" s="5" customFormat="1" ht="18" customHeight="1">
      <c r="A14" s="9" t="s">
        <v>16</v>
      </c>
      <c r="B14" s="32">
        <v>170</v>
      </c>
      <c r="C14" s="9">
        <f>November!C14+B14</f>
        <v>5206</v>
      </c>
      <c r="D14" s="33">
        <v>4</v>
      </c>
      <c r="E14" s="9">
        <f>November!E14+D14</f>
        <v>26</v>
      </c>
      <c r="F14" s="35"/>
      <c r="G14" s="9">
        <f>November!G14+F14</f>
        <v>12</v>
      </c>
      <c r="H14" s="19"/>
      <c r="I14" s="9">
        <f>November!I14+H14</f>
        <v>0</v>
      </c>
      <c r="J14" s="24"/>
      <c r="K14" s="9">
        <f>November!K14+J14</f>
        <v>0</v>
      </c>
    </row>
    <row r="15" spans="1:11" s="5" customFormat="1" ht="18" customHeight="1">
      <c r="A15" s="9" t="s">
        <v>17</v>
      </c>
      <c r="B15" s="32">
        <v>717</v>
      </c>
      <c r="C15" s="9">
        <f>November!C15+B15</f>
        <v>6502</v>
      </c>
      <c r="D15" s="33"/>
      <c r="E15" s="9">
        <f>November!E15+D15</f>
        <v>3</v>
      </c>
      <c r="F15" s="35"/>
      <c r="G15" s="9">
        <f>November!G15+F15</f>
        <v>39</v>
      </c>
      <c r="H15" s="19"/>
      <c r="I15" s="9">
        <f>November!I15+H15</f>
        <v>0</v>
      </c>
      <c r="J15" s="24"/>
      <c r="K15" s="9">
        <f>November!K15+J15</f>
        <v>0</v>
      </c>
    </row>
    <row r="16" spans="1:11" s="5" customFormat="1" ht="18" customHeight="1">
      <c r="A16" s="9" t="s">
        <v>18</v>
      </c>
      <c r="B16" s="32"/>
      <c r="C16" s="9">
        <f>November!C16+B16</f>
        <v>0</v>
      </c>
      <c r="D16" s="33"/>
      <c r="E16" s="9">
        <f>November!E16+D16</f>
        <v>0</v>
      </c>
      <c r="F16" s="35"/>
      <c r="G16" s="9">
        <f>November!G16+F16</f>
        <v>0</v>
      </c>
      <c r="H16" s="19"/>
      <c r="I16" s="9">
        <f>November!I16+H16</f>
        <v>0</v>
      </c>
      <c r="J16" s="24"/>
      <c r="K16" s="9">
        <f>November!K16+J16</f>
        <v>0</v>
      </c>
    </row>
    <row r="17" spans="1:11" s="5" customFormat="1" ht="18" customHeight="1">
      <c r="A17" s="9" t="s">
        <v>19</v>
      </c>
      <c r="B17" s="32">
        <v>4863</v>
      </c>
      <c r="C17" s="9">
        <f>November!C17+B17</f>
        <v>8841</v>
      </c>
      <c r="D17" s="33"/>
      <c r="E17" s="9">
        <f>November!E17+D17</f>
        <v>567</v>
      </c>
      <c r="F17" s="35"/>
      <c r="G17" s="9">
        <f>November!G17+F17</f>
        <v>197</v>
      </c>
      <c r="H17" s="19"/>
      <c r="I17" s="9">
        <f>November!I17+H17</f>
        <v>0</v>
      </c>
      <c r="J17" s="24"/>
      <c r="K17" s="9">
        <f>November!K17+J17</f>
        <v>0</v>
      </c>
    </row>
    <row r="18" spans="1:11" s="5" customFormat="1" ht="18" customHeight="1">
      <c r="A18" s="9" t="s">
        <v>20</v>
      </c>
      <c r="B18" s="32">
        <v>156</v>
      </c>
      <c r="C18" s="9">
        <f>November!C18+B18</f>
        <v>4925</v>
      </c>
      <c r="D18" s="33">
        <v>47</v>
      </c>
      <c r="E18" s="9">
        <f>November!E18+D18</f>
        <v>872</v>
      </c>
      <c r="F18" s="35">
        <v>19</v>
      </c>
      <c r="G18" s="9">
        <f>November!G18+F18</f>
        <v>659</v>
      </c>
      <c r="H18" s="19"/>
      <c r="I18" s="9">
        <f>November!I18+H18</f>
        <v>0</v>
      </c>
      <c r="J18" s="24"/>
      <c r="K18" s="9">
        <f>November!K18+J18</f>
        <v>0</v>
      </c>
    </row>
    <row r="19" spans="1:11" s="5" customFormat="1" ht="18" customHeight="1">
      <c r="A19" s="9" t="s">
        <v>21</v>
      </c>
      <c r="B19" s="32">
        <v>3593</v>
      </c>
      <c r="C19" s="9">
        <f>November!C19+B19</f>
        <v>43037</v>
      </c>
      <c r="D19" s="33">
        <v>2</v>
      </c>
      <c r="E19" s="9">
        <f>November!E19+D19</f>
        <v>108</v>
      </c>
      <c r="F19" s="35"/>
      <c r="G19" s="9">
        <f>November!G19+F19</f>
        <v>5734</v>
      </c>
      <c r="H19" s="19"/>
      <c r="I19" s="9">
        <f>November!I19+H19</f>
        <v>0</v>
      </c>
      <c r="J19" s="24"/>
      <c r="K19" s="9">
        <f>November!K19+J19</f>
        <v>0</v>
      </c>
    </row>
    <row r="20" spans="1:11" s="5" customFormat="1" ht="18" customHeight="1">
      <c r="A20" s="9" t="s">
        <v>22</v>
      </c>
      <c r="B20" s="32">
        <v>1659</v>
      </c>
      <c r="C20" s="9">
        <f>November!C20+B20</f>
        <v>35706</v>
      </c>
      <c r="D20" s="33">
        <v>5</v>
      </c>
      <c r="E20" s="9">
        <f>November!E20+D20</f>
        <v>1304</v>
      </c>
      <c r="F20" s="35">
        <v>2</v>
      </c>
      <c r="G20" s="9">
        <f>November!G20+F20</f>
        <v>1067</v>
      </c>
      <c r="H20" s="19"/>
      <c r="I20" s="9">
        <f>November!I20+H20</f>
        <v>0</v>
      </c>
      <c r="J20" s="24"/>
      <c r="K20" s="9">
        <f>November!K20+J20</f>
        <v>0</v>
      </c>
    </row>
    <row r="21" spans="1:11" s="5" customFormat="1" ht="18" customHeight="1">
      <c r="A21" s="9" t="s">
        <v>23</v>
      </c>
      <c r="B21" s="32">
        <v>9609</v>
      </c>
      <c r="C21" s="9">
        <f>November!C21+B21</f>
        <v>73972</v>
      </c>
      <c r="D21" s="33">
        <v>2</v>
      </c>
      <c r="E21" s="9">
        <f>November!E21+D21</f>
        <v>1577</v>
      </c>
      <c r="F21" s="35">
        <v>151</v>
      </c>
      <c r="G21" s="9">
        <f>November!G21+F21</f>
        <v>525</v>
      </c>
      <c r="H21" s="19"/>
      <c r="I21" s="9">
        <f>November!I21+H21</f>
        <v>0</v>
      </c>
      <c r="J21" s="24"/>
      <c r="K21" s="9">
        <f>November!K21+J21</f>
        <v>0</v>
      </c>
    </row>
    <row r="22" spans="1:11" s="5" customFormat="1" ht="18" customHeight="1">
      <c r="A22" s="9" t="s">
        <v>24</v>
      </c>
      <c r="B22" s="32"/>
      <c r="C22" s="9">
        <v>0</v>
      </c>
      <c r="D22" s="33"/>
      <c r="E22" s="9">
        <f>November!E22+D22</f>
        <v>0</v>
      </c>
      <c r="F22" s="35"/>
      <c r="G22" s="9">
        <f>November!G22+F22</f>
        <v>0</v>
      </c>
      <c r="H22" s="19"/>
      <c r="I22" s="9">
        <f>November!I22+H22</f>
        <v>0</v>
      </c>
      <c r="J22" s="24"/>
      <c r="K22" s="9">
        <f>November!K22+J22</f>
        <v>0</v>
      </c>
    </row>
    <row r="23" spans="1:11" s="5" customFormat="1" ht="18" customHeight="1">
      <c r="A23" s="9" t="s">
        <v>25</v>
      </c>
      <c r="B23" s="32"/>
      <c r="C23" s="9">
        <f>November!C23+B23</f>
        <v>0</v>
      </c>
      <c r="D23" s="33"/>
      <c r="E23" s="9">
        <f>November!E23+D23</f>
        <v>0</v>
      </c>
      <c r="F23" s="35"/>
      <c r="G23" s="9">
        <f>November!G23+F23</f>
        <v>0</v>
      </c>
      <c r="H23" s="19"/>
      <c r="I23" s="9">
        <f>November!I23+H23</f>
        <v>0</v>
      </c>
      <c r="J23" s="24"/>
      <c r="K23" s="9">
        <f>November!K23+J23</f>
        <v>0</v>
      </c>
    </row>
    <row r="24" spans="1:11" s="5" customFormat="1" ht="18" customHeight="1">
      <c r="A24" s="9" t="s">
        <v>26</v>
      </c>
      <c r="B24" s="32"/>
      <c r="C24" s="9">
        <f>November!C24+B24</f>
        <v>0</v>
      </c>
      <c r="D24" s="33"/>
      <c r="E24" s="9">
        <f>November!E24+D24</f>
        <v>91</v>
      </c>
      <c r="F24" s="35"/>
      <c r="G24" s="9">
        <f>November!G24+F24</f>
        <v>5</v>
      </c>
      <c r="H24" s="19"/>
      <c r="I24" s="9">
        <f>November!I24+H24</f>
        <v>0</v>
      </c>
      <c r="J24" s="24"/>
      <c r="K24" s="9">
        <f>November!K24+J24</f>
        <v>0</v>
      </c>
    </row>
    <row r="25" spans="1:11" s="5" customFormat="1" ht="18" customHeight="1">
      <c r="A25" s="9" t="s">
        <v>27</v>
      </c>
      <c r="B25" s="32"/>
      <c r="C25" s="9">
        <f>November!C25+B25</f>
        <v>0</v>
      </c>
      <c r="D25" s="33"/>
      <c r="E25" s="9">
        <f>November!E25+D25</f>
        <v>0</v>
      </c>
      <c r="F25" s="35"/>
      <c r="G25" s="9">
        <f>November!G25+F25</f>
        <v>0</v>
      </c>
      <c r="H25" s="19"/>
      <c r="I25" s="9">
        <f>November!I25+H25</f>
        <v>0</v>
      </c>
      <c r="J25" s="24"/>
      <c r="K25" s="9">
        <f>November!K25+J25</f>
        <v>0</v>
      </c>
    </row>
    <row r="26" spans="1:11" s="5" customFormat="1" ht="18" customHeight="1">
      <c r="A26" s="9" t="s">
        <v>28</v>
      </c>
      <c r="B26" s="32">
        <v>4303</v>
      </c>
      <c r="C26" s="9">
        <f>November!C26+B26</f>
        <v>42359</v>
      </c>
      <c r="D26" s="33">
        <v>15</v>
      </c>
      <c r="E26" s="9">
        <f>November!E26+D26</f>
        <v>127</v>
      </c>
      <c r="F26" s="35">
        <v>123</v>
      </c>
      <c r="G26" s="9">
        <f>November!G26+F26</f>
        <v>276</v>
      </c>
      <c r="H26" s="19"/>
      <c r="I26" s="9">
        <f>November!I26+H26</f>
        <v>0</v>
      </c>
      <c r="J26" s="24"/>
      <c r="K26" s="9">
        <f>November!K26+J26</f>
        <v>0</v>
      </c>
    </row>
    <row r="27" spans="1:11" s="5" customFormat="1" ht="18" customHeight="1">
      <c r="A27" s="9" t="s">
        <v>29</v>
      </c>
      <c r="B27" s="32">
        <v>4608</v>
      </c>
      <c r="C27" s="9">
        <f>November!C27+B27</f>
        <v>53376</v>
      </c>
      <c r="D27" s="33">
        <v>424</v>
      </c>
      <c r="E27" s="9">
        <f>November!E27+D27</f>
        <v>1785</v>
      </c>
      <c r="F27" s="35">
        <v>494</v>
      </c>
      <c r="G27" s="9">
        <f>November!G27+F27</f>
        <v>6635</v>
      </c>
      <c r="H27" s="19"/>
      <c r="I27" s="9">
        <f>November!I27+H27</f>
        <v>0</v>
      </c>
      <c r="J27" s="36">
        <v>31</v>
      </c>
      <c r="K27" s="9">
        <f>November!K27+J27</f>
        <v>31</v>
      </c>
    </row>
    <row r="28" spans="1:11" s="5" customFormat="1" ht="18" customHeight="1">
      <c r="A28" s="9" t="s">
        <v>30</v>
      </c>
      <c r="B28" s="32"/>
      <c r="C28" s="9">
        <f>November!C28+B28</f>
        <v>1607</v>
      </c>
      <c r="D28" s="33"/>
      <c r="E28" s="9">
        <f>November!E28+D28</f>
        <v>10</v>
      </c>
      <c r="F28" s="35"/>
      <c r="G28" s="9">
        <f>November!G28+F28</f>
        <v>0</v>
      </c>
      <c r="H28" s="19"/>
      <c r="I28" s="9">
        <f>November!I28+H28</f>
        <v>0</v>
      </c>
      <c r="J28" s="36"/>
      <c r="K28" s="9">
        <f>November!K28+J28</f>
        <v>0</v>
      </c>
    </row>
    <row r="29" spans="1:11" s="5" customFormat="1" ht="18" customHeight="1">
      <c r="A29" s="9" t="s">
        <v>31</v>
      </c>
      <c r="B29" s="32">
        <v>9020</v>
      </c>
      <c r="C29" s="9">
        <f>November!C29+B29</f>
        <v>95230</v>
      </c>
      <c r="D29" s="33">
        <v>171</v>
      </c>
      <c r="E29" s="9">
        <f>November!E29+D29</f>
        <v>1761</v>
      </c>
      <c r="F29" s="35"/>
      <c r="G29" s="9">
        <f>November!G29+F29</f>
        <v>2043</v>
      </c>
      <c r="H29" s="19"/>
      <c r="I29" s="9">
        <f>November!I29+H29</f>
        <v>0</v>
      </c>
      <c r="J29" s="36">
        <v>18</v>
      </c>
      <c r="K29" s="9">
        <f>November!K29+J29</f>
        <v>76</v>
      </c>
    </row>
    <row r="30" spans="1:11" s="5" customFormat="1" ht="18" customHeight="1">
      <c r="A30" s="9" t="s">
        <v>32</v>
      </c>
      <c r="B30" s="32">
        <v>5471</v>
      </c>
      <c r="C30" s="9">
        <f>November!C30+B30</f>
        <v>179729</v>
      </c>
      <c r="D30" s="33">
        <v>1220</v>
      </c>
      <c r="E30" s="9">
        <f>November!E30+D30</f>
        <v>11077</v>
      </c>
      <c r="F30" s="35"/>
      <c r="G30" s="9">
        <f>November!G30+F30</f>
        <v>220</v>
      </c>
      <c r="H30" s="19"/>
      <c r="I30" s="9">
        <f>November!I30+H30</f>
        <v>0</v>
      </c>
      <c r="J30" s="36"/>
      <c r="K30" s="9">
        <f>November!K30+J30</f>
        <v>0</v>
      </c>
    </row>
    <row r="31" spans="1:11" s="5" customFormat="1" ht="18" customHeight="1">
      <c r="A31" s="9" t="s">
        <v>33</v>
      </c>
      <c r="B31" s="32">
        <v>8493</v>
      </c>
      <c r="C31" s="9">
        <f>November!C31+B31</f>
        <v>77905</v>
      </c>
      <c r="D31" s="33">
        <v>1036</v>
      </c>
      <c r="E31" s="9">
        <f>November!E31+D31</f>
        <v>8175</v>
      </c>
      <c r="F31" s="35"/>
      <c r="G31" s="9">
        <f>November!G31+F31</f>
        <v>1589</v>
      </c>
      <c r="H31" s="19"/>
      <c r="I31" s="9">
        <f>November!I31+H31</f>
        <v>0</v>
      </c>
      <c r="J31" s="36"/>
      <c r="K31" s="9">
        <f>November!K31+J31</f>
        <v>0</v>
      </c>
    </row>
    <row r="32" spans="1:11" s="5" customFormat="1" ht="18" customHeight="1">
      <c r="A32" s="9" t="s">
        <v>34</v>
      </c>
      <c r="B32" s="32"/>
      <c r="C32" s="9">
        <f>November!C32+B32</f>
        <v>0</v>
      </c>
      <c r="D32" s="33"/>
      <c r="E32" s="9">
        <f>November!E32+D32</f>
        <v>0</v>
      </c>
      <c r="F32" s="35"/>
      <c r="G32" s="9">
        <f>November!G32+F32</f>
        <v>0</v>
      </c>
      <c r="H32" s="19"/>
      <c r="I32" s="9">
        <f>November!I32+H32</f>
        <v>0</v>
      </c>
      <c r="J32" s="36"/>
      <c r="K32" s="9">
        <f>November!K32+J32</f>
        <v>0</v>
      </c>
    </row>
    <row r="33" spans="1:11" s="5" customFormat="1" ht="18" customHeight="1">
      <c r="A33" s="9" t="s">
        <v>35</v>
      </c>
      <c r="B33" s="32"/>
      <c r="C33" s="9">
        <f>November!C33+B33</f>
        <v>0</v>
      </c>
      <c r="D33" s="33"/>
      <c r="E33" s="9">
        <f>November!E33+D33</f>
        <v>0</v>
      </c>
      <c r="F33" s="35"/>
      <c r="G33" s="9">
        <f>November!G33+F33</f>
        <v>0</v>
      </c>
      <c r="H33" s="19"/>
      <c r="I33" s="9">
        <f>November!I33+H33</f>
        <v>0</v>
      </c>
      <c r="J33" s="36"/>
      <c r="K33" s="9">
        <f>November!K33+J33</f>
        <v>0</v>
      </c>
    </row>
    <row r="34" spans="1:11" s="5" customFormat="1" ht="18" customHeight="1">
      <c r="A34" s="9" t="s">
        <v>36</v>
      </c>
      <c r="B34" s="32"/>
      <c r="C34" s="9">
        <f>November!C34+B34</f>
        <v>0</v>
      </c>
      <c r="D34" s="33"/>
      <c r="E34" s="9">
        <f>November!E34+D34</f>
        <v>0</v>
      </c>
      <c r="F34" s="35"/>
      <c r="G34" s="9">
        <f>November!G34+F34</f>
        <v>0</v>
      </c>
      <c r="H34" s="19"/>
      <c r="I34" s="9">
        <f>November!I34+H34</f>
        <v>0</v>
      </c>
      <c r="J34" s="36"/>
      <c r="K34" s="9">
        <f>November!K34+J34</f>
        <v>0</v>
      </c>
    </row>
    <row r="35" spans="1:11" s="5" customFormat="1" ht="18" customHeight="1">
      <c r="A35" s="9" t="s">
        <v>37</v>
      </c>
      <c r="B35" s="32">
        <v>1798</v>
      </c>
      <c r="C35" s="9">
        <f>November!C35+B35</f>
        <v>9884</v>
      </c>
      <c r="D35" s="33"/>
      <c r="E35" s="9">
        <f>November!E35+D35</f>
        <v>27</v>
      </c>
      <c r="F35" s="35"/>
      <c r="G35" s="9">
        <f>November!G35+F35</f>
        <v>1137</v>
      </c>
      <c r="H35" s="19"/>
      <c r="I35" s="9">
        <f>November!I35+H35</f>
        <v>0</v>
      </c>
      <c r="J35" s="36"/>
      <c r="K35" s="9">
        <f>November!K35+J35</f>
        <v>0</v>
      </c>
    </row>
    <row r="36" spans="1:11" s="5" customFormat="1" ht="18" customHeight="1">
      <c r="A36" s="9" t="s">
        <v>38</v>
      </c>
      <c r="B36" s="32">
        <v>179</v>
      </c>
      <c r="C36" s="9">
        <f>November!C36+B36</f>
        <v>7616</v>
      </c>
      <c r="D36" s="33">
        <v>6</v>
      </c>
      <c r="E36" s="9">
        <f>November!E36+D36</f>
        <v>8</v>
      </c>
      <c r="F36" s="35">
        <v>77</v>
      </c>
      <c r="G36" s="9">
        <f>November!G36+F36</f>
        <v>2494</v>
      </c>
      <c r="H36" s="19"/>
      <c r="I36" s="9">
        <f>November!I36+H36</f>
        <v>0</v>
      </c>
      <c r="J36" s="36"/>
      <c r="K36" s="9">
        <f>November!K36+J36</f>
        <v>0</v>
      </c>
    </row>
    <row r="37" spans="1:11" s="5" customFormat="1" ht="18" customHeight="1">
      <c r="A37" s="9" t="s">
        <v>39</v>
      </c>
      <c r="B37" s="32"/>
      <c r="C37" s="9">
        <f>November!C37+B37</f>
        <v>290</v>
      </c>
      <c r="D37" s="33"/>
      <c r="E37" s="9">
        <f>November!E37+D37</f>
        <v>321</v>
      </c>
      <c r="F37" s="35">
        <v>45</v>
      </c>
      <c r="G37" s="9">
        <f>November!G37+F37</f>
        <v>45</v>
      </c>
      <c r="H37" s="19"/>
      <c r="I37" s="9">
        <f>November!I37+H37</f>
        <v>0</v>
      </c>
      <c r="J37" s="36"/>
      <c r="K37" s="9">
        <f>November!K37+J37</f>
        <v>0</v>
      </c>
    </row>
    <row r="38" spans="1:11" s="5" customFormat="1" ht="18" customHeight="1">
      <c r="A38" s="9" t="s">
        <v>40</v>
      </c>
      <c r="B38" s="32">
        <v>12998</v>
      </c>
      <c r="C38" s="9">
        <f>November!C38+B38</f>
        <v>90364</v>
      </c>
      <c r="D38" s="33">
        <v>428</v>
      </c>
      <c r="E38" s="9">
        <f>November!E38+D38</f>
        <v>1151</v>
      </c>
      <c r="F38" s="35"/>
      <c r="G38" s="9">
        <f>November!G38+F38</f>
        <v>190</v>
      </c>
      <c r="H38" s="19"/>
      <c r="I38" s="9">
        <f>November!I38+H38</f>
        <v>0</v>
      </c>
      <c r="J38" s="36"/>
      <c r="K38" s="9">
        <f>November!K38+J38</f>
        <v>0</v>
      </c>
    </row>
    <row r="39" spans="1:11" s="5" customFormat="1" ht="18" customHeight="1">
      <c r="A39" s="9" t="s">
        <v>41</v>
      </c>
      <c r="B39" s="32">
        <v>2136</v>
      </c>
      <c r="C39" s="9">
        <f>November!C39+B39</f>
        <v>12095</v>
      </c>
      <c r="D39" s="33">
        <v>19</v>
      </c>
      <c r="E39" s="9">
        <f>November!E39+D39</f>
        <v>85</v>
      </c>
      <c r="F39" s="35">
        <v>23</v>
      </c>
      <c r="G39" s="9">
        <f>November!G39+F39</f>
        <v>625</v>
      </c>
      <c r="H39" s="19"/>
      <c r="I39" s="9">
        <f>November!I39+H39</f>
        <v>0</v>
      </c>
      <c r="J39" s="36"/>
      <c r="K39" s="9">
        <f>November!K39+J39</f>
        <v>0</v>
      </c>
    </row>
    <row r="40" spans="1:11" s="5" customFormat="1" ht="18" customHeight="1">
      <c r="A40" s="9" t="s">
        <v>42</v>
      </c>
      <c r="B40" s="32">
        <v>451</v>
      </c>
      <c r="C40" s="9">
        <f>November!C40+B40</f>
        <v>10883</v>
      </c>
      <c r="D40" s="33">
        <v>45</v>
      </c>
      <c r="E40" s="9">
        <f>November!E40+D40</f>
        <v>956</v>
      </c>
      <c r="F40" s="35">
        <v>21</v>
      </c>
      <c r="G40" s="9">
        <f>November!G40+F40</f>
        <v>21</v>
      </c>
      <c r="H40" s="19"/>
      <c r="I40" s="9">
        <f>November!I40+H40</f>
        <v>0</v>
      </c>
      <c r="J40" s="36"/>
      <c r="K40" s="9">
        <f>November!K40+J40</f>
        <v>0</v>
      </c>
    </row>
    <row r="41" spans="1:11" s="5" customFormat="1" ht="18" customHeight="1">
      <c r="A41" s="9" t="s">
        <v>43</v>
      </c>
      <c r="B41" s="32"/>
      <c r="C41" s="9">
        <f>November!C41+B41</f>
        <v>548</v>
      </c>
      <c r="D41" s="33"/>
      <c r="E41" s="9">
        <f>November!E41+D41</f>
        <v>2</v>
      </c>
      <c r="F41" s="35"/>
      <c r="G41" s="9">
        <f>November!G41+F41</f>
        <v>0</v>
      </c>
      <c r="H41" s="19"/>
      <c r="I41" s="9">
        <f>November!I41+H41</f>
        <v>0</v>
      </c>
      <c r="J41" s="36"/>
      <c r="K41" s="9">
        <f>November!K41+J41</f>
        <v>0</v>
      </c>
    </row>
    <row r="42" spans="1:11" s="5" customFormat="1" ht="18" customHeight="1">
      <c r="A42" s="9" t="s">
        <v>44</v>
      </c>
      <c r="B42" s="32">
        <v>84</v>
      </c>
      <c r="C42" s="9">
        <f>November!C42+B42</f>
        <v>1333</v>
      </c>
      <c r="D42" s="33">
        <v>59</v>
      </c>
      <c r="E42" s="9">
        <f>November!E42+D42</f>
        <v>82</v>
      </c>
      <c r="F42" s="35">
        <v>259</v>
      </c>
      <c r="G42" s="9">
        <f>November!G42+F42</f>
        <v>1480</v>
      </c>
      <c r="H42" s="19"/>
      <c r="I42" s="9">
        <f>November!I42+H42</f>
        <v>0</v>
      </c>
      <c r="J42" s="36"/>
      <c r="K42" s="9">
        <f>November!K42+J42</f>
        <v>0</v>
      </c>
    </row>
    <row r="43" spans="1:11" s="5" customFormat="1" ht="18" customHeight="1">
      <c r="A43" s="9" t="s">
        <v>45</v>
      </c>
      <c r="B43" s="32"/>
      <c r="C43" s="9">
        <f>November!C43+B43</f>
        <v>0</v>
      </c>
      <c r="D43" s="33"/>
      <c r="E43" s="9">
        <f>November!E43+D43</f>
        <v>0</v>
      </c>
      <c r="F43" s="35"/>
      <c r="G43" s="9">
        <f>November!G43+F43</f>
        <v>0</v>
      </c>
      <c r="H43" s="19"/>
      <c r="I43" s="9">
        <f>November!I43+H43</f>
        <v>0</v>
      </c>
      <c r="J43" s="36"/>
      <c r="K43" s="9">
        <f>November!K43+J43</f>
        <v>0</v>
      </c>
    </row>
    <row r="44" spans="1:11" s="5" customFormat="1" ht="18" customHeight="1">
      <c r="A44" s="9" t="s">
        <v>46</v>
      </c>
      <c r="B44" s="32">
        <v>94</v>
      </c>
      <c r="C44" s="9">
        <f>November!C44+B44</f>
        <v>655</v>
      </c>
      <c r="D44" s="33"/>
      <c r="E44" s="9">
        <f>November!E44+D44</f>
        <v>5</v>
      </c>
      <c r="F44" s="35"/>
      <c r="G44" s="9">
        <f>November!G44+F44</f>
        <v>14</v>
      </c>
      <c r="H44" s="19"/>
      <c r="I44" s="9">
        <f>November!I44+H44</f>
        <v>0</v>
      </c>
      <c r="J44" s="36"/>
      <c r="K44" s="9">
        <f>November!K44+J44</f>
        <v>0</v>
      </c>
    </row>
    <row r="45" spans="1:11" s="5" customFormat="1" ht="18" customHeight="1">
      <c r="A45" s="9" t="s">
        <v>47</v>
      </c>
      <c r="B45" s="32">
        <v>42173</v>
      </c>
      <c r="C45" s="9">
        <f>November!C45+B45</f>
        <v>329575</v>
      </c>
      <c r="D45" s="33">
        <v>2283</v>
      </c>
      <c r="E45" s="9">
        <f>November!E45+D45</f>
        <v>9061</v>
      </c>
      <c r="F45" s="35">
        <v>16</v>
      </c>
      <c r="G45" s="9">
        <f>November!G45+F45</f>
        <v>1374</v>
      </c>
      <c r="H45" s="19"/>
      <c r="I45" s="9">
        <f>November!I45+H45</f>
        <v>0</v>
      </c>
      <c r="J45" s="36"/>
      <c r="K45" s="9">
        <f>November!K45+J45</f>
        <v>0</v>
      </c>
    </row>
    <row r="46" spans="1:11" s="5" customFormat="1" ht="18" customHeight="1">
      <c r="A46" s="9" t="s">
        <v>48</v>
      </c>
      <c r="B46" s="32">
        <v>200</v>
      </c>
      <c r="C46" s="9">
        <f>November!C46+B46</f>
        <v>14195</v>
      </c>
      <c r="D46" s="33"/>
      <c r="E46" s="9">
        <f>November!E46+D46</f>
        <v>20</v>
      </c>
      <c r="F46" s="35"/>
      <c r="G46" s="9">
        <f>November!G46+F46</f>
        <v>202</v>
      </c>
      <c r="H46" s="19"/>
      <c r="I46" s="9">
        <f>November!I46+H46</f>
        <v>0</v>
      </c>
      <c r="J46" s="36"/>
      <c r="K46" s="9">
        <f>November!K46+J46</f>
        <v>0</v>
      </c>
    </row>
    <row r="47" spans="1:11" s="5" customFormat="1" ht="18" customHeight="1">
      <c r="A47" s="9" t="s">
        <v>49</v>
      </c>
      <c r="B47" s="32">
        <v>2032</v>
      </c>
      <c r="C47" s="9">
        <f>November!C47+B47</f>
        <v>25261</v>
      </c>
      <c r="D47" s="33"/>
      <c r="E47" s="9">
        <f>November!E47+D47</f>
        <v>582</v>
      </c>
      <c r="F47" s="35"/>
      <c r="G47" s="9">
        <f>November!G47+F47</f>
        <v>2340</v>
      </c>
      <c r="H47" s="19"/>
      <c r="I47" s="9">
        <f>November!I47+H47</f>
        <v>0</v>
      </c>
      <c r="J47" s="36"/>
      <c r="K47" s="9">
        <f>November!K47+J47</f>
        <v>3</v>
      </c>
    </row>
    <row r="48" spans="1:11" s="5" customFormat="1" ht="18" customHeight="1">
      <c r="A48" s="9" t="s">
        <v>50</v>
      </c>
      <c r="B48" s="32">
        <v>435</v>
      </c>
      <c r="C48" s="9">
        <f>November!C48+B48</f>
        <v>2501</v>
      </c>
      <c r="D48" s="33">
        <v>65</v>
      </c>
      <c r="E48" s="9">
        <f>November!E48+D48</f>
        <v>78</v>
      </c>
      <c r="F48" s="35"/>
      <c r="G48" s="9">
        <f>November!G48+F48</f>
        <v>1715</v>
      </c>
      <c r="H48" s="19"/>
      <c r="I48" s="9">
        <f>November!I48+H48</f>
        <v>0</v>
      </c>
      <c r="J48" s="36"/>
      <c r="K48" s="9">
        <f>November!K48+J48</f>
        <v>0</v>
      </c>
    </row>
    <row r="49" spans="1:11" s="5" customFormat="1" ht="18" customHeight="1">
      <c r="A49" s="9" t="s">
        <v>51</v>
      </c>
      <c r="B49" s="32"/>
      <c r="C49" s="9">
        <f>November!C49+B49</f>
        <v>0</v>
      </c>
      <c r="D49" s="33"/>
      <c r="E49" s="9">
        <f>November!E49+D49</f>
        <v>12</v>
      </c>
      <c r="F49" s="35"/>
      <c r="G49" s="9">
        <f>November!G49+F49</f>
        <v>189</v>
      </c>
      <c r="H49" s="19"/>
      <c r="I49" s="9">
        <f>November!I49+H49</f>
        <v>0</v>
      </c>
      <c r="J49" s="36"/>
      <c r="K49" s="9">
        <f>November!K49+J49</f>
        <v>0</v>
      </c>
    </row>
    <row r="50" spans="1:11" s="5" customFormat="1" ht="18" customHeight="1">
      <c r="A50" s="9" t="s">
        <v>52</v>
      </c>
      <c r="B50" s="32">
        <v>1721</v>
      </c>
      <c r="C50" s="9">
        <f>November!C50+B50</f>
        <v>2058</v>
      </c>
      <c r="D50" s="33"/>
      <c r="E50" s="9">
        <f>November!E50+D50</f>
        <v>3</v>
      </c>
      <c r="F50" s="35"/>
      <c r="G50" s="9">
        <f>November!G50+F50</f>
        <v>0</v>
      </c>
      <c r="H50" s="19"/>
      <c r="I50" s="9">
        <f>November!I50+H50</f>
        <v>0</v>
      </c>
      <c r="J50" s="36"/>
      <c r="K50" s="9">
        <f>November!K50+J50</f>
        <v>0</v>
      </c>
    </row>
    <row r="51" spans="1:11" s="5" customFormat="1" ht="18" customHeight="1">
      <c r="A51" s="9" t="s">
        <v>53</v>
      </c>
      <c r="B51" s="32">
        <v>84</v>
      </c>
      <c r="C51" s="9">
        <f>November!C51+B51</f>
        <v>1886</v>
      </c>
      <c r="D51" s="33">
        <v>1</v>
      </c>
      <c r="E51" s="9">
        <f>November!E51+D51</f>
        <v>8</v>
      </c>
      <c r="F51" s="35"/>
      <c r="G51" s="9">
        <f>November!G51+F51</f>
        <v>1</v>
      </c>
      <c r="H51" s="19"/>
      <c r="I51" s="9">
        <f>November!I51+H51</f>
        <v>0</v>
      </c>
      <c r="J51" s="36"/>
      <c r="K51" s="9">
        <f>November!K51+J51</f>
        <v>0</v>
      </c>
    </row>
    <row r="52" spans="1:11" s="5" customFormat="1" ht="18" customHeight="1">
      <c r="A52" s="9" t="s">
        <v>54</v>
      </c>
      <c r="B52" s="32">
        <v>60</v>
      </c>
      <c r="C52" s="9">
        <f>November!C52+B52</f>
        <v>3221</v>
      </c>
      <c r="D52" s="33"/>
      <c r="E52" s="9">
        <f>November!E52+D52</f>
        <v>6</v>
      </c>
      <c r="F52" s="35"/>
      <c r="G52" s="9">
        <f>November!G52+F52</f>
        <v>0</v>
      </c>
      <c r="H52" s="19"/>
      <c r="I52" s="9">
        <f>November!I52+H52</f>
        <v>0</v>
      </c>
      <c r="J52" s="36"/>
      <c r="K52" s="9">
        <f>November!K52+J52</f>
        <v>0</v>
      </c>
    </row>
    <row r="53" spans="1:11" s="5" customFormat="1" ht="18" customHeight="1">
      <c r="A53" s="9" t="s">
        <v>55</v>
      </c>
      <c r="B53" s="32">
        <v>8225</v>
      </c>
      <c r="C53" s="9">
        <f>November!C53+B53</f>
        <v>72149</v>
      </c>
      <c r="D53" s="33">
        <v>207</v>
      </c>
      <c r="E53" s="9">
        <f>November!E53+D53</f>
        <v>2275</v>
      </c>
      <c r="F53" s="35">
        <v>946</v>
      </c>
      <c r="G53" s="9">
        <f>November!G53+F53</f>
        <v>11448</v>
      </c>
      <c r="H53" s="19"/>
      <c r="I53" s="9">
        <f>November!I53+H53</f>
        <v>0</v>
      </c>
      <c r="J53" s="36"/>
      <c r="K53" s="9">
        <f>November!K53+J53</f>
        <v>0</v>
      </c>
    </row>
    <row r="54" spans="1:11" s="5" customFormat="1" ht="18" customHeight="1" thickBot="1">
      <c r="A54" s="10" t="s">
        <v>56</v>
      </c>
      <c r="B54" s="32">
        <v>1549</v>
      </c>
      <c r="C54" s="9">
        <f>November!C54+B54</f>
        <v>24119</v>
      </c>
      <c r="D54" s="34">
        <v>605</v>
      </c>
      <c r="E54" s="9">
        <f>November!E54+D54</f>
        <v>3349</v>
      </c>
      <c r="F54" s="35"/>
      <c r="G54" s="9">
        <f>November!G54+F54</f>
        <v>1094</v>
      </c>
      <c r="H54" s="19"/>
      <c r="I54" s="9">
        <f>November!I54+H54</f>
        <v>0</v>
      </c>
      <c r="J54" s="37">
        <v>42</v>
      </c>
      <c r="K54" s="9">
        <f>November!K54+J54</f>
        <v>42</v>
      </c>
    </row>
    <row r="55" spans="1:11" s="5" customFormat="1" ht="18" customHeight="1" thickBot="1" thickTop="1">
      <c r="A55" s="11" t="s">
        <v>57</v>
      </c>
      <c r="B55" s="11">
        <f>SUM(B5:B54)</f>
        <v>129655</v>
      </c>
      <c r="C55" s="11"/>
      <c r="D55" s="11">
        <f>SUM(D5:D54)</f>
        <v>6903</v>
      </c>
      <c r="E55" s="11"/>
      <c r="F55" s="11">
        <f>SUM(F5:F54)</f>
        <v>2251</v>
      </c>
      <c r="G55" s="11"/>
      <c r="H55" s="11">
        <f>SUM(H5:H54)</f>
        <v>0</v>
      </c>
      <c r="I55" s="11"/>
      <c r="J55" s="11">
        <f>SUM(J5:J54)</f>
        <v>91</v>
      </c>
      <c r="K55" s="23"/>
    </row>
    <row r="56" spans="1:9" s="5" customFormat="1" ht="18" customHeight="1" thickBot="1" thickTop="1">
      <c r="A56" s="8"/>
      <c r="B56" s="8"/>
      <c r="C56" s="8"/>
      <c r="D56" s="8"/>
      <c r="E56" s="8"/>
      <c r="F56" s="8"/>
      <c r="G56" s="8"/>
      <c r="H56" s="8"/>
      <c r="I56" s="8"/>
    </row>
    <row r="57" spans="1:11" s="5" customFormat="1" ht="18" customHeight="1" thickBot="1" thickTop="1">
      <c r="A57" s="12" t="s">
        <v>58</v>
      </c>
      <c r="B57" s="11"/>
      <c r="C57" s="11">
        <f>November!C57+B55</f>
        <v>1265577</v>
      </c>
      <c r="D57" s="11"/>
      <c r="E57" s="11">
        <f>November!E57+D55</f>
        <v>46303</v>
      </c>
      <c r="F57" s="11"/>
      <c r="G57" s="11">
        <f>November!G57+F55</f>
        <v>45674</v>
      </c>
      <c r="H57" s="11"/>
      <c r="I57" s="11">
        <f>November!I57+H55</f>
        <v>0</v>
      </c>
      <c r="J57" s="11"/>
      <c r="K57" s="11">
        <f>November!K57+J55</f>
        <v>350</v>
      </c>
    </row>
    <row r="58" spans="1:13" s="5" customFormat="1" ht="18" customHeight="1" thickTop="1">
      <c r="A58" s="6" t="s">
        <v>75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6" t="s">
        <v>76</v>
      </c>
      <c r="M58" s="31">
        <f>B58+D58+F58</f>
        <v>0</v>
      </c>
    </row>
    <row r="59" s="5" customFormat="1" ht="18" customHeight="1">
      <c r="A59" s="5" t="s">
        <v>59</v>
      </c>
    </row>
    <row r="60" spans="1:4" s="5" customFormat="1" ht="18" customHeight="1">
      <c r="A60" s="5" t="s">
        <v>12</v>
      </c>
      <c r="D60" s="5">
        <v>63</v>
      </c>
    </row>
    <row r="61" s="5" customFormat="1" ht="18" customHeight="1"/>
    <row r="62" spans="1:7" s="4" customFormat="1" ht="18" customHeight="1">
      <c r="A62" s="4" t="s">
        <v>60</v>
      </c>
      <c r="E62" s="4">
        <f>November!E62+D60</f>
        <v>11278</v>
      </c>
      <c r="G62" s="4">
        <f>November!G62+F60</f>
        <v>31331</v>
      </c>
    </row>
    <row r="63" s="5" customFormat="1" ht="18" customHeight="1"/>
    <row r="64" s="5" customFormat="1" ht="18" customHeight="1"/>
  </sheetData>
  <sheetProtection/>
  <mergeCells count="5">
    <mergeCell ref="B3:C3"/>
    <mergeCell ref="D3:E3"/>
    <mergeCell ref="F3:G3"/>
    <mergeCell ref="H3:I3"/>
    <mergeCell ref="J3:K3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P62"/>
  <sheetViews>
    <sheetView zoomScale="110" zoomScaleNormal="110" zoomScalePageLayoutView="0" workbookViewId="0" topLeftCell="A1">
      <pane ySplit="4" topLeftCell="A26" activePane="bottomLeft" state="frozen"/>
      <selection pane="topLeft" activeCell="A1" sqref="A1"/>
      <selection pane="bottomLeft" activeCell="F51" sqref="F51"/>
    </sheetView>
  </sheetViews>
  <sheetFormatPr defaultColWidth="9.00390625" defaultRowHeight="18" customHeight="1"/>
  <cols>
    <col min="1" max="1" width="18.125" style="2" customWidth="1"/>
    <col min="2" max="3" width="9.00390625" style="2" customWidth="1"/>
    <col min="4" max="4" width="9.25390625" style="2" customWidth="1"/>
    <col min="5" max="5" width="7.625" style="2" bestFit="1" customWidth="1"/>
    <col min="6" max="8" width="9.00390625" style="2" customWidth="1"/>
    <col min="9" max="9" width="12.25390625" style="2" customWidth="1"/>
    <col min="10" max="10" width="7.875" style="2" customWidth="1"/>
    <col min="11" max="14" width="9.00390625" style="2" customWidth="1"/>
    <col min="15" max="16" width="12.25390625" style="2" customWidth="1"/>
    <col min="17" max="16384" width="9.00390625" style="2" customWidth="1"/>
  </cols>
  <sheetData>
    <row r="1" spans="1:8" ht="18" customHeight="1">
      <c r="A1" s="1" t="s">
        <v>77</v>
      </c>
      <c r="F1" s="2" t="s">
        <v>62</v>
      </c>
      <c r="H1" s="2" t="s">
        <v>78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1" s="5" customFormat="1" ht="18" customHeight="1">
      <c r="A3" s="4"/>
      <c r="B3" s="38" t="s">
        <v>0</v>
      </c>
      <c r="C3" s="39"/>
      <c r="D3" s="38" t="s">
        <v>1</v>
      </c>
      <c r="E3" s="39"/>
      <c r="F3" s="38" t="s">
        <v>2</v>
      </c>
      <c r="G3" s="39"/>
      <c r="H3" s="38" t="s">
        <v>3</v>
      </c>
      <c r="I3" s="39"/>
      <c r="J3" s="40" t="s">
        <v>73</v>
      </c>
      <c r="K3" s="41"/>
    </row>
    <row r="4" spans="1:11" s="8" customFormat="1" ht="18" customHeight="1">
      <c r="A4" s="6" t="s">
        <v>4</v>
      </c>
      <c r="B4" s="7" t="s">
        <v>5</v>
      </c>
      <c r="C4" s="7" t="s">
        <v>6</v>
      </c>
      <c r="D4" s="7" t="s">
        <v>5</v>
      </c>
      <c r="E4" s="7" t="s">
        <v>6</v>
      </c>
      <c r="F4" s="7" t="s">
        <v>5</v>
      </c>
      <c r="G4" s="7" t="s">
        <v>6</v>
      </c>
      <c r="H4" s="7" t="s">
        <v>5</v>
      </c>
      <c r="I4" s="7" t="s">
        <v>6</v>
      </c>
      <c r="J4" s="27" t="s">
        <v>5</v>
      </c>
      <c r="K4" s="26" t="s">
        <v>6</v>
      </c>
    </row>
    <row r="5" spans="1:11" s="5" customFormat="1" ht="18" customHeight="1">
      <c r="A5" s="9" t="s">
        <v>7</v>
      </c>
      <c r="B5" s="13"/>
      <c r="C5" s="9">
        <f>January!C5+B5</f>
        <v>0</v>
      </c>
      <c r="D5" s="15">
        <v>2</v>
      </c>
      <c r="E5" s="9">
        <f>January!E5+D5</f>
        <v>2</v>
      </c>
      <c r="F5" s="17"/>
      <c r="G5" s="9">
        <f>January!G5+F5</f>
        <v>0</v>
      </c>
      <c r="H5" s="19"/>
      <c r="I5" s="9">
        <f>January!I5+H5</f>
        <v>0</v>
      </c>
      <c r="J5" s="24"/>
      <c r="K5" s="9">
        <f>January!K5+J5</f>
        <v>0</v>
      </c>
    </row>
    <row r="6" spans="1:11" s="5" customFormat="1" ht="18" customHeight="1">
      <c r="A6" s="9" t="s">
        <v>8</v>
      </c>
      <c r="B6" s="13"/>
      <c r="C6" s="9">
        <f>January!C6+B6</f>
        <v>0</v>
      </c>
      <c r="D6" s="15"/>
      <c r="E6" s="9">
        <f>January!E6+D6</f>
        <v>0</v>
      </c>
      <c r="F6" s="17"/>
      <c r="G6" s="9">
        <f>January!G6+F6</f>
        <v>0</v>
      </c>
      <c r="H6" s="19"/>
      <c r="I6" s="9">
        <f>January!I6+H6</f>
        <v>0</v>
      </c>
      <c r="J6" s="24"/>
      <c r="K6" s="9">
        <f>January!K6+J6</f>
        <v>0</v>
      </c>
    </row>
    <row r="7" spans="1:11" s="5" customFormat="1" ht="18" customHeight="1">
      <c r="A7" s="9" t="s">
        <v>9</v>
      </c>
      <c r="B7" s="13"/>
      <c r="C7" s="9">
        <f>January!C7+B7</f>
        <v>0</v>
      </c>
      <c r="D7" s="15"/>
      <c r="E7" s="9">
        <f>January!E7+D7</f>
        <v>0</v>
      </c>
      <c r="F7" s="17">
        <v>145</v>
      </c>
      <c r="G7" s="9">
        <f>January!G7+F7</f>
        <v>145</v>
      </c>
      <c r="H7" s="19"/>
      <c r="I7" s="9">
        <f>January!I7+H7</f>
        <v>0</v>
      </c>
      <c r="J7" s="24"/>
      <c r="K7" s="9">
        <f>January!K7+J7</f>
        <v>0</v>
      </c>
    </row>
    <row r="8" spans="1:11" s="5" customFormat="1" ht="18" customHeight="1">
      <c r="A8" s="9" t="s">
        <v>10</v>
      </c>
      <c r="B8" s="13">
        <f>160+164</f>
        <v>324</v>
      </c>
      <c r="C8" s="9">
        <f>January!C8+B8</f>
        <v>324</v>
      </c>
      <c r="D8" s="15"/>
      <c r="E8" s="9">
        <f>January!E8+D8</f>
        <v>6</v>
      </c>
      <c r="F8" s="17"/>
      <c r="G8" s="9">
        <f>January!G8+F8</f>
        <v>0</v>
      </c>
      <c r="H8" s="19"/>
      <c r="I8" s="9">
        <f>January!I8+H8</f>
        <v>0</v>
      </c>
      <c r="J8" s="24"/>
      <c r="K8" s="9">
        <f>January!K8+J8</f>
        <v>0</v>
      </c>
    </row>
    <row r="9" spans="1:11" s="5" customFormat="1" ht="18" customHeight="1">
      <c r="A9" s="9" t="s">
        <v>11</v>
      </c>
      <c r="B9" s="13"/>
      <c r="C9" s="9">
        <f>January!C9+B9</f>
        <v>100</v>
      </c>
      <c r="D9" s="15">
        <v>1</v>
      </c>
      <c r="E9" s="9">
        <f>January!E9+D9</f>
        <v>3</v>
      </c>
      <c r="F9" s="17">
        <v>55</v>
      </c>
      <c r="G9" s="9">
        <f>January!G9+F9</f>
        <v>316</v>
      </c>
      <c r="H9" s="19"/>
      <c r="I9" s="9">
        <f>January!I9+H9</f>
        <v>0</v>
      </c>
      <c r="J9" s="24"/>
      <c r="K9" s="9">
        <f>January!K9+J9</f>
        <v>0</v>
      </c>
    </row>
    <row r="10" spans="1:11" s="5" customFormat="1" ht="18" customHeight="1">
      <c r="A10" s="9" t="s">
        <v>12</v>
      </c>
      <c r="B10" s="13"/>
      <c r="C10" s="9">
        <f>January!C10+B10</f>
        <v>107</v>
      </c>
      <c r="D10" s="15">
        <v>1</v>
      </c>
      <c r="E10" s="9">
        <f>January!E10+D10</f>
        <v>83</v>
      </c>
      <c r="F10" s="17"/>
      <c r="G10" s="9">
        <f>January!G10+F10</f>
        <v>0</v>
      </c>
      <c r="H10" s="19"/>
      <c r="I10" s="9">
        <f>January!I10+H10</f>
        <v>0</v>
      </c>
      <c r="J10" s="24"/>
      <c r="K10" s="9">
        <f>January!K10+J10</f>
        <v>0</v>
      </c>
    </row>
    <row r="11" spans="1:11" s="5" customFormat="1" ht="18" customHeight="1">
      <c r="A11" s="9" t="s">
        <v>13</v>
      </c>
      <c r="B11" s="13"/>
      <c r="C11" s="9">
        <f>January!C11+B11</f>
        <v>291</v>
      </c>
      <c r="D11" s="15"/>
      <c r="E11" s="9">
        <f>January!E11+D11</f>
        <v>1</v>
      </c>
      <c r="F11" s="17"/>
      <c r="G11" s="9">
        <f>January!G11+F11</f>
        <v>0</v>
      </c>
      <c r="H11" s="19"/>
      <c r="I11" s="9">
        <f>January!I11+H11</f>
        <v>0</v>
      </c>
      <c r="J11" s="24"/>
      <c r="K11" s="9">
        <f>January!K11+J11</f>
        <v>0</v>
      </c>
    </row>
    <row r="12" spans="1:11" s="5" customFormat="1" ht="18" customHeight="1">
      <c r="A12" s="9" t="s">
        <v>14</v>
      </c>
      <c r="B12" s="13"/>
      <c r="C12" s="9">
        <f>January!C12+B12</f>
        <v>0</v>
      </c>
      <c r="D12" s="15"/>
      <c r="E12" s="9">
        <f>January!E12+D12</f>
        <v>0</v>
      </c>
      <c r="F12" s="17"/>
      <c r="G12" s="9">
        <f>January!G12+F12</f>
        <v>0</v>
      </c>
      <c r="H12" s="19"/>
      <c r="I12" s="9">
        <f>January!I12+H12</f>
        <v>0</v>
      </c>
      <c r="J12" s="24"/>
      <c r="K12" s="9">
        <f>January!K12+J12</f>
        <v>0</v>
      </c>
    </row>
    <row r="13" spans="1:11" s="5" customFormat="1" ht="18" customHeight="1">
      <c r="A13" s="9" t="s">
        <v>15</v>
      </c>
      <c r="B13" s="13"/>
      <c r="C13" s="9">
        <f>January!C13+B13</f>
        <v>0</v>
      </c>
      <c r="D13" s="15"/>
      <c r="E13" s="9">
        <f>January!E13+D13</f>
        <v>0</v>
      </c>
      <c r="F13" s="17"/>
      <c r="G13" s="9">
        <f>January!G13+F13</f>
        <v>0</v>
      </c>
      <c r="H13" s="19"/>
      <c r="I13" s="9">
        <f>January!I13+H13</f>
        <v>0</v>
      </c>
      <c r="J13" s="24"/>
      <c r="K13" s="9">
        <f>January!K13+J13</f>
        <v>0</v>
      </c>
    </row>
    <row r="14" spans="1:11" s="5" customFormat="1" ht="18" customHeight="1">
      <c r="A14" s="9" t="s">
        <v>16</v>
      </c>
      <c r="B14" s="13"/>
      <c r="C14" s="9">
        <f>January!C14+B14</f>
        <v>80</v>
      </c>
      <c r="D14" s="15"/>
      <c r="E14" s="9">
        <f>January!E14+D14</f>
        <v>0</v>
      </c>
      <c r="F14" s="17"/>
      <c r="G14" s="9">
        <f>January!G14+F14</f>
        <v>0</v>
      </c>
      <c r="H14" s="19"/>
      <c r="I14" s="9">
        <f>January!I14+H14</f>
        <v>0</v>
      </c>
      <c r="J14" s="24"/>
      <c r="K14" s="9">
        <f>January!K14+J14</f>
        <v>0</v>
      </c>
    </row>
    <row r="15" spans="1:11" s="5" customFormat="1" ht="18" customHeight="1">
      <c r="A15" s="9" t="s">
        <v>17</v>
      </c>
      <c r="B15" s="13">
        <f>75+90</f>
        <v>165</v>
      </c>
      <c r="C15" s="9">
        <f>January!C15+B15</f>
        <v>251</v>
      </c>
      <c r="D15" s="15"/>
      <c r="E15" s="9">
        <f>January!E15+D15</f>
        <v>0</v>
      </c>
      <c r="F15" s="17"/>
      <c r="G15" s="9">
        <f>January!G15+F15</f>
        <v>0</v>
      </c>
      <c r="H15" s="19"/>
      <c r="I15" s="9">
        <f>January!I15+H15</f>
        <v>0</v>
      </c>
      <c r="J15" s="24"/>
      <c r="K15" s="9">
        <f>January!K15+J15</f>
        <v>0</v>
      </c>
    </row>
    <row r="16" spans="1:11" s="5" customFormat="1" ht="18" customHeight="1">
      <c r="A16" s="9" t="s">
        <v>18</v>
      </c>
      <c r="B16" s="13"/>
      <c r="C16" s="9">
        <f>January!C16+B16</f>
        <v>0</v>
      </c>
      <c r="D16" s="15"/>
      <c r="E16" s="9">
        <f>January!E16+D16</f>
        <v>0</v>
      </c>
      <c r="F16" s="17"/>
      <c r="G16" s="9">
        <f>January!G16+F16</f>
        <v>0</v>
      </c>
      <c r="H16" s="19"/>
      <c r="I16" s="9">
        <f>January!I16+H16</f>
        <v>0</v>
      </c>
      <c r="J16" s="24"/>
      <c r="K16" s="9">
        <f>January!K16+J16</f>
        <v>0</v>
      </c>
    </row>
    <row r="17" spans="1:11" s="5" customFormat="1" ht="18" customHeight="1">
      <c r="A17" s="9" t="s">
        <v>19</v>
      </c>
      <c r="B17" s="13">
        <v>295</v>
      </c>
      <c r="C17" s="9">
        <f>January!C17+B17</f>
        <v>482</v>
      </c>
      <c r="D17" s="15"/>
      <c r="E17" s="9">
        <f>January!E17+D17</f>
        <v>235</v>
      </c>
      <c r="F17" s="17">
        <f>35+4</f>
        <v>39</v>
      </c>
      <c r="G17" s="9">
        <f>January!G17+F17</f>
        <v>39</v>
      </c>
      <c r="H17" s="19"/>
      <c r="I17" s="9">
        <f>January!I17+H17</f>
        <v>0</v>
      </c>
      <c r="J17" s="24"/>
      <c r="K17" s="9">
        <f>January!K17+J17</f>
        <v>0</v>
      </c>
    </row>
    <row r="18" spans="1:11" s="5" customFormat="1" ht="18" customHeight="1">
      <c r="A18" s="9" t="s">
        <v>20</v>
      </c>
      <c r="B18" s="13">
        <f>136+77</f>
        <v>213</v>
      </c>
      <c r="C18" s="9">
        <f>January!C18+B18</f>
        <v>425</v>
      </c>
      <c r="D18" s="15">
        <f>20+62</f>
        <v>82</v>
      </c>
      <c r="E18" s="9">
        <f>January!E18+D18</f>
        <v>104</v>
      </c>
      <c r="F18" s="17">
        <v>2</v>
      </c>
      <c r="G18" s="9">
        <f>January!G18+F18</f>
        <v>13</v>
      </c>
      <c r="H18" s="19"/>
      <c r="I18" s="9">
        <f>January!I18+H18</f>
        <v>0</v>
      </c>
      <c r="J18" s="24"/>
      <c r="K18" s="9">
        <f>January!K18+J18</f>
        <v>0</v>
      </c>
    </row>
    <row r="19" spans="1:11" s="5" customFormat="1" ht="18" customHeight="1">
      <c r="A19" s="9" t="s">
        <v>21</v>
      </c>
      <c r="B19" s="13">
        <f>1584+3652</f>
        <v>5236</v>
      </c>
      <c r="C19" s="9">
        <f>January!C19+B19</f>
        <v>6826</v>
      </c>
      <c r="D19" s="15">
        <v>4</v>
      </c>
      <c r="E19" s="9">
        <f>January!E19+D19</f>
        <v>16</v>
      </c>
      <c r="F19" s="17"/>
      <c r="G19" s="9">
        <f>January!G19+F19</f>
        <v>2519</v>
      </c>
      <c r="H19" s="19"/>
      <c r="I19" s="9">
        <f>January!I19+H19</f>
        <v>0</v>
      </c>
      <c r="J19" s="24"/>
      <c r="K19" s="9">
        <f>January!K19+J19</f>
        <v>0</v>
      </c>
    </row>
    <row r="20" spans="1:11" s="5" customFormat="1" ht="18" customHeight="1">
      <c r="A20" s="9" t="s">
        <v>22</v>
      </c>
      <c r="B20" s="13">
        <v>1531</v>
      </c>
      <c r="C20" s="9">
        <f>January!C20+B20</f>
        <v>5681</v>
      </c>
      <c r="D20" s="15">
        <v>318</v>
      </c>
      <c r="E20" s="9">
        <f>January!E20+D20</f>
        <v>334</v>
      </c>
      <c r="F20" s="17">
        <v>339</v>
      </c>
      <c r="G20" s="9">
        <f>January!G20+F20</f>
        <v>514</v>
      </c>
      <c r="H20" s="19"/>
      <c r="I20" s="9">
        <f>January!I20+H20</f>
        <v>0</v>
      </c>
      <c r="J20" s="24"/>
      <c r="K20" s="9">
        <f>January!K20+J20</f>
        <v>0</v>
      </c>
    </row>
    <row r="21" spans="1:11" s="5" customFormat="1" ht="18" customHeight="1">
      <c r="A21" s="9" t="s">
        <v>23</v>
      </c>
      <c r="B21" s="13">
        <v>5831</v>
      </c>
      <c r="C21" s="9">
        <f>January!C21+B21</f>
        <v>5986</v>
      </c>
      <c r="D21" s="15">
        <v>1</v>
      </c>
      <c r="E21" s="9">
        <f>January!E21+D21</f>
        <v>521</v>
      </c>
      <c r="F21" s="17"/>
      <c r="G21" s="9">
        <f>January!G21+F21</f>
        <v>0</v>
      </c>
      <c r="H21" s="19"/>
      <c r="I21" s="9">
        <f>January!I21+H21</f>
        <v>0</v>
      </c>
      <c r="J21" s="24"/>
      <c r="K21" s="9">
        <f>January!K21+J21</f>
        <v>0</v>
      </c>
    </row>
    <row r="22" spans="1:11" s="5" customFormat="1" ht="18" customHeight="1">
      <c r="A22" s="9" t="s">
        <v>24</v>
      </c>
      <c r="B22" s="13"/>
      <c r="C22" s="9">
        <f>January!C22+B22</f>
        <v>0</v>
      </c>
      <c r="D22" s="15"/>
      <c r="E22" s="9">
        <f>January!E22+D22</f>
        <v>0</v>
      </c>
      <c r="F22" s="17"/>
      <c r="G22" s="9">
        <f>January!G22+F22</f>
        <v>0</v>
      </c>
      <c r="H22" s="19"/>
      <c r="I22" s="9">
        <f>January!I22+H22</f>
        <v>0</v>
      </c>
      <c r="J22" s="24"/>
      <c r="K22" s="9">
        <f>January!K22+J22</f>
        <v>0</v>
      </c>
    </row>
    <row r="23" spans="1:11" s="5" customFormat="1" ht="18" customHeight="1">
      <c r="A23" s="9" t="s">
        <v>25</v>
      </c>
      <c r="B23" s="13"/>
      <c r="C23" s="9">
        <f>January!C23+B23</f>
        <v>0</v>
      </c>
      <c r="D23" s="15"/>
      <c r="E23" s="9">
        <f>January!E23+D23</f>
        <v>0</v>
      </c>
      <c r="F23" s="17"/>
      <c r="G23" s="9">
        <f>January!G23+F23</f>
        <v>0</v>
      </c>
      <c r="H23" s="19"/>
      <c r="I23" s="9">
        <f>January!I23+H23</f>
        <v>0</v>
      </c>
      <c r="J23" s="24"/>
      <c r="K23" s="9">
        <f>January!K23+J23</f>
        <v>0</v>
      </c>
    </row>
    <row r="24" spans="1:11" s="5" customFormat="1" ht="18" customHeight="1">
      <c r="A24" s="9" t="s">
        <v>26</v>
      </c>
      <c r="B24" s="13"/>
      <c r="C24" s="9">
        <f>January!C24+B24</f>
        <v>0</v>
      </c>
      <c r="D24" s="15">
        <v>1</v>
      </c>
      <c r="E24" s="9">
        <f>January!E24+D24</f>
        <v>1</v>
      </c>
      <c r="F24" s="17"/>
      <c r="G24" s="9">
        <f>January!G24+F24</f>
        <v>0</v>
      </c>
      <c r="H24" s="19"/>
      <c r="I24" s="9">
        <f>January!I24+H24</f>
        <v>0</v>
      </c>
      <c r="J24" s="24"/>
      <c r="K24" s="9">
        <f>January!K24+J24</f>
        <v>0</v>
      </c>
    </row>
    <row r="25" spans="1:11" s="5" customFormat="1" ht="18" customHeight="1">
      <c r="A25" s="9" t="s">
        <v>27</v>
      </c>
      <c r="B25" s="13"/>
      <c r="C25" s="9">
        <f>January!C25+B25</f>
        <v>0</v>
      </c>
      <c r="D25" s="15"/>
      <c r="E25" s="9">
        <f>January!E25+D25</f>
        <v>0</v>
      </c>
      <c r="F25" s="17"/>
      <c r="G25" s="9">
        <f>January!G25+F25</f>
        <v>0</v>
      </c>
      <c r="H25" s="19"/>
      <c r="I25" s="9">
        <f>January!I25+H25</f>
        <v>0</v>
      </c>
      <c r="J25" s="24"/>
      <c r="K25" s="9">
        <f>January!K25+J25</f>
        <v>0</v>
      </c>
    </row>
    <row r="26" spans="1:11" s="5" customFormat="1" ht="18" customHeight="1">
      <c r="A26" s="9" t="s">
        <v>28</v>
      </c>
      <c r="B26" s="13">
        <v>3356</v>
      </c>
      <c r="C26" s="9">
        <f>January!C26+B26</f>
        <v>7361</v>
      </c>
      <c r="D26" s="15">
        <v>46</v>
      </c>
      <c r="E26" s="9">
        <f>January!E26+D26</f>
        <v>46</v>
      </c>
      <c r="F26" s="17">
        <v>34</v>
      </c>
      <c r="G26" s="9">
        <f>January!G26+F26</f>
        <v>34</v>
      </c>
      <c r="H26" s="19"/>
      <c r="I26" s="9">
        <f>January!I26+H26</f>
        <v>0</v>
      </c>
      <c r="J26" s="24"/>
      <c r="K26" s="9">
        <f>January!K26+J26</f>
        <v>0</v>
      </c>
    </row>
    <row r="27" spans="1:11" s="5" customFormat="1" ht="18" customHeight="1">
      <c r="A27" s="9" t="s">
        <v>29</v>
      </c>
      <c r="B27" s="13">
        <f>147+2566</f>
        <v>2713</v>
      </c>
      <c r="C27" s="9">
        <f>January!C27+B27</f>
        <v>5120</v>
      </c>
      <c r="D27" s="15">
        <f>16+194</f>
        <v>210</v>
      </c>
      <c r="E27" s="9">
        <f>January!E27+D27</f>
        <v>322</v>
      </c>
      <c r="F27" s="17">
        <f>113+421</f>
        <v>534</v>
      </c>
      <c r="G27" s="9">
        <f>January!G27+F27</f>
        <v>1584</v>
      </c>
      <c r="H27" s="19"/>
      <c r="I27" s="9">
        <f>January!I27+H27</f>
        <v>0</v>
      </c>
      <c r="J27" s="24"/>
      <c r="K27" s="9">
        <f>January!K27+J27</f>
        <v>0</v>
      </c>
    </row>
    <row r="28" spans="1:11" s="5" customFormat="1" ht="18" customHeight="1">
      <c r="A28" s="9" t="s">
        <v>30</v>
      </c>
      <c r="B28" s="13">
        <v>76</v>
      </c>
      <c r="C28" s="9">
        <f>January!C28+B28</f>
        <v>76</v>
      </c>
      <c r="D28" s="15"/>
      <c r="E28" s="9">
        <f>January!E28+D28</f>
        <v>0</v>
      </c>
      <c r="F28" s="17"/>
      <c r="G28" s="9">
        <f>January!G28+F28</f>
        <v>0</v>
      </c>
      <c r="H28" s="19"/>
      <c r="I28" s="9">
        <f>January!I28+H28</f>
        <v>0</v>
      </c>
      <c r="J28" s="24"/>
      <c r="K28" s="9">
        <f>January!K28+J28</f>
        <v>0</v>
      </c>
    </row>
    <row r="29" spans="1:11" s="5" customFormat="1" ht="18" customHeight="1">
      <c r="A29" s="9" t="s">
        <v>31</v>
      </c>
      <c r="B29" s="13">
        <v>6069</v>
      </c>
      <c r="C29" s="9">
        <f>January!C29+B29</f>
        <v>11246</v>
      </c>
      <c r="D29" s="15">
        <f>277+7</f>
        <v>284</v>
      </c>
      <c r="E29" s="9">
        <f>January!E29+D29</f>
        <v>320</v>
      </c>
      <c r="F29" s="17"/>
      <c r="G29" s="9">
        <f>January!G29+F29</f>
        <v>890</v>
      </c>
      <c r="H29" s="19"/>
      <c r="I29" s="9">
        <f>January!I29+H29</f>
        <v>0</v>
      </c>
      <c r="J29" s="24"/>
      <c r="K29" s="9">
        <f>January!K29+J29</f>
        <v>0</v>
      </c>
    </row>
    <row r="30" spans="1:11" s="5" customFormat="1" ht="18" customHeight="1">
      <c r="A30" s="9" t="s">
        <v>32</v>
      </c>
      <c r="B30" s="13">
        <f>2110+3997</f>
        <v>6107</v>
      </c>
      <c r="C30" s="9">
        <f>January!C30+B30</f>
        <v>12780</v>
      </c>
      <c r="D30" s="15">
        <f>329+50</f>
        <v>379</v>
      </c>
      <c r="E30" s="9">
        <f>January!E30+D30</f>
        <v>1528</v>
      </c>
      <c r="F30" s="17"/>
      <c r="G30" s="9">
        <f>January!G30+F30</f>
        <v>0</v>
      </c>
      <c r="H30" s="19"/>
      <c r="I30" s="9">
        <f>January!I30+H30</f>
        <v>0</v>
      </c>
      <c r="J30" s="24"/>
      <c r="K30" s="9">
        <f>January!K30+J30</f>
        <v>0</v>
      </c>
    </row>
    <row r="31" spans="1:11" s="5" customFormat="1" ht="18" customHeight="1">
      <c r="A31" s="9" t="s">
        <v>33</v>
      </c>
      <c r="B31" s="13"/>
      <c r="C31" s="9">
        <f>January!C31+B31</f>
        <v>7172</v>
      </c>
      <c r="D31" s="15"/>
      <c r="E31" s="9">
        <f>January!E31+D31</f>
        <v>1081</v>
      </c>
      <c r="F31" s="17"/>
      <c r="G31" s="9">
        <f>January!G31+F31</f>
        <v>343</v>
      </c>
      <c r="H31" s="19"/>
      <c r="I31" s="9">
        <f>January!I31+H31</f>
        <v>0</v>
      </c>
      <c r="J31" s="24"/>
      <c r="K31" s="9">
        <f>January!K31+J31</f>
        <v>0</v>
      </c>
    </row>
    <row r="32" spans="1:11" s="5" customFormat="1" ht="18" customHeight="1">
      <c r="A32" s="9" t="s">
        <v>34</v>
      </c>
      <c r="B32" s="13"/>
      <c r="C32" s="9">
        <f>January!C32+B32</f>
        <v>0</v>
      </c>
      <c r="D32" s="15"/>
      <c r="E32" s="9">
        <f>January!E32+D32</f>
        <v>0</v>
      </c>
      <c r="F32" s="17"/>
      <c r="G32" s="9">
        <f>January!G32+F32</f>
        <v>0</v>
      </c>
      <c r="H32" s="19"/>
      <c r="I32" s="9">
        <f>January!I32+H32</f>
        <v>0</v>
      </c>
      <c r="J32" s="24"/>
      <c r="K32" s="9">
        <f>January!K32+J32</f>
        <v>0</v>
      </c>
    </row>
    <row r="33" spans="1:11" s="5" customFormat="1" ht="18" customHeight="1">
      <c r="A33" s="9" t="s">
        <v>35</v>
      </c>
      <c r="B33" s="13"/>
      <c r="C33" s="9">
        <f>January!C33+B33</f>
        <v>0</v>
      </c>
      <c r="D33" s="15"/>
      <c r="E33" s="9">
        <f>January!E33+D33</f>
        <v>0</v>
      </c>
      <c r="F33" s="17"/>
      <c r="G33" s="9">
        <f>January!G33+F33</f>
        <v>0</v>
      </c>
      <c r="H33" s="19"/>
      <c r="I33" s="9">
        <f>January!I33+H33</f>
        <v>0</v>
      </c>
      <c r="J33" s="24"/>
      <c r="K33" s="9">
        <f>January!K33+J33</f>
        <v>0</v>
      </c>
    </row>
    <row r="34" spans="1:11" s="5" customFormat="1" ht="18" customHeight="1">
      <c r="A34" s="9" t="s">
        <v>36</v>
      </c>
      <c r="B34" s="13"/>
      <c r="C34" s="9">
        <f>January!C34+B34</f>
        <v>0</v>
      </c>
      <c r="D34" s="15"/>
      <c r="E34" s="9">
        <f>January!E34+D34</f>
        <v>0</v>
      </c>
      <c r="F34" s="17"/>
      <c r="G34" s="9">
        <f>January!G34+F34</f>
        <v>0</v>
      </c>
      <c r="H34" s="19"/>
      <c r="I34" s="9">
        <f>January!I34+H34</f>
        <v>0</v>
      </c>
      <c r="J34" s="24"/>
      <c r="K34" s="9">
        <f>January!K34+J34</f>
        <v>0</v>
      </c>
    </row>
    <row r="35" spans="1:11" s="5" customFormat="1" ht="18" customHeight="1">
      <c r="A35" s="9" t="s">
        <v>37</v>
      </c>
      <c r="B35" s="13">
        <v>335</v>
      </c>
      <c r="C35" s="9">
        <f>January!C35+B35</f>
        <v>335</v>
      </c>
      <c r="D35" s="15">
        <v>20</v>
      </c>
      <c r="E35" s="9">
        <f>January!E35+D35</f>
        <v>20</v>
      </c>
      <c r="F35" s="17"/>
      <c r="G35" s="9">
        <f>January!G35+F35</f>
        <v>0</v>
      </c>
      <c r="H35" s="19"/>
      <c r="I35" s="9">
        <f>January!I35+H35</f>
        <v>0</v>
      </c>
      <c r="J35" s="24"/>
      <c r="K35" s="9">
        <f>January!K35+J35</f>
        <v>0</v>
      </c>
    </row>
    <row r="36" spans="1:11" s="5" customFormat="1" ht="18" customHeight="1">
      <c r="A36" s="9" t="s">
        <v>38</v>
      </c>
      <c r="B36" s="13">
        <v>145</v>
      </c>
      <c r="C36" s="9">
        <f>January!C36+B36</f>
        <v>145</v>
      </c>
      <c r="D36" s="15"/>
      <c r="E36" s="9">
        <f>January!E36+D36</f>
        <v>0</v>
      </c>
      <c r="F36" s="17">
        <v>294</v>
      </c>
      <c r="G36" s="9">
        <f>January!G36+F36</f>
        <v>539</v>
      </c>
      <c r="H36" s="19"/>
      <c r="I36" s="9">
        <f>January!I36+H36</f>
        <v>0</v>
      </c>
      <c r="J36" s="24"/>
      <c r="K36" s="9">
        <f>January!K36+J36</f>
        <v>0</v>
      </c>
    </row>
    <row r="37" spans="1:11" s="5" customFormat="1" ht="18" customHeight="1">
      <c r="A37" s="9" t="s">
        <v>39</v>
      </c>
      <c r="B37" s="13">
        <v>10</v>
      </c>
      <c r="C37" s="9">
        <f>January!C37+B37</f>
        <v>10</v>
      </c>
      <c r="D37" s="15">
        <v>3</v>
      </c>
      <c r="E37" s="9">
        <f>January!E37+D37</f>
        <v>147</v>
      </c>
      <c r="F37" s="17"/>
      <c r="G37" s="9">
        <f>January!G37+F37</f>
        <v>0</v>
      </c>
      <c r="H37" s="19"/>
      <c r="I37" s="9">
        <f>January!I37+H37</f>
        <v>0</v>
      </c>
      <c r="J37" s="24"/>
      <c r="K37" s="9">
        <f>January!K37+J37</f>
        <v>0</v>
      </c>
    </row>
    <row r="38" spans="1:11" s="5" customFormat="1" ht="18" customHeight="1">
      <c r="A38" s="9" t="s">
        <v>40</v>
      </c>
      <c r="B38" s="13">
        <f>603+9839</f>
        <v>10442</v>
      </c>
      <c r="C38" s="9">
        <f>January!C38+B38</f>
        <v>19160</v>
      </c>
      <c r="D38" s="15">
        <v>25</v>
      </c>
      <c r="E38" s="9">
        <f>January!E38+D38</f>
        <v>249</v>
      </c>
      <c r="F38" s="17"/>
      <c r="G38" s="9">
        <f>January!G38+F38</f>
        <v>0</v>
      </c>
      <c r="H38" s="19"/>
      <c r="I38" s="9">
        <f>January!I38+H38</f>
        <v>0</v>
      </c>
      <c r="J38" s="24"/>
      <c r="K38" s="9">
        <f>January!K38+J38</f>
        <v>0</v>
      </c>
    </row>
    <row r="39" spans="1:11" s="5" customFormat="1" ht="18" customHeight="1">
      <c r="A39" s="9" t="s">
        <v>41</v>
      </c>
      <c r="B39" s="13">
        <v>1759</v>
      </c>
      <c r="C39" s="9">
        <f>January!C39+B39</f>
        <v>3514</v>
      </c>
      <c r="D39" s="15"/>
      <c r="E39" s="9">
        <f>January!E39+D39</f>
        <v>0</v>
      </c>
      <c r="F39" s="17"/>
      <c r="G39" s="9">
        <f>January!G39+F39</f>
        <v>99</v>
      </c>
      <c r="H39" s="19"/>
      <c r="I39" s="9">
        <f>January!I39+H39</f>
        <v>0</v>
      </c>
      <c r="J39" s="24"/>
      <c r="K39" s="9">
        <f>January!K39+J39</f>
        <v>0</v>
      </c>
    </row>
    <row r="40" spans="1:11" s="5" customFormat="1" ht="18" customHeight="1">
      <c r="A40" s="9" t="s">
        <v>42</v>
      </c>
      <c r="B40" s="13">
        <v>223</v>
      </c>
      <c r="C40" s="9">
        <f>January!C40+B40</f>
        <v>520</v>
      </c>
      <c r="D40" s="15">
        <v>9</v>
      </c>
      <c r="E40" s="9">
        <f>January!E40+D40</f>
        <v>35</v>
      </c>
      <c r="F40" s="17"/>
      <c r="G40" s="9">
        <f>January!G40+F40</f>
        <v>0</v>
      </c>
      <c r="H40" s="19"/>
      <c r="I40" s="9">
        <f>January!I40+H40</f>
        <v>0</v>
      </c>
      <c r="J40" s="24"/>
      <c r="K40" s="9">
        <f>January!K40+J40</f>
        <v>0</v>
      </c>
    </row>
    <row r="41" spans="1:11" s="5" customFormat="1" ht="18" customHeight="1">
      <c r="A41" s="9" t="s">
        <v>43</v>
      </c>
      <c r="B41" s="13"/>
      <c r="C41" s="9">
        <f>January!C41+B41</f>
        <v>0</v>
      </c>
      <c r="D41" s="15"/>
      <c r="E41" s="9">
        <f>January!E41+D41</f>
        <v>0</v>
      </c>
      <c r="F41" s="17"/>
      <c r="G41" s="9">
        <f>January!G41+F41</f>
        <v>0</v>
      </c>
      <c r="H41" s="19"/>
      <c r="I41" s="9">
        <f>January!I41+H41</f>
        <v>0</v>
      </c>
      <c r="J41" s="24"/>
      <c r="K41" s="9">
        <f>January!K41+J41</f>
        <v>0</v>
      </c>
    </row>
    <row r="42" spans="1:11" s="5" customFormat="1" ht="18" customHeight="1">
      <c r="A42" s="9" t="s">
        <v>44</v>
      </c>
      <c r="B42" s="13">
        <v>1057</v>
      </c>
      <c r="C42" s="9">
        <f>January!C42+B42</f>
        <v>1057</v>
      </c>
      <c r="D42" s="15">
        <v>1</v>
      </c>
      <c r="E42" s="9">
        <f>January!E42+D42</f>
        <v>1</v>
      </c>
      <c r="F42" s="17">
        <v>90</v>
      </c>
      <c r="G42" s="9">
        <f>January!G42+F42</f>
        <v>137</v>
      </c>
      <c r="H42" s="19"/>
      <c r="I42" s="9">
        <f>January!I42+H42</f>
        <v>0</v>
      </c>
      <c r="J42" s="24"/>
      <c r="K42" s="9">
        <f>January!K42+J42</f>
        <v>0</v>
      </c>
    </row>
    <row r="43" spans="1:11" s="5" customFormat="1" ht="18" customHeight="1">
      <c r="A43" s="9" t="s">
        <v>45</v>
      </c>
      <c r="B43" s="13"/>
      <c r="C43" s="9">
        <f>January!C43+B43</f>
        <v>0</v>
      </c>
      <c r="D43" s="15"/>
      <c r="E43" s="9">
        <f>January!E43+D43</f>
        <v>0</v>
      </c>
      <c r="F43" s="17"/>
      <c r="G43" s="9">
        <f>January!G43+F43</f>
        <v>0</v>
      </c>
      <c r="H43" s="19"/>
      <c r="I43" s="9">
        <f>January!I43+H43</f>
        <v>0</v>
      </c>
      <c r="J43" s="24"/>
      <c r="K43" s="9">
        <f>January!K43+J43</f>
        <v>0</v>
      </c>
    </row>
    <row r="44" spans="1:11" s="5" customFormat="1" ht="18" customHeight="1">
      <c r="A44" s="9" t="s">
        <v>46</v>
      </c>
      <c r="B44" s="13"/>
      <c r="C44" s="9">
        <f>January!C44+B44</f>
        <v>0</v>
      </c>
      <c r="D44" s="15"/>
      <c r="E44" s="9">
        <f>January!E44+D44</f>
        <v>0</v>
      </c>
      <c r="F44" s="17">
        <v>14</v>
      </c>
      <c r="G44" s="9">
        <f>January!G44+F44</f>
        <v>14</v>
      </c>
      <c r="H44" s="19"/>
      <c r="I44" s="9">
        <f>January!I44+H44</f>
        <v>0</v>
      </c>
      <c r="J44" s="24"/>
      <c r="K44" s="9">
        <f>January!K44+J44</f>
        <v>0</v>
      </c>
    </row>
    <row r="45" spans="1:11" s="5" customFormat="1" ht="18" customHeight="1">
      <c r="A45" s="9" t="s">
        <v>47</v>
      </c>
      <c r="B45" s="13">
        <f>2799+17339</f>
        <v>20138</v>
      </c>
      <c r="C45" s="9">
        <f>January!C45+B45</f>
        <v>49938</v>
      </c>
      <c r="D45" s="15">
        <f>119+207</f>
        <v>326</v>
      </c>
      <c r="E45" s="9">
        <f>January!E45+D45</f>
        <v>1394</v>
      </c>
      <c r="F45" s="17"/>
      <c r="G45" s="9">
        <f>January!G45+F45</f>
        <v>38</v>
      </c>
      <c r="H45" s="19"/>
      <c r="I45" s="9">
        <f>January!I45+H45</f>
        <v>0</v>
      </c>
      <c r="J45" s="24"/>
      <c r="K45" s="9">
        <f>January!K45+J45</f>
        <v>0</v>
      </c>
    </row>
    <row r="46" spans="1:15" s="5" customFormat="1" ht="18" customHeight="1">
      <c r="A46" s="9" t="s">
        <v>48</v>
      </c>
      <c r="B46" s="13">
        <v>806</v>
      </c>
      <c r="C46" s="9">
        <f>January!C46+B46</f>
        <v>1812</v>
      </c>
      <c r="D46" s="15"/>
      <c r="E46" s="9">
        <f>January!E46+D46</f>
        <v>0</v>
      </c>
      <c r="F46" s="17">
        <v>65</v>
      </c>
      <c r="G46" s="9">
        <f>January!G46+F46</f>
        <v>65</v>
      </c>
      <c r="H46" s="19"/>
      <c r="I46" s="9">
        <f>January!I46+H46</f>
        <v>0</v>
      </c>
      <c r="J46" s="24"/>
      <c r="K46" s="9">
        <f>January!K46+J46</f>
        <v>0</v>
      </c>
      <c r="O46" s="5" t="s">
        <v>74</v>
      </c>
    </row>
    <row r="47" spans="1:11" s="5" customFormat="1" ht="18" customHeight="1">
      <c r="A47" s="9" t="s">
        <v>49</v>
      </c>
      <c r="B47" s="13">
        <f>1487+600</f>
        <v>2087</v>
      </c>
      <c r="C47" s="9">
        <f>January!C47+B47</f>
        <v>4272</v>
      </c>
      <c r="D47" s="15">
        <v>16</v>
      </c>
      <c r="E47" s="9">
        <f>D47+January!E47</f>
        <v>19</v>
      </c>
      <c r="F47" s="17">
        <f>844+191</f>
        <v>1035</v>
      </c>
      <c r="G47" s="9">
        <f>January!G47+F47</f>
        <v>1035</v>
      </c>
      <c r="H47" s="19"/>
      <c r="I47" s="9">
        <f>January!I47+H47</f>
        <v>0</v>
      </c>
      <c r="J47" s="24"/>
      <c r="K47" s="9">
        <f>January!K47+J47</f>
        <v>0</v>
      </c>
    </row>
    <row r="48" spans="1:11" s="5" customFormat="1" ht="18" customHeight="1">
      <c r="A48" s="9" t="s">
        <v>50</v>
      </c>
      <c r="B48" s="13">
        <v>49</v>
      </c>
      <c r="C48" s="9">
        <f>January!C48+B48</f>
        <v>259</v>
      </c>
      <c r="D48" s="15"/>
      <c r="E48" s="9">
        <f>January!E48+D48</f>
        <v>0</v>
      </c>
      <c r="F48" s="17">
        <v>47</v>
      </c>
      <c r="G48" s="9">
        <f>January!G48+F48</f>
        <v>881</v>
      </c>
      <c r="H48" s="19"/>
      <c r="I48" s="9">
        <f>January!I48+H48</f>
        <v>0</v>
      </c>
      <c r="J48" s="24"/>
      <c r="K48" s="9">
        <f>January!K48+J48</f>
        <v>0</v>
      </c>
    </row>
    <row r="49" spans="1:11" s="5" customFormat="1" ht="18" customHeight="1">
      <c r="A49" s="9" t="s">
        <v>51</v>
      </c>
      <c r="B49" s="13"/>
      <c r="C49" s="9">
        <f>January!C49+B49</f>
        <v>0</v>
      </c>
      <c r="D49" s="15"/>
      <c r="E49" s="9">
        <f>January!E49+D49</f>
        <v>0</v>
      </c>
      <c r="F49" s="17"/>
      <c r="G49" s="9">
        <f>January!G49+F49</f>
        <v>0</v>
      </c>
      <c r="H49" s="19"/>
      <c r="I49" s="9">
        <f>January!I49+H49</f>
        <v>0</v>
      </c>
      <c r="J49" s="24"/>
      <c r="K49" s="9">
        <f>January!K49+J49</f>
        <v>0</v>
      </c>
    </row>
    <row r="50" spans="1:11" s="5" customFormat="1" ht="18" customHeight="1">
      <c r="A50" s="9" t="s">
        <v>52</v>
      </c>
      <c r="B50" s="13"/>
      <c r="C50" s="9">
        <f>January!C50+B50</f>
        <v>0</v>
      </c>
      <c r="D50" s="15"/>
      <c r="E50" s="9">
        <f>January!E50+D50</f>
        <v>0</v>
      </c>
      <c r="F50" s="17"/>
      <c r="G50" s="9">
        <f>January!G50+F50</f>
        <v>0</v>
      </c>
      <c r="H50" s="19"/>
      <c r="I50" s="9">
        <f>January!I50+H50</f>
        <v>0</v>
      </c>
      <c r="J50" s="24"/>
      <c r="K50" s="9">
        <f>January!K50+J50</f>
        <v>0</v>
      </c>
    </row>
    <row r="51" spans="1:11" s="5" customFormat="1" ht="18" customHeight="1">
      <c r="A51" s="9" t="s">
        <v>53</v>
      </c>
      <c r="B51" s="13"/>
      <c r="C51" s="9">
        <f>January!C51+B51</f>
        <v>0</v>
      </c>
      <c r="D51" s="15"/>
      <c r="E51" s="9">
        <f>January!E51+D51</f>
        <v>0</v>
      </c>
      <c r="F51" s="17">
        <v>1</v>
      </c>
      <c r="G51" s="9">
        <f>January!G51+F51</f>
        <v>1</v>
      </c>
      <c r="H51" s="19"/>
      <c r="I51" s="9">
        <f>January!I51+H51</f>
        <v>0</v>
      </c>
      <c r="J51" s="24"/>
      <c r="K51" s="9">
        <f>January!K51+J51</f>
        <v>0</v>
      </c>
    </row>
    <row r="52" spans="1:11" s="5" customFormat="1" ht="18" customHeight="1">
      <c r="A52" s="9" t="s">
        <v>54</v>
      </c>
      <c r="B52" s="13">
        <v>1</v>
      </c>
      <c r="C52" s="9">
        <f>January!C52+B52</f>
        <v>85</v>
      </c>
      <c r="D52" s="15">
        <v>1</v>
      </c>
      <c r="E52" s="9">
        <f>January!E52+D52</f>
        <v>1</v>
      </c>
      <c r="F52" s="17"/>
      <c r="G52" s="9">
        <f>January!G52+F52</f>
        <v>0</v>
      </c>
      <c r="H52" s="19"/>
      <c r="I52" s="9">
        <f>January!I52+H52</f>
        <v>0</v>
      </c>
      <c r="J52" s="24"/>
      <c r="K52" s="9">
        <f>January!K52+J52</f>
        <v>0</v>
      </c>
    </row>
    <row r="53" spans="1:11" s="5" customFormat="1" ht="18" customHeight="1">
      <c r="A53" s="9" t="s">
        <v>55</v>
      </c>
      <c r="B53" s="13">
        <f>952+4167</f>
        <v>5119</v>
      </c>
      <c r="C53" s="9">
        <f>January!C53+B53</f>
        <v>10994</v>
      </c>
      <c r="D53" s="15">
        <v>332</v>
      </c>
      <c r="E53" s="9">
        <f>January!E53+D53</f>
        <v>614</v>
      </c>
      <c r="F53" s="17">
        <f>161+1482</f>
        <v>1643</v>
      </c>
      <c r="G53" s="9">
        <f>January!G53+F53</f>
        <v>2643</v>
      </c>
      <c r="H53" s="19"/>
      <c r="I53" s="9">
        <f>January!I53+H53</f>
        <v>0</v>
      </c>
      <c r="J53" s="24"/>
      <c r="K53" s="9">
        <f>January!K53+J53</f>
        <v>0</v>
      </c>
    </row>
    <row r="54" spans="1:11" s="5" customFormat="1" ht="18" customHeight="1" thickBot="1">
      <c r="A54" s="10" t="s">
        <v>56</v>
      </c>
      <c r="B54" s="13">
        <f>160+70</f>
        <v>230</v>
      </c>
      <c r="C54" s="9">
        <f>January!C54+B54</f>
        <v>475</v>
      </c>
      <c r="D54" s="15">
        <f>79+45</f>
        <v>124</v>
      </c>
      <c r="E54" s="9">
        <f>January!E54+D54</f>
        <v>334</v>
      </c>
      <c r="F54" s="17"/>
      <c r="G54" s="9">
        <f>January!G54+F54</f>
        <v>0</v>
      </c>
      <c r="H54" s="19"/>
      <c r="I54" s="9">
        <f>January!I54+H54</f>
        <v>0</v>
      </c>
      <c r="J54" s="25"/>
      <c r="K54" s="9">
        <f>January!K54+J54</f>
        <v>0</v>
      </c>
    </row>
    <row r="55" spans="1:11" s="5" customFormat="1" ht="18" customHeight="1" thickBot="1" thickTop="1">
      <c r="A55" s="11" t="s">
        <v>57</v>
      </c>
      <c r="B55" s="11">
        <f>SUM(B5:B54)</f>
        <v>74317</v>
      </c>
      <c r="C55" s="11"/>
      <c r="D55" s="11">
        <f>SUM(D5:D54)</f>
        <v>2186</v>
      </c>
      <c r="E55" s="11"/>
      <c r="F55" s="11">
        <f>SUM(F5:F54)</f>
        <v>4337</v>
      </c>
      <c r="G55" s="11"/>
      <c r="H55" s="11">
        <f>SUM(H5:H54)</f>
        <v>0</v>
      </c>
      <c r="I55" s="11"/>
      <c r="J55" s="11">
        <f>SUM(J5:J54)</f>
        <v>0</v>
      </c>
      <c r="K55" s="23"/>
    </row>
    <row r="56" spans="1:9" s="5" customFormat="1" ht="18" customHeight="1" thickBot="1" thickTop="1">
      <c r="A56" s="8"/>
      <c r="B56" s="8"/>
      <c r="C56" s="8"/>
      <c r="D56" s="8"/>
      <c r="E56" s="8"/>
      <c r="F56" s="8"/>
      <c r="G56" s="8"/>
      <c r="H56" s="8"/>
      <c r="I56" s="8"/>
    </row>
    <row r="57" spans="1:11" s="5" customFormat="1" ht="18" customHeight="1" thickBot="1" thickTop="1">
      <c r="A57" s="12" t="s">
        <v>58</v>
      </c>
      <c r="B57" s="11"/>
      <c r="C57" s="11">
        <f>January!C57+B55</f>
        <v>156884</v>
      </c>
      <c r="D57" s="11"/>
      <c r="E57" s="11">
        <f>January!E57+D55</f>
        <v>7417</v>
      </c>
      <c r="F57" s="11"/>
      <c r="G57" s="11">
        <f>January!G57+F55</f>
        <v>11849</v>
      </c>
      <c r="H57" s="11"/>
      <c r="I57" s="11">
        <f>January!I57+H55</f>
        <v>0</v>
      </c>
      <c r="J57" s="11"/>
      <c r="K57" s="11">
        <f>January!K57+J55</f>
        <v>0</v>
      </c>
    </row>
    <row r="58" spans="1:13" s="5" customFormat="1" ht="18" customHeight="1" thickTop="1">
      <c r="A58" s="6" t="s">
        <v>75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6" t="s">
        <v>76</v>
      </c>
      <c r="M58" s="31">
        <f>B58+D58+F58</f>
        <v>0</v>
      </c>
    </row>
    <row r="59" s="5" customFormat="1" ht="18" customHeight="1">
      <c r="A59" s="5" t="s">
        <v>59</v>
      </c>
    </row>
    <row r="60" spans="1:6" s="5" customFormat="1" ht="18" customHeight="1">
      <c r="A60" s="5" t="s">
        <v>12</v>
      </c>
      <c r="D60" s="28">
        <v>23</v>
      </c>
      <c r="E60" s="8"/>
      <c r="F60" s="28">
        <v>2382</v>
      </c>
    </row>
    <row r="61" s="5" customFormat="1" ht="18" customHeight="1"/>
    <row r="62" spans="1:7" s="4" customFormat="1" ht="18" customHeight="1">
      <c r="A62" s="4" t="s">
        <v>60</v>
      </c>
      <c r="E62" s="28">
        <f>January!E62+D60</f>
        <v>1023</v>
      </c>
      <c r="G62" s="28">
        <f>January!G62+F60</f>
        <v>14822</v>
      </c>
    </row>
    <row r="63" s="5" customFormat="1" ht="18" customHeight="1"/>
    <row r="64" s="5" customFormat="1" ht="18" customHeight="1"/>
  </sheetData>
  <sheetProtection/>
  <mergeCells count="5">
    <mergeCell ref="B3:C3"/>
    <mergeCell ref="D3:E3"/>
    <mergeCell ref="F3:G3"/>
    <mergeCell ref="H3:I3"/>
    <mergeCell ref="J3:K3"/>
  </mergeCells>
  <printOptions/>
  <pageMargins left="0.1" right="0.1" top="0.1" bottom="0.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P62"/>
  <sheetViews>
    <sheetView zoomScale="110" zoomScaleNormal="110" zoomScalePageLayoutView="0" workbookViewId="0" topLeftCell="A1">
      <pane ySplit="4" topLeftCell="A35" activePane="bottomLeft" state="frozen"/>
      <selection pane="topLeft" activeCell="A1" sqref="A1"/>
      <selection pane="bottomLeft" activeCell="A59" sqref="A59"/>
    </sheetView>
  </sheetViews>
  <sheetFormatPr defaultColWidth="9.00390625" defaultRowHeight="18" customHeight="1"/>
  <cols>
    <col min="1" max="1" width="18.125" style="2" customWidth="1"/>
    <col min="2" max="3" width="9.00390625" style="2" customWidth="1"/>
    <col min="4" max="4" width="9.25390625" style="2" customWidth="1"/>
    <col min="5" max="5" width="7.00390625" style="2" customWidth="1"/>
    <col min="6" max="8" width="9.00390625" style="2" customWidth="1"/>
    <col min="9" max="9" width="12.25390625" style="2" customWidth="1"/>
    <col min="10" max="10" width="7.875" style="2" customWidth="1"/>
    <col min="11" max="14" width="9.00390625" style="2" customWidth="1"/>
    <col min="15" max="16" width="12.25390625" style="2" customWidth="1"/>
    <col min="17" max="16384" width="9.00390625" style="2" customWidth="1"/>
  </cols>
  <sheetData>
    <row r="1" spans="1:8" ht="18" customHeight="1">
      <c r="A1" s="1" t="s">
        <v>77</v>
      </c>
      <c r="F1" s="2" t="s">
        <v>63</v>
      </c>
      <c r="H1" s="2" t="s">
        <v>78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1" s="5" customFormat="1" ht="18" customHeight="1">
      <c r="A3" s="4"/>
      <c r="B3" s="38" t="s">
        <v>0</v>
      </c>
      <c r="C3" s="39"/>
      <c r="D3" s="38" t="s">
        <v>1</v>
      </c>
      <c r="E3" s="39"/>
      <c r="F3" s="38" t="s">
        <v>2</v>
      </c>
      <c r="G3" s="39"/>
      <c r="H3" s="38" t="s">
        <v>3</v>
      </c>
      <c r="I3" s="39"/>
      <c r="J3" s="40" t="s">
        <v>73</v>
      </c>
      <c r="K3" s="41"/>
    </row>
    <row r="4" spans="1:11" s="8" customFormat="1" ht="18" customHeight="1">
      <c r="A4" s="6" t="s">
        <v>4</v>
      </c>
      <c r="B4" s="7" t="s">
        <v>5</v>
      </c>
      <c r="C4" s="7" t="s">
        <v>6</v>
      </c>
      <c r="D4" s="7" t="s">
        <v>5</v>
      </c>
      <c r="E4" s="7" t="s">
        <v>6</v>
      </c>
      <c r="F4" s="7" t="s">
        <v>5</v>
      </c>
      <c r="G4" s="7" t="s">
        <v>6</v>
      </c>
      <c r="H4" s="7" t="s">
        <v>5</v>
      </c>
      <c r="I4" s="7" t="s">
        <v>6</v>
      </c>
      <c r="J4" s="27" t="s">
        <v>5</v>
      </c>
      <c r="K4" s="26" t="s">
        <v>6</v>
      </c>
    </row>
    <row r="5" spans="1:11" s="5" customFormat="1" ht="18" customHeight="1">
      <c r="A5" s="9" t="s">
        <v>7</v>
      </c>
      <c r="B5" s="13"/>
      <c r="C5" s="9">
        <f>February!C5+B5</f>
        <v>0</v>
      </c>
      <c r="D5" s="15"/>
      <c r="E5" s="9">
        <f>February!E5+D5</f>
        <v>2</v>
      </c>
      <c r="F5" s="17"/>
      <c r="G5" s="9">
        <f>February!G5+F5</f>
        <v>0</v>
      </c>
      <c r="H5" s="19"/>
      <c r="I5" s="9">
        <f>February!I5+H5</f>
        <v>0</v>
      </c>
      <c r="J5" s="24"/>
      <c r="K5" s="9">
        <f>February!K5+J5</f>
        <v>0</v>
      </c>
    </row>
    <row r="6" spans="1:11" s="5" customFormat="1" ht="18" customHeight="1">
      <c r="A6" s="9" t="s">
        <v>8</v>
      </c>
      <c r="B6" s="13"/>
      <c r="C6" s="9">
        <f>February!C6+B6</f>
        <v>0</v>
      </c>
      <c r="D6" s="15"/>
      <c r="E6" s="9">
        <f>February!E6+D6</f>
        <v>0</v>
      </c>
      <c r="F6" s="17"/>
      <c r="G6" s="9">
        <f>February!G6+F6</f>
        <v>0</v>
      </c>
      <c r="H6" s="19"/>
      <c r="I6" s="9">
        <f>February!I6+H6</f>
        <v>0</v>
      </c>
      <c r="J6" s="24"/>
      <c r="K6" s="9">
        <f>February!K6+J6</f>
        <v>0</v>
      </c>
    </row>
    <row r="7" spans="1:11" s="5" customFormat="1" ht="18" customHeight="1">
      <c r="A7" s="9" t="s">
        <v>9</v>
      </c>
      <c r="B7" s="13"/>
      <c r="C7" s="9">
        <f>February!C7+B7</f>
        <v>0</v>
      </c>
      <c r="D7" s="15"/>
      <c r="E7" s="9">
        <f>February!E7+D7</f>
        <v>0</v>
      </c>
      <c r="F7" s="17"/>
      <c r="G7" s="9">
        <f>February!G7+F7</f>
        <v>145</v>
      </c>
      <c r="H7" s="19"/>
      <c r="I7" s="9">
        <f>February!I7+H7</f>
        <v>0</v>
      </c>
      <c r="J7" s="24"/>
      <c r="K7" s="9">
        <f>February!K7+J7</f>
        <v>0</v>
      </c>
    </row>
    <row r="8" spans="1:11" s="5" customFormat="1" ht="18" customHeight="1">
      <c r="A8" s="9" t="s">
        <v>10</v>
      </c>
      <c r="B8" s="13">
        <v>167</v>
      </c>
      <c r="C8" s="9">
        <f>February!C8+B8</f>
        <v>491</v>
      </c>
      <c r="D8" s="15">
        <v>6</v>
      </c>
      <c r="E8" s="9">
        <f>February!E8+D8</f>
        <v>12</v>
      </c>
      <c r="F8" s="17"/>
      <c r="G8" s="9">
        <f>February!G8+F8</f>
        <v>0</v>
      </c>
      <c r="H8" s="19"/>
      <c r="I8" s="9">
        <f>February!I8+H8</f>
        <v>0</v>
      </c>
      <c r="J8" s="24"/>
      <c r="K8" s="9">
        <f>February!K8+J8</f>
        <v>0</v>
      </c>
    </row>
    <row r="9" spans="1:11" s="5" customFormat="1" ht="18" customHeight="1">
      <c r="A9" s="9" t="s">
        <v>11</v>
      </c>
      <c r="B9" s="13">
        <v>260</v>
      </c>
      <c r="C9" s="9">
        <f>February!C9+B9</f>
        <v>360</v>
      </c>
      <c r="D9" s="15">
        <v>2</v>
      </c>
      <c r="E9" s="9">
        <f>February!E9+D9</f>
        <v>5</v>
      </c>
      <c r="F9" s="17">
        <v>742</v>
      </c>
      <c r="G9" s="9">
        <f>February!G9+F9</f>
        <v>1058</v>
      </c>
      <c r="H9" s="19"/>
      <c r="I9" s="9">
        <f>February!I9+H9</f>
        <v>0</v>
      </c>
      <c r="J9" s="24"/>
      <c r="K9" s="9">
        <f>February!K9+J9</f>
        <v>0</v>
      </c>
    </row>
    <row r="10" spans="1:11" s="5" customFormat="1" ht="18" customHeight="1">
      <c r="A10" s="9" t="s">
        <v>12</v>
      </c>
      <c r="B10" s="13">
        <v>994</v>
      </c>
      <c r="C10" s="9">
        <f>February!C10+B10</f>
        <v>1101</v>
      </c>
      <c r="D10" s="15"/>
      <c r="E10" s="9">
        <f>February!E10+D10</f>
        <v>83</v>
      </c>
      <c r="F10" s="17"/>
      <c r="G10" s="9">
        <f>February!G10+F10</f>
        <v>0</v>
      </c>
      <c r="H10" s="19"/>
      <c r="I10" s="9">
        <f>February!I10+H10</f>
        <v>0</v>
      </c>
      <c r="J10" s="24">
        <v>198</v>
      </c>
      <c r="K10" s="9">
        <f>February!K10+J10</f>
        <v>198</v>
      </c>
    </row>
    <row r="11" spans="1:11" s="5" customFormat="1" ht="18" customHeight="1">
      <c r="A11" s="9" t="s">
        <v>13</v>
      </c>
      <c r="B11" s="13">
        <v>293</v>
      </c>
      <c r="C11" s="9">
        <f>February!C11+B11</f>
        <v>584</v>
      </c>
      <c r="D11" s="15">
        <v>1</v>
      </c>
      <c r="E11" s="9">
        <f>February!E11+D11</f>
        <v>2</v>
      </c>
      <c r="F11" s="17"/>
      <c r="G11" s="9">
        <f>February!G11+F11</f>
        <v>0</v>
      </c>
      <c r="H11" s="19"/>
      <c r="I11" s="9">
        <f>February!I11+H11</f>
        <v>0</v>
      </c>
      <c r="J11" s="24"/>
      <c r="K11" s="9">
        <f>February!K11+J11</f>
        <v>0</v>
      </c>
    </row>
    <row r="12" spans="1:11" s="5" customFormat="1" ht="18" customHeight="1">
      <c r="A12" s="9" t="s">
        <v>14</v>
      </c>
      <c r="B12" s="13"/>
      <c r="C12" s="9">
        <f>February!C12+B12</f>
        <v>0</v>
      </c>
      <c r="D12" s="15"/>
      <c r="E12" s="9">
        <f>February!E12+D12</f>
        <v>0</v>
      </c>
      <c r="F12" s="17"/>
      <c r="G12" s="9">
        <f>February!G12+F12</f>
        <v>0</v>
      </c>
      <c r="H12" s="19"/>
      <c r="I12" s="9">
        <f>February!I12+H12</f>
        <v>0</v>
      </c>
      <c r="J12" s="24"/>
      <c r="K12" s="9">
        <f>February!K12+J12</f>
        <v>0</v>
      </c>
    </row>
    <row r="13" spans="1:11" s="5" customFormat="1" ht="18" customHeight="1">
      <c r="A13" s="9" t="s">
        <v>15</v>
      </c>
      <c r="B13" s="13"/>
      <c r="C13" s="9">
        <f>February!C13+B13</f>
        <v>0</v>
      </c>
      <c r="D13" s="15"/>
      <c r="E13" s="9">
        <f>February!E13+D13</f>
        <v>0</v>
      </c>
      <c r="F13" s="17"/>
      <c r="G13" s="9">
        <f>February!G13+F13</f>
        <v>0</v>
      </c>
      <c r="H13" s="19"/>
      <c r="I13" s="9">
        <f>February!I13+H13</f>
        <v>0</v>
      </c>
      <c r="J13" s="24"/>
      <c r="K13" s="9">
        <f>February!K13+J13</f>
        <v>0</v>
      </c>
    </row>
    <row r="14" spans="1:11" s="5" customFormat="1" ht="18" customHeight="1">
      <c r="A14" s="9" t="s">
        <v>16</v>
      </c>
      <c r="B14" s="13">
        <v>80</v>
      </c>
      <c r="C14" s="9">
        <f>February!C14+B14</f>
        <v>160</v>
      </c>
      <c r="D14" s="15"/>
      <c r="E14" s="9">
        <f>February!E14+D14</f>
        <v>0</v>
      </c>
      <c r="F14" s="17"/>
      <c r="G14" s="9">
        <f>February!G14+F14</f>
        <v>0</v>
      </c>
      <c r="H14" s="19"/>
      <c r="I14" s="9">
        <f>February!I14+H14</f>
        <v>0</v>
      </c>
      <c r="J14" s="24"/>
      <c r="K14" s="9">
        <f>February!K14+J14</f>
        <v>0</v>
      </c>
    </row>
    <row r="15" spans="1:11" s="5" customFormat="1" ht="18" customHeight="1">
      <c r="A15" s="9" t="s">
        <v>17</v>
      </c>
      <c r="B15" s="13">
        <v>86</v>
      </c>
      <c r="C15" s="9">
        <f>February!C15+B15</f>
        <v>337</v>
      </c>
      <c r="D15" s="15"/>
      <c r="E15" s="9">
        <f>February!E15+D15</f>
        <v>0</v>
      </c>
      <c r="F15" s="17"/>
      <c r="G15" s="9">
        <f>February!G15+F15</f>
        <v>0</v>
      </c>
      <c r="H15" s="19"/>
      <c r="I15" s="9">
        <f>February!I15+H15</f>
        <v>0</v>
      </c>
      <c r="J15" s="24"/>
      <c r="K15" s="9">
        <f>February!K15+J15</f>
        <v>0</v>
      </c>
    </row>
    <row r="16" spans="1:11" s="5" customFormat="1" ht="18" customHeight="1">
      <c r="A16" s="9" t="s">
        <v>18</v>
      </c>
      <c r="B16" s="13"/>
      <c r="C16" s="9">
        <f>February!C16+B16</f>
        <v>0</v>
      </c>
      <c r="D16" s="15"/>
      <c r="E16" s="9">
        <f>February!E16+D16</f>
        <v>0</v>
      </c>
      <c r="F16" s="17"/>
      <c r="G16" s="9">
        <f>February!G16+F16</f>
        <v>0</v>
      </c>
      <c r="H16" s="19"/>
      <c r="I16" s="9">
        <f>February!I16+H16</f>
        <v>0</v>
      </c>
      <c r="J16" s="24"/>
      <c r="K16" s="9">
        <f>February!K16+J16</f>
        <v>0</v>
      </c>
    </row>
    <row r="17" spans="1:11" s="5" customFormat="1" ht="18" customHeight="1">
      <c r="A17" s="9" t="s">
        <v>19</v>
      </c>
      <c r="B17" s="13">
        <v>187</v>
      </c>
      <c r="C17" s="9">
        <f>February!C17+B17</f>
        <v>669</v>
      </c>
      <c r="D17" s="15">
        <v>235</v>
      </c>
      <c r="E17" s="9">
        <f>February!E17+D17</f>
        <v>470</v>
      </c>
      <c r="F17" s="17"/>
      <c r="G17" s="9">
        <f>February!G17+F17</f>
        <v>39</v>
      </c>
      <c r="H17" s="19"/>
      <c r="I17" s="9">
        <f>February!I17+H17</f>
        <v>0</v>
      </c>
      <c r="J17" s="24"/>
      <c r="K17" s="9">
        <f>February!K17+J17</f>
        <v>0</v>
      </c>
    </row>
    <row r="18" spans="1:11" s="5" customFormat="1" ht="18" customHeight="1">
      <c r="A18" s="9" t="s">
        <v>20</v>
      </c>
      <c r="B18" s="13">
        <v>532</v>
      </c>
      <c r="C18" s="9">
        <f>February!C18+B18</f>
        <v>957</v>
      </c>
      <c r="D18" s="15">
        <v>22</v>
      </c>
      <c r="E18" s="9">
        <f>February!E18+D18</f>
        <v>126</v>
      </c>
      <c r="F18" s="17">
        <v>12</v>
      </c>
      <c r="G18" s="9">
        <f>February!G18+F18</f>
        <v>25</v>
      </c>
      <c r="H18" s="19"/>
      <c r="I18" s="9">
        <f>February!I18+H18</f>
        <v>0</v>
      </c>
      <c r="J18" s="24"/>
      <c r="K18" s="9">
        <f>February!K18+J18</f>
        <v>0</v>
      </c>
    </row>
    <row r="19" spans="1:11" s="5" customFormat="1" ht="18" customHeight="1">
      <c r="A19" s="9" t="s">
        <v>21</v>
      </c>
      <c r="B19" s="13">
        <f>2551+240</f>
        <v>2791</v>
      </c>
      <c r="C19" s="9">
        <f>February!C19+B19</f>
        <v>9617</v>
      </c>
      <c r="D19" s="15">
        <v>12</v>
      </c>
      <c r="E19" s="9">
        <f>February!E19+D19</f>
        <v>28</v>
      </c>
      <c r="F19" s="17">
        <f>109+2519</f>
        <v>2628</v>
      </c>
      <c r="G19" s="9">
        <f>February!G19+F19</f>
        <v>5147</v>
      </c>
      <c r="H19" s="19"/>
      <c r="I19" s="9">
        <f>February!I19+H19</f>
        <v>0</v>
      </c>
      <c r="J19" s="24"/>
      <c r="K19" s="9">
        <f>February!K19+J19</f>
        <v>0</v>
      </c>
    </row>
    <row r="20" spans="1:11" s="5" customFormat="1" ht="18" customHeight="1">
      <c r="A20" s="9" t="s">
        <v>22</v>
      </c>
      <c r="B20" s="13">
        <v>4150</v>
      </c>
      <c r="C20" s="9">
        <f>February!C20+B20</f>
        <v>9831</v>
      </c>
      <c r="D20" s="15">
        <v>16</v>
      </c>
      <c r="E20" s="9">
        <f>February!E20+D20</f>
        <v>350</v>
      </c>
      <c r="F20" s="17">
        <v>175</v>
      </c>
      <c r="G20" s="9">
        <f>February!G20+F20</f>
        <v>689</v>
      </c>
      <c r="H20" s="19"/>
      <c r="I20" s="9">
        <f>February!I20+H20</f>
        <v>0</v>
      </c>
      <c r="J20" s="24"/>
      <c r="K20" s="9">
        <f>February!K20+J20</f>
        <v>0</v>
      </c>
    </row>
    <row r="21" spans="1:11" s="5" customFormat="1" ht="18" customHeight="1">
      <c r="A21" s="9" t="s">
        <v>23</v>
      </c>
      <c r="B21" s="13">
        <v>155</v>
      </c>
      <c r="C21" s="9">
        <f>February!C21+B21</f>
        <v>6141</v>
      </c>
      <c r="D21" s="15">
        <v>520</v>
      </c>
      <c r="E21" s="9">
        <f>February!E21+D21</f>
        <v>1041</v>
      </c>
      <c r="F21" s="17"/>
      <c r="G21" s="9">
        <f>February!G21+F21</f>
        <v>0</v>
      </c>
      <c r="H21" s="19"/>
      <c r="I21" s="9">
        <f>February!I21+H21</f>
        <v>0</v>
      </c>
      <c r="J21" s="24"/>
      <c r="K21" s="9">
        <f>February!K21+J21</f>
        <v>0</v>
      </c>
    </row>
    <row r="22" spans="1:11" s="5" customFormat="1" ht="18" customHeight="1">
      <c r="A22" s="9" t="s">
        <v>24</v>
      </c>
      <c r="B22" s="13"/>
      <c r="C22" s="9">
        <f>February!C22+B22</f>
        <v>0</v>
      </c>
      <c r="D22" s="15"/>
      <c r="E22" s="9">
        <f>February!E22+D22</f>
        <v>0</v>
      </c>
      <c r="F22" s="17"/>
      <c r="G22" s="9">
        <f>February!G22+F22</f>
        <v>0</v>
      </c>
      <c r="H22" s="19"/>
      <c r="I22" s="9">
        <f>February!I22+H22</f>
        <v>0</v>
      </c>
      <c r="J22" s="24"/>
      <c r="K22" s="9">
        <f>February!K22+J22</f>
        <v>0</v>
      </c>
    </row>
    <row r="23" spans="1:11" s="5" customFormat="1" ht="18" customHeight="1">
      <c r="A23" s="9" t="s">
        <v>25</v>
      </c>
      <c r="B23" s="13"/>
      <c r="C23" s="9">
        <f>February!C23+B23</f>
        <v>0</v>
      </c>
      <c r="D23" s="15"/>
      <c r="E23" s="9">
        <f>February!E23+D23</f>
        <v>0</v>
      </c>
      <c r="F23" s="17"/>
      <c r="G23" s="9">
        <f>February!G23+F23</f>
        <v>0</v>
      </c>
      <c r="H23" s="19"/>
      <c r="I23" s="9">
        <f>February!I23+H23</f>
        <v>0</v>
      </c>
      <c r="J23" s="24"/>
      <c r="K23" s="9">
        <f>February!K23+J23</f>
        <v>0</v>
      </c>
    </row>
    <row r="24" spans="1:11" s="5" customFormat="1" ht="18" customHeight="1">
      <c r="A24" s="9" t="s">
        <v>26</v>
      </c>
      <c r="B24" s="13"/>
      <c r="C24" s="9">
        <f>February!C24+B24</f>
        <v>0</v>
      </c>
      <c r="D24" s="15"/>
      <c r="E24" s="9">
        <f>February!E24+D24</f>
        <v>1</v>
      </c>
      <c r="F24" s="17"/>
      <c r="G24" s="9">
        <f>February!G24+F24</f>
        <v>0</v>
      </c>
      <c r="H24" s="19"/>
      <c r="I24" s="9">
        <f>February!I24+H24</f>
        <v>0</v>
      </c>
      <c r="J24" s="24"/>
      <c r="K24" s="9">
        <f>February!K24+J24</f>
        <v>0</v>
      </c>
    </row>
    <row r="25" spans="1:11" s="5" customFormat="1" ht="18" customHeight="1">
      <c r="A25" s="9" t="s">
        <v>27</v>
      </c>
      <c r="B25" s="13"/>
      <c r="C25" s="9">
        <f>February!C25+B25</f>
        <v>0</v>
      </c>
      <c r="D25" s="15"/>
      <c r="E25" s="9">
        <f>February!E25+D25</f>
        <v>0</v>
      </c>
      <c r="F25" s="17"/>
      <c r="G25" s="9">
        <f>February!G25+F25</f>
        <v>0</v>
      </c>
      <c r="H25" s="19"/>
      <c r="I25" s="9">
        <f>February!I25+H25</f>
        <v>0</v>
      </c>
      <c r="J25" s="24"/>
      <c r="K25" s="9">
        <f>February!K25+J25</f>
        <v>0</v>
      </c>
    </row>
    <row r="26" spans="1:11" s="5" customFormat="1" ht="18" customHeight="1">
      <c r="A26" s="9" t="s">
        <v>28</v>
      </c>
      <c r="B26" s="13">
        <v>3791</v>
      </c>
      <c r="C26" s="9">
        <f>February!C26+B26</f>
        <v>11152</v>
      </c>
      <c r="D26" s="15"/>
      <c r="E26" s="9">
        <f>February!E26+D26</f>
        <v>46</v>
      </c>
      <c r="F26" s="17"/>
      <c r="G26" s="9">
        <f>February!G26+F26</f>
        <v>34</v>
      </c>
      <c r="H26" s="19"/>
      <c r="I26" s="9">
        <f>February!I26+H26</f>
        <v>0</v>
      </c>
      <c r="J26" s="24"/>
      <c r="K26" s="9">
        <f>February!K26+J26</f>
        <v>0</v>
      </c>
    </row>
    <row r="27" spans="1:11" s="5" customFormat="1" ht="18" customHeight="1">
      <c r="A27" s="9" t="s">
        <v>29</v>
      </c>
      <c r="B27" s="13">
        <f>84+2266</f>
        <v>2350</v>
      </c>
      <c r="C27" s="9">
        <f>February!C27+B27</f>
        <v>7470</v>
      </c>
      <c r="D27" s="15">
        <v>63</v>
      </c>
      <c r="E27" s="9">
        <f>February!E27+D27</f>
        <v>385</v>
      </c>
      <c r="F27" s="17">
        <v>1058</v>
      </c>
      <c r="G27" s="9">
        <f>February!G27+F27</f>
        <v>2642</v>
      </c>
      <c r="H27" s="19"/>
      <c r="I27" s="9">
        <f>February!I27+H27</f>
        <v>0</v>
      </c>
      <c r="J27" s="24"/>
      <c r="K27" s="9">
        <f>February!K27+J27</f>
        <v>0</v>
      </c>
    </row>
    <row r="28" spans="1:11" s="5" customFormat="1" ht="18" customHeight="1">
      <c r="A28" s="9" t="s">
        <v>30</v>
      </c>
      <c r="B28" s="13"/>
      <c r="C28" s="9">
        <f>February!C28+B28</f>
        <v>76</v>
      </c>
      <c r="D28" s="15"/>
      <c r="E28" s="9">
        <f>February!E28+D28</f>
        <v>0</v>
      </c>
      <c r="F28" s="17"/>
      <c r="G28" s="9">
        <f>February!G28+F28</f>
        <v>0</v>
      </c>
      <c r="H28" s="19"/>
      <c r="I28" s="9">
        <f>February!I28+H28</f>
        <v>0</v>
      </c>
      <c r="J28" s="24"/>
      <c r="K28" s="9">
        <f>February!K28+J28</f>
        <v>0</v>
      </c>
    </row>
    <row r="29" spans="1:11" s="5" customFormat="1" ht="18" customHeight="1">
      <c r="A29" s="9" t="s">
        <v>31</v>
      </c>
      <c r="B29" s="13">
        <v>5177</v>
      </c>
      <c r="C29" s="9">
        <f>February!C29+B29</f>
        <v>16423</v>
      </c>
      <c r="D29" s="15">
        <v>35</v>
      </c>
      <c r="E29" s="9">
        <f>February!E29+D29</f>
        <v>355</v>
      </c>
      <c r="F29" s="17">
        <v>890</v>
      </c>
      <c r="G29" s="9">
        <f>February!G29+F29</f>
        <v>1780</v>
      </c>
      <c r="H29" s="19"/>
      <c r="I29" s="9">
        <f>February!I29+H29</f>
        <v>0</v>
      </c>
      <c r="J29" s="24"/>
      <c r="K29" s="9">
        <f>February!K29+J29</f>
        <v>0</v>
      </c>
    </row>
    <row r="30" spans="1:11" s="5" customFormat="1" ht="18" customHeight="1">
      <c r="A30" s="9" t="s">
        <v>32</v>
      </c>
      <c r="B30" s="13">
        <f>1102+5055</f>
        <v>6157</v>
      </c>
      <c r="C30" s="9">
        <f>February!C30+B30</f>
        <v>18937</v>
      </c>
      <c r="D30" s="15">
        <f>1127+845</f>
        <v>1972</v>
      </c>
      <c r="E30" s="9">
        <f>February!E30+D30</f>
        <v>3500</v>
      </c>
      <c r="F30" s="17"/>
      <c r="G30" s="9">
        <f>February!G30+F30</f>
        <v>0</v>
      </c>
      <c r="H30" s="19"/>
      <c r="I30" s="9">
        <f>February!I30+H30</f>
        <v>0</v>
      </c>
      <c r="J30" s="24"/>
      <c r="K30" s="9">
        <f>February!K30+J30</f>
        <v>0</v>
      </c>
    </row>
    <row r="31" spans="1:11" s="5" customFormat="1" ht="18" customHeight="1">
      <c r="A31" s="9" t="s">
        <v>33</v>
      </c>
      <c r="B31" s="13">
        <v>7778</v>
      </c>
      <c r="C31" s="9">
        <f>February!C31+B31</f>
        <v>14950</v>
      </c>
      <c r="D31" s="15">
        <f>92+859</f>
        <v>951</v>
      </c>
      <c r="E31" s="9">
        <f>February!E31+D31</f>
        <v>2032</v>
      </c>
      <c r="F31" s="17">
        <v>16</v>
      </c>
      <c r="G31" s="9">
        <f>February!G31+F31</f>
        <v>359</v>
      </c>
      <c r="H31" s="19"/>
      <c r="I31" s="9">
        <f>February!I31+H31</f>
        <v>0</v>
      </c>
      <c r="J31" s="24"/>
      <c r="K31" s="9">
        <f>February!K31+J31</f>
        <v>0</v>
      </c>
    </row>
    <row r="32" spans="1:11" s="5" customFormat="1" ht="18" customHeight="1">
      <c r="A32" s="9" t="s">
        <v>34</v>
      </c>
      <c r="B32" s="13"/>
      <c r="C32" s="9">
        <f>February!C32+B32</f>
        <v>0</v>
      </c>
      <c r="D32" s="15"/>
      <c r="E32" s="9">
        <f>February!E32+D32</f>
        <v>0</v>
      </c>
      <c r="F32" s="17"/>
      <c r="G32" s="9">
        <f>February!G32+F32</f>
        <v>0</v>
      </c>
      <c r="H32" s="19"/>
      <c r="I32" s="9">
        <f>February!I32+H32</f>
        <v>0</v>
      </c>
      <c r="J32" s="24"/>
      <c r="K32" s="9">
        <f>February!K32+J32</f>
        <v>0</v>
      </c>
    </row>
    <row r="33" spans="1:11" s="5" customFormat="1" ht="18" customHeight="1">
      <c r="A33" s="9" t="s">
        <v>35</v>
      </c>
      <c r="B33" s="13"/>
      <c r="C33" s="9">
        <f>February!C33+B33</f>
        <v>0</v>
      </c>
      <c r="D33" s="15"/>
      <c r="E33" s="9">
        <f>February!E33+D33</f>
        <v>0</v>
      </c>
      <c r="F33" s="17"/>
      <c r="G33" s="9">
        <f>February!G33+F33</f>
        <v>0</v>
      </c>
      <c r="H33" s="19"/>
      <c r="I33" s="9">
        <f>February!I33+H33</f>
        <v>0</v>
      </c>
      <c r="J33" s="24"/>
      <c r="K33" s="9">
        <f>February!K33+J33</f>
        <v>0</v>
      </c>
    </row>
    <row r="34" spans="1:11" s="5" customFormat="1" ht="18" customHeight="1">
      <c r="A34" s="9" t="s">
        <v>36</v>
      </c>
      <c r="B34" s="13"/>
      <c r="C34" s="9">
        <f>February!C34+B34</f>
        <v>0</v>
      </c>
      <c r="D34" s="15"/>
      <c r="E34" s="9">
        <f>February!E34+D34</f>
        <v>0</v>
      </c>
      <c r="F34" s="17"/>
      <c r="G34" s="9">
        <f>February!G34+F34</f>
        <v>0</v>
      </c>
      <c r="H34" s="19"/>
      <c r="I34" s="9">
        <f>February!I34+H34</f>
        <v>0</v>
      </c>
      <c r="J34" s="24"/>
      <c r="K34" s="9">
        <f>February!K34+J34</f>
        <v>0</v>
      </c>
    </row>
    <row r="35" spans="1:11" s="5" customFormat="1" ht="18" customHeight="1">
      <c r="A35" s="9" t="s">
        <v>37</v>
      </c>
      <c r="B35" s="13"/>
      <c r="C35" s="9">
        <f>February!C35+B35</f>
        <v>335</v>
      </c>
      <c r="D35" s="15"/>
      <c r="E35" s="9">
        <f>February!E35+D35</f>
        <v>20</v>
      </c>
      <c r="F35" s="17"/>
      <c r="G35" s="9">
        <f>February!G35+F35</f>
        <v>0</v>
      </c>
      <c r="H35" s="19"/>
      <c r="I35" s="9">
        <f>February!I35+H35</f>
        <v>0</v>
      </c>
      <c r="J35" s="24"/>
      <c r="K35" s="9">
        <f>February!K35+J35</f>
        <v>0</v>
      </c>
    </row>
    <row r="36" spans="1:11" s="5" customFormat="1" ht="18" customHeight="1">
      <c r="A36" s="9" t="s">
        <v>38</v>
      </c>
      <c r="B36" s="13"/>
      <c r="C36" s="9">
        <f>February!C36+B36</f>
        <v>145</v>
      </c>
      <c r="D36" s="15"/>
      <c r="E36" s="9">
        <f>February!E36+D36</f>
        <v>0</v>
      </c>
      <c r="F36" s="17">
        <v>245</v>
      </c>
      <c r="G36" s="9">
        <f>February!G36+F36</f>
        <v>784</v>
      </c>
      <c r="H36" s="19"/>
      <c r="I36" s="9">
        <f>February!I36+H36</f>
        <v>0</v>
      </c>
      <c r="J36" s="24"/>
      <c r="K36" s="9">
        <f>February!K36+J36</f>
        <v>0</v>
      </c>
    </row>
    <row r="37" spans="1:11" s="5" customFormat="1" ht="18" customHeight="1">
      <c r="A37" s="9" t="s">
        <v>39</v>
      </c>
      <c r="B37" s="13">
        <v>21</v>
      </c>
      <c r="C37" s="9">
        <f>February!C37+B37</f>
        <v>31</v>
      </c>
      <c r="D37" s="15">
        <v>146</v>
      </c>
      <c r="E37" s="9">
        <f>February!E37+D37</f>
        <v>293</v>
      </c>
      <c r="F37" s="17"/>
      <c r="G37" s="9">
        <f>February!G37+F37</f>
        <v>0</v>
      </c>
      <c r="H37" s="19"/>
      <c r="I37" s="9">
        <f>February!I37+H37</f>
        <v>0</v>
      </c>
      <c r="J37" s="24"/>
      <c r="K37" s="9">
        <f>February!K37+J37</f>
        <v>0</v>
      </c>
    </row>
    <row r="38" spans="1:11" s="5" customFormat="1" ht="18" customHeight="1">
      <c r="A38" s="9" t="s">
        <v>40</v>
      </c>
      <c r="B38" s="13">
        <f>853+6621</f>
        <v>7474</v>
      </c>
      <c r="C38" s="9">
        <f>February!C38+B38</f>
        <v>26634</v>
      </c>
      <c r="D38" s="15">
        <v>11</v>
      </c>
      <c r="E38" s="9">
        <f>February!E38+D38</f>
        <v>260</v>
      </c>
      <c r="F38" s="17"/>
      <c r="G38" s="9">
        <f>February!G38+F38</f>
        <v>0</v>
      </c>
      <c r="H38" s="19"/>
      <c r="I38" s="9">
        <f>February!I38+H38</f>
        <v>0</v>
      </c>
      <c r="J38" s="24"/>
      <c r="K38" s="9">
        <f>February!K38+J38</f>
        <v>0</v>
      </c>
    </row>
    <row r="39" spans="1:11" s="5" customFormat="1" ht="18" customHeight="1">
      <c r="A39" s="9" t="s">
        <v>41</v>
      </c>
      <c r="B39" s="13">
        <v>1290</v>
      </c>
      <c r="C39" s="9">
        <f>February!C39+B39</f>
        <v>4804</v>
      </c>
      <c r="D39" s="15">
        <v>4</v>
      </c>
      <c r="E39" s="9">
        <f>February!E39+D39</f>
        <v>4</v>
      </c>
      <c r="F39" s="17">
        <v>98</v>
      </c>
      <c r="G39" s="9">
        <f>February!G39+F39</f>
        <v>197</v>
      </c>
      <c r="H39" s="19"/>
      <c r="I39" s="9">
        <f>February!I39+H39</f>
        <v>0</v>
      </c>
      <c r="J39" s="24"/>
      <c r="K39" s="9">
        <f>February!K39+J39</f>
        <v>0</v>
      </c>
    </row>
    <row r="40" spans="1:11" s="5" customFormat="1" ht="18" customHeight="1">
      <c r="A40" s="9" t="s">
        <v>42</v>
      </c>
      <c r="B40" s="13">
        <f>265+297</f>
        <v>562</v>
      </c>
      <c r="C40" s="9">
        <f>February!C40+B40</f>
        <v>1082</v>
      </c>
      <c r="D40" s="15">
        <v>27</v>
      </c>
      <c r="E40" s="9">
        <f>February!E40+D40</f>
        <v>62</v>
      </c>
      <c r="F40" s="17"/>
      <c r="G40" s="9">
        <f>February!G40+F40</f>
        <v>0</v>
      </c>
      <c r="H40" s="19"/>
      <c r="I40" s="9">
        <f>February!I40+H40</f>
        <v>0</v>
      </c>
      <c r="J40" s="24"/>
      <c r="K40" s="9">
        <f>February!K40+J40</f>
        <v>0</v>
      </c>
    </row>
    <row r="41" spans="1:11" s="5" customFormat="1" ht="18" customHeight="1">
      <c r="A41" s="9" t="s">
        <v>43</v>
      </c>
      <c r="B41" s="13"/>
      <c r="C41" s="9">
        <f>February!C41+B41</f>
        <v>0</v>
      </c>
      <c r="D41" s="15"/>
      <c r="E41" s="9">
        <f>February!E41+D41</f>
        <v>0</v>
      </c>
      <c r="F41" s="17"/>
      <c r="G41" s="9">
        <f>February!G41+F41</f>
        <v>0</v>
      </c>
      <c r="H41" s="19"/>
      <c r="I41" s="9">
        <f>February!I41+H41</f>
        <v>0</v>
      </c>
      <c r="J41" s="24"/>
      <c r="K41" s="9">
        <f>February!K41+J41</f>
        <v>0</v>
      </c>
    </row>
    <row r="42" spans="1:11" s="5" customFormat="1" ht="18" customHeight="1">
      <c r="A42" s="9" t="s">
        <v>44</v>
      </c>
      <c r="B42" s="13"/>
      <c r="C42" s="9">
        <f>February!C42+B42</f>
        <v>1057</v>
      </c>
      <c r="D42" s="15"/>
      <c r="E42" s="9">
        <f>February!E42+D42</f>
        <v>1</v>
      </c>
      <c r="F42" s="17">
        <v>47</v>
      </c>
      <c r="G42" s="9">
        <f>February!G42+F42</f>
        <v>184</v>
      </c>
      <c r="H42" s="19"/>
      <c r="I42" s="9">
        <f>February!I42+H42</f>
        <v>0</v>
      </c>
      <c r="J42" s="24"/>
      <c r="K42" s="9">
        <f>February!K42+J42</f>
        <v>0</v>
      </c>
    </row>
    <row r="43" spans="1:11" s="5" customFormat="1" ht="18" customHeight="1">
      <c r="A43" s="9" t="s">
        <v>45</v>
      </c>
      <c r="B43" s="13"/>
      <c r="C43" s="9">
        <f>February!C43+B43</f>
        <v>0</v>
      </c>
      <c r="D43" s="15"/>
      <c r="E43" s="9">
        <f>February!E43+D43</f>
        <v>0</v>
      </c>
      <c r="F43" s="17"/>
      <c r="G43" s="9">
        <f>February!G43+F43</f>
        <v>0</v>
      </c>
      <c r="H43" s="19"/>
      <c r="I43" s="9">
        <f>February!I43+H43</f>
        <v>0</v>
      </c>
      <c r="J43" s="24"/>
      <c r="K43" s="9">
        <f>February!K43+J43</f>
        <v>0</v>
      </c>
    </row>
    <row r="44" spans="1:11" s="5" customFormat="1" ht="18" customHeight="1">
      <c r="A44" s="9" t="s">
        <v>46</v>
      </c>
      <c r="B44" s="13"/>
      <c r="C44" s="9">
        <f>February!C44+B44</f>
        <v>0</v>
      </c>
      <c r="D44" s="15"/>
      <c r="E44" s="9">
        <f>February!E44+D44</f>
        <v>0</v>
      </c>
      <c r="F44" s="17"/>
      <c r="G44" s="9">
        <f>February!G44+F44</f>
        <v>14</v>
      </c>
      <c r="H44" s="19"/>
      <c r="I44" s="9">
        <f>February!I44+H44</f>
        <v>0</v>
      </c>
      <c r="J44" s="24"/>
      <c r="K44" s="9">
        <f>February!K44+J44</f>
        <v>0</v>
      </c>
    </row>
    <row r="45" spans="1:11" s="5" customFormat="1" ht="18" customHeight="1">
      <c r="A45" s="9" t="s">
        <v>47</v>
      </c>
      <c r="B45" s="13">
        <f>2187+25715</f>
        <v>27902</v>
      </c>
      <c r="C45" s="9">
        <f>February!C45+B45</f>
        <v>77840</v>
      </c>
      <c r="D45" s="15">
        <f>14+794</f>
        <v>808</v>
      </c>
      <c r="E45" s="9">
        <f>February!E45+D45</f>
        <v>2202</v>
      </c>
      <c r="F45" s="17">
        <f>407+38</f>
        <v>445</v>
      </c>
      <c r="G45" s="9">
        <f>February!G45+F45</f>
        <v>483</v>
      </c>
      <c r="H45" s="19"/>
      <c r="I45" s="9">
        <f>February!I45+H45</f>
        <v>0</v>
      </c>
      <c r="J45" s="24"/>
      <c r="K45" s="9">
        <f>February!K45+J45</f>
        <v>0</v>
      </c>
    </row>
    <row r="46" spans="1:11" s="5" customFormat="1" ht="18" customHeight="1">
      <c r="A46" s="9" t="s">
        <v>48</v>
      </c>
      <c r="B46" s="13">
        <v>1006</v>
      </c>
      <c r="C46" s="9">
        <f>February!C46+B46</f>
        <v>2818</v>
      </c>
      <c r="D46" s="15"/>
      <c r="E46" s="9">
        <f>February!E46+D46</f>
        <v>0</v>
      </c>
      <c r="F46" s="17"/>
      <c r="G46" s="9">
        <f>February!G46+F46</f>
        <v>65</v>
      </c>
      <c r="H46" s="19"/>
      <c r="I46" s="9">
        <f>February!I46+H46</f>
        <v>0</v>
      </c>
      <c r="J46" s="24"/>
      <c r="K46" s="9">
        <f>February!K46+J46</f>
        <v>0</v>
      </c>
    </row>
    <row r="47" spans="1:11" s="5" customFormat="1" ht="18" customHeight="1">
      <c r="A47" s="9" t="s">
        <v>49</v>
      </c>
      <c r="B47" s="13">
        <f>1253+550</f>
        <v>1803</v>
      </c>
      <c r="C47" s="9">
        <f>February!C47+B47</f>
        <v>6075</v>
      </c>
      <c r="D47" s="15">
        <v>3</v>
      </c>
      <c r="E47" s="9">
        <f>February!E47+D47</f>
        <v>22</v>
      </c>
      <c r="F47" s="17">
        <v>267</v>
      </c>
      <c r="G47" s="9">
        <f>February!G47+F47</f>
        <v>1302</v>
      </c>
      <c r="H47" s="19"/>
      <c r="I47" s="9">
        <f>February!I47+H47</f>
        <v>0</v>
      </c>
      <c r="J47" s="24"/>
      <c r="K47" s="9">
        <f>February!K47+J47</f>
        <v>0</v>
      </c>
    </row>
    <row r="48" spans="1:11" s="5" customFormat="1" ht="18" customHeight="1">
      <c r="A48" s="9" t="s">
        <v>50</v>
      </c>
      <c r="B48" s="13">
        <v>210</v>
      </c>
      <c r="C48" s="9">
        <f>February!C48+B48</f>
        <v>469</v>
      </c>
      <c r="D48" s="15">
        <v>1</v>
      </c>
      <c r="E48" s="9">
        <f>February!E48+D48</f>
        <v>1</v>
      </c>
      <c r="F48" s="17">
        <v>834</v>
      </c>
      <c r="G48" s="9">
        <f>February!G48+F48</f>
        <v>1715</v>
      </c>
      <c r="H48" s="19"/>
      <c r="I48" s="9">
        <f>February!I48+H48</f>
        <v>0</v>
      </c>
      <c r="J48" s="24"/>
      <c r="K48" s="9">
        <f>February!K48+J48</f>
        <v>0</v>
      </c>
    </row>
    <row r="49" spans="1:11" s="5" customFormat="1" ht="18" customHeight="1">
      <c r="A49" s="9" t="s">
        <v>51</v>
      </c>
      <c r="B49" s="13"/>
      <c r="C49" s="9">
        <f>February!C49+B49</f>
        <v>0</v>
      </c>
      <c r="D49" s="15"/>
      <c r="E49" s="9">
        <f>February!E49+D49</f>
        <v>0</v>
      </c>
      <c r="F49" s="17"/>
      <c r="G49" s="9">
        <f>February!G49+F49</f>
        <v>0</v>
      </c>
      <c r="H49" s="19"/>
      <c r="I49" s="9">
        <f>February!I49+H49</f>
        <v>0</v>
      </c>
      <c r="J49" s="24"/>
      <c r="K49" s="9">
        <f>February!K49+J49</f>
        <v>0</v>
      </c>
    </row>
    <row r="50" spans="1:11" s="5" customFormat="1" ht="18" customHeight="1">
      <c r="A50" s="9" t="s">
        <v>52</v>
      </c>
      <c r="B50" s="13"/>
      <c r="C50" s="9">
        <f>February!C50+B50</f>
        <v>0</v>
      </c>
      <c r="D50" s="15"/>
      <c r="E50" s="9">
        <f>February!E50+D50</f>
        <v>0</v>
      </c>
      <c r="F50" s="17"/>
      <c r="G50" s="9">
        <f>February!G50+F50</f>
        <v>0</v>
      </c>
      <c r="H50" s="19"/>
      <c r="I50" s="9">
        <f>February!I50+H50</f>
        <v>0</v>
      </c>
      <c r="J50" s="24"/>
      <c r="K50" s="9">
        <f>February!K50+J50</f>
        <v>0</v>
      </c>
    </row>
    <row r="51" spans="1:11" s="5" customFormat="1" ht="18" customHeight="1">
      <c r="A51" s="9" t="s">
        <v>53</v>
      </c>
      <c r="B51" s="13"/>
      <c r="C51" s="9">
        <f>February!C51+B51</f>
        <v>0</v>
      </c>
      <c r="D51" s="15"/>
      <c r="E51" s="9">
        <f>February!E51+D51</f>
        <v>0</v>
      </c>
      <c r="F51" s="17"/>
      <c r="G51" s="9">
        <f>February!G51+F51</f>
        <v>1</v>
      </c>
      <c r="H51" s="19"/>
      <c r="I51" s="9">
        <f>February!I51+H51</f>
        <v>0</v>
      </c>
      <c r="J51" s="24"/>
      <c r="K51" s="9">
        <f>February!K51+J51</f>
        <v>0</v>
      </c>
    </row>
    <row r="52" spans="1:11" s="5" customFormat="1" ht="18" customHeight="1">
      <c r="A52" s="9" t="s">
        <v>54</v>
      </c>
      <c r="B52" s="13"/>
      <c r="C52" s="9">
        <f>February!C52+B52</f>
        <v>85</v>
      </c>
      <c r="D52" s="15"/>
      <c r="E52" s="9">
        <f>February!E52+D52</f>
        <v>1</v>
      </c>
      <c r="F52" s="17"/>
      <c r="G52" s="9">
        <f>February!G52+F52</f>
        <v>0</v>
      </c>
      <c r="H52" s="19"/>
      <c r="I52" s="9">
        <f>February!I52+H52</f>
        <v>0</v>
      </c>
      <c r="J52" s="24"/>
      <c r="K52" s="9">
        <f>February!K52+J52</f>
        <v>0</v>
      </c>
    </row>
    <row r="53" spans="1:11" s="5" customFormat="1" ht="18" customHeight="1">
      <c r="A53" s="9" t="s">
        <v>55</v>
      </c>
      <c r="B53" s="13">
        <f>1852+4517</f>
        <v>6369</v>
      </c>
      <c r="C53" s="9">
        <f>February!C53+B53</f>
        <v>17363</v>
      </c>
      <c r="D53" s="15">
        <v>4</v>
      </c>
      <c r="E53" s="9">
        <f>February!E53+D53</f>
        <v>618</v>
      </c>
      <c r="F53" s="17">
        <f>278+750</f>
        <v>1028</v>
      </c>
      <c r="G53" s="9">
        <f>February!G53+F53</f>
        <v>3671</v>
      </c>
      <c r="H53" s="19"/>
      <c r="I53" s="9">
        <f>February!I53+H53</f>
        <v>0</v>
      </c>
      <c r="J53" s="24"/>
      <c r="K53" s="9">
        <f>February!K53+J53</f>
        <v>0</v>
      </c>
    </row>
    <row r="54" spans="1:11" s="5" customFormat="1" ht="18" customHeight="1" thickBot="1">
      <c r="A54" s="10" t="s">
        <v>56</v>
      </c>
      <c r="B54" s="13">
        <f>303+245</f>
        <v>548</v>
      </c>
      <c r="C54" s="9">
        <f>February!C54+B54</f>
        <v>1023</v>
      </c>
      <c r="D54" s="15">
        <v>217</v>
      </c>
      <c r="E54" s="9">
        <f>February!E54+D54</f>
        <v>551</v>
      </c>
      <c r="F54" s="17"/>
      <c r="G54" s="9">
        <f>February!G54+F54</f>
        <v>0</v>
      </c>
      <c r="H54" s="19"/>
      <c r="I54" s="9">
        <f>February!I54+H54</f>
        <v>0</v>
      </c>
      <c r="J54" s="25"/>
      <c r="K54" s="9">
        <f>February!K54+J54</f>
        <v>0</v>
      </c>
    </row>
    <row r="55" spans="1:11" s="5" customFormat="1" ht="18" customHeight="1" thickBot="1" thickTop="1">
      <c r="A55" s="11" t="s">
        <v>57</v>
      </c>
      <c r="B55" s="11">
        <f>SUM(B5:B54)</f>
        <v>82133</v>
      </c>
      <c r="C55" s="11"/>
      <c r="D55" s="11">
        <f>SUM(D5:D54)</f>
        <v>5056</v>
      </c>
      <c r="E55" s="11"/>
      <c r="F55" s="11">
        <f>SUM(F5:F54)</f>
        <v>8485</v>
      </c>
      <c r="G55" s="11"/>
      <c r="H55" s="11">
        <f>SUM(H5:H54)</f>
        <v>0</v>
      </c>
      <c r="I55" s="11"/>
      <c r="J55" s="11">
        <f>SUM(J5:J54)</f>
        <v>198</v>
      </c>
      <c r="K55" s="23"/>
    </row>
    <row r="56" spans="1:9" s="5" customFormat="1" ht="18" customHeight="1" thickBot="1" thickTop="1">
      <c r="A56" s="8"/>
      <c r="B56" s="8"/>
      <c r="C56" s="8"/>
      <c r="D56" s="8"/>
      <c r="E56" s="8"/>
      <c r="F56" s="8"/>
      <c r="G56" s="8"/>
      <c r="H56" s="8"/>
      <c r="I56" s="8"/>
    </row>
    <row r="57" spans="1:11" s="5" customFormat="1" ht="18" customHeight="1" thickBot="1" thickTop="1">
      <c r="A57" s="12" t="s">
        <v>58</v>
      </c>
      <c r="B57" s="11"/>
      <c r="C57" s="11">
        <f>February!C57+B55</f>
        <v>239017</v>
      </c>
      <c r="D57" s="11"/>
      <c r="E57" s="11">
        <f>February!E57+D55</f>
        <v>12473</v>
      </c>
      <c r="F57" s="11"/>
      <c r="G57" s="11">
        <f>February!G57+F55</f>
        <v>20334</v>
      </c>
      <c r="H57" s="11"/>
      <c r="I57" s="11">
        <f>February!I57+H55</f>
        <v>0</v>
      </c>
      <c r="J57" s="11"/>
      <c r="K57" s="11">
        <f>February!K57+J55</f>
        <v>198</v>
      </c>
    </row>
    <row r="58" spans="1:13" s="5" customFormat="1" ht="18" customHeight="1" thickTop="1">
      <c r="A58" s="6" t="s">
        <v>75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6" t="s">
        <v>76</v>
      </c>
      <c r="M58" s="31">
        <f>B58+D58+F58</f>
        <v>0</v>
      </c>
    </row>
    <row r="59" s="5" customFormat="1" ht="18" customHeight="1">
      <c r="A59" s="5" t="s">
        <v>59</v>
      </c>
    </row>
    <row r="60" spans="1:6" s="5" customFormat="1" ht="18" customHeight="1">
      <c r="A60" s="5" t="s">
        <v>12</v>
      </c>
      <c r="D60" s="5">
        <v>1236</v>
      </c>
      <c r="F60" s="5">
        <v>5796</v>
      </c>
    </row>
    <row r="61" s="5" customFormat="1" ht="18" customHeight="1"/>
    <row r="62" spans="1:7" s="4" customFormat="1" ht="18" customHeight="1">
      <c r="A62" s="4" t="s">
        <v>60</v>
      </c>
      <c r="E62" s="4">
        <f>February!E62+D60</f>
        <v>2259</v>
      </c>
      <c r="G62" s="4">
        <f>February!G62+F60</f>
        <v>20618</v>
      </c>
    </row>
    <row r="63" s="5" customFormat="1" ht="18" customHeight="1"/>
    <row r="64" s="5" customFormat="1" ht="18" customHeight="1"/>
  </sheetData>
  <sheetProtection/>
  <mergeCells count="5">
    <mergeCell ref="B3:C3"/>
    <mergeCell ref="D3:E3"/>
    <mergeCell ref="F3:G3"/>
    <mergeCell ref="H3:I3"/>
    <mergeCell ref="J3:K3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P62"/>
  <sheetViews>
    <sheetView zoomScale="110" zoomScaleNormal="110" zoomScalePageLayoutView="0" workbookViewId="0" topLeftCell="A1">
      <pane ySplit="4" topLeftCell="A26" activePane="bottomLeft" state="frozen"/>
      <selection pane="topLeft" activeCell="A1" sqref="A1"/>
      <selection pane="bottomLeft" activeCell="A49" sqref="A49"/>
    </sheetView>
  </sheetViews>
  <sheetFormatPr defaultColWidth="9.00390625" defaultRowHeight="18" customHeight="1"/>
  <cols>
    <col min="1" max="1" width="18.125" style="2" customWidth="1"/>
    <col min="2" max="3" width="9.00390625" style="2" customWidth="1"/>
    <col min="4" max="4" width="9.25390625" style="2" customWidth="1"/>
    <col min="5" max="5" width="8.125" style="2" bestFit="1" customWidth="1"/>
    <col min="6" max="8" width="9.00390625" style="2" customWidth="1"/>
    <col min="9" max="9" width="12.25390625" style="2" customWidth="1"/>
    <col min="10" max="10" width="7.875" style="2" customWidth="1"/>
    <col min="11" max="14" width="9.00390625" style="2" customWidth="1"/>
    <col min="15" max="16" width="12.25390625" style="2" customWidth="1"/>
    <col min="17" max="16384" width="9.00390625" style="2" customWidth="1"/>
  </cols>
  <sheetData>
    <row r="1" spans="1:8" ht="18" customHeight="1">
      <c r="A1" s="1" t="s">
        <v>77</v>
      </c>
      <c r="F1" s="2" t="s">
        <v>64</v>
      </c>
      <c r="H1" s="2" t="s">
        <v>78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1" s="5" customFormat="1" ht="18" customHeight="1">
      <c r="A3" s="4"/>
      <c r="B3" s="38" t="s">
        <v>0</v>
      </c>
      <c r="C3" s="39"/>
      <c r="D3" s="38" t="s">
        <v>1</v>
      </c>
      <c r="E3" s="39"/>
      <c r="F3" s="38" t="s">
        <v>2</v>
      </c>
      <c r="G3" s="39"/>
      <c r="H3" s="38" t="s">
        <v>3</v>
      </c>
      <c r="I3" s="39"/>
      <c r="J3" s="40" t="s">
        <v>73</v>
      </c>
      <c r="K3" s="41"/>
    </row>
    <row r="4" spans="1:11" s="8" customFormat="1" ht="18" customHeight="1">
      <c r="A4" s="6" t="s">
        <v>4</v>
      </c>
      <c r="B4" s="7" t="s">
        <v>5</v>
      </c>
      <c r="C4" s="7" t="s">
        <v>6</v>
      </c>
      <c r="D4" s="7" t="s">
        <v>5</v>
      </c>
      <c r="E4" s="7" t="s">
        <v>6</v>
      </c>
      <c r="F4" s="7" t="s">
        <v>5</v>
      </c>
      <c r="G4" s="7" t="s">
        <v>6</v>
      </c>
      <c r="H4" s="7" t="s">
        <v>5</v>
      </c>
      <c r="I4" s="7" t="s">
        <v>6</v>
      </c>
      <c r="J4" s="27" t="s">
        <v>5</v>
      </c>
      <c r="K4" s="26" t="s">
        <v>6</v>
      </c>
    </row>
    <row r="5" spans="1:11" s="5" customFormat="1" ht="12" customHeight="1">
      <c r="A5" s="9" t="s">
        <v>7</v>
      </c>
      <c r="B5" s="13">
        <f>2</f>
        <v>2</v>
      </c>
      <c r="C5" s="9">
        <f>March!C5+B5</f>
        <v>2</v>
      </c>
      <c r="D5" s="15"/>
      <c r="E5" s="9">
        <f>March!E5+D5</f>
        <v>2</v>
      </c>
      <c r="F5" s="17"/>
      <c r="G5" s="9">
        <f>March!G5+F5</f>
        <v>0</v>
      </c>
      <c r="H5" s="19"/>
      <c r="I5" s="9">
        <f>March!I5+H5</f>
        <v>0</v>
      </c>
      <c r="J5" s="24"/>
      <c r="K5" s="9">
        <f>March!K5+J5</f>
        <v>0</v>
      </c>
    </row>
    <row r="6" spans="1:11" s="5" customFormat="1" ht="12" customHeight="1">
      <c r="A6" s="9" t="s">
        <v>8</v>
      </c>
      <c r="B6" s="13"/>
      <c r="C6" s="9">
        <f>March!C6+B6</f>
        <v>0</v>
      </c>
      <c r="D6" s="15"/>
      <c r="E6" s="9">
        <f>March!E6+D6</f>
        <v>0</v>
      </c>
      <c r="F6" s="17"/>
      <c r="G6" s="9">
        <f>March!G6+F6</f>
        <v>0</v>
      </c>
      <c r="H6" s="19"/>
      <c r="I6" s="9">
        <f>March!I6+H6</f>
        <v>0</v>
      </c>
      <c r="J6" s="24"/>
      <c r="K6" s="9">
        <f>March!K6+J6</f>
        <v>0</v>
      </c>
    </row>
    <row r="7" spans="1:11" s="5" customFormat="1" ht="12" customHeight="1">
      <c r="A7" s="9" t="s">
        <v>9</v>
      </c>
      <c r="B7" s="13">
        <f>61</f>
        <v>61</v>
      </c>
      <c r="C7" s="9">
        <f>March!C7+B7</f>
        <v>61</v>
      </c>
      <c r="D7" s="15">
        <f>1</f>
        <v>1</v>
      </c>
      <c r="E7" s="9">
        <f>March!E7+D7</f>
        <v>1</v>
      </c>
      <c r="F7" s="17"/>
      <c r="G7" s="9">
        <f>March!G7+F7</f>
        <v>145</v>
      </c>
      <c r="H7" s="19"/>
      <c r="I7" s="9">
        <f>March!I7+H7</f>
        <v>0</v>
      </c>
      <c r="J7" s="24"/>
      <c r="K7" s="9">
        <f>March!K7+J7</f>
        <v>0</v>
      </c>
    </row>
    <row r="8" spans="1:11" s="5" customFormat="1" ht="12" customHeight="1">
      <c r="A8" s="9" t="s">
        <v>10</v>
      </c>
      <c r="B8" s="13">
        <f>89</f>
        <v>89</v>
      </c>
      <c r="C8" s="9">
        <f>March!C8+B8</f>
        <v>580</v>
      </c>
      <c r="D8" s="15"/>
      <c r="E8" s="9">
        <f>March!E8+D8</f>
        <v>12</v>
      </c>
      <c r="F8" s="17"/>
      <c r="G8" s="9">
        <f>March!G8+F8</f>
        <v>0</v>
      </c>
      <c r="H8" s="19"/>
      <c r="I8" s="9">
        <f>March!I8+H8</f>
        <v>0</v>
      </c>
      <c r="J8" s="24"/>
      <c r="K8" s="9">
        <f>March!K8+J8</f>
        <v>0</v>
      </c>
    </row>
    <row r="9" spans="1:11" s="5" customFormat="1" ht="12" customHeight="1">
      <c r="A9" s="9" t="s">
        <v>11</v>
      </c>
      <c r="B9" s="13">
        <f>118+95</f>
        <v>213</v>
      </c>
      <c r="C9" s="9">
        <f>March!C9+B9</f>
        <v>573</v>
      </c>
      <c r="D9" s="15">
        <f>1+1</f>
        <v>2</v>
      </c>
      <c r="E9" s="9">
        <f>March!E9+D9</f>
        <v>7</v>
      </c>
      <c r="F9" s="17">
        <f>119</f>
        <v>119</v>
      </c>
      <c r="G9" s="9">
        <f>March!G9+F9</f>
        <v>1177</v>
      </c>
      <c r="H9" s="19"/>
      <c r="I9" s="9">
        <f>March!I9+H9</f>
        <v>0</v>
      </c>
      <c r="J9" s="24"/>
      <c r="K9" s="9">
        <f>March!K9+J9</f>
        <v>0</v>
      </c>
    </row>
    <row r="10" spans="1:11" s="5" customFormat="1" ht="12" customHeight="1">
      <c r="A10" s="9" t="s">
        <v>12</v>
      </c>
      <c r="B10" s="13">
        <f>5021</f>
        <v>5021</v>
      </c>
      <c r="C10" s="9">
        <f>March!C10+B10</f>
        <v>6122</v>
      </c>
      <c r="D10" s="15">
        <f>7</f>
        <v>7</v>
      </c>
      <c r="E10" s="9">
        <f>March!E10+D10</f>
        <v>90</v>
      </c>
      <c r="F10" s="17">
        <f>76</f>
        <v>76</v>
      </c>
      <c r="G10" s="9">
        <f>March!G10+F10</f>
        <v>76</v>
      </c>
      <c r="H10" s="19"/>
      <c r="I10" s="9">
        <f>March!I10+H10</f>
        <v>0</v>
      </c>
      <c r="J10" s="24"/>
      <c r="K10" s="9">
        <f>March!K10+J10</f>
        <v>198</v>
      </c>
    </row>
    <row r="11" spans="1:11" s="5" customFormat="1" ht="12" customHeight="1">
      <c r="A11" s="9" t="s">
        <v>13</v>
      </c>
      <c r="B11" s="13">
        <v>138</v>
      </c>
      <c r="C11" s="9">
        <f>March!C11+B11</f>
        <v>722</v>
      </c>
      <c r="D11" s="15">
        <v>9</v>
      </c>
      <c r="E11" s="9">
        <f>March!E11+D11</f>
        <v>11</v>
      </c>
      <c r="F11" s="17"/>
      <c r="G11" s="9">
        <f>March!G11+F11</f>
        <v>0</v>
      </c>
      <c r="H11" s="19"/>
      <c r="I11" s="9">
        <f>March!I11+H11</f>
        <v>0</v>
      </c>
      <c r="J11" s="24"/>
      <c r="K11" s="9">
        <f>March!K11+J11</f>
        <v>0</v>
      </c>
    </row>
    <row r="12" spans="1:11" s="5" customFormat="1" ht="12" customHeight="1">
      <c r="A12" s="9" t="s">
        <v>14</v>
      </c>
      <c r="B12" s="13"/>
      <c r="C12" s="9">
        <f>March!C12+B12</f>
        <v>0</v>
      </c>
      <c r="D12" s="15"/>
      <c r="E12" s="9">
        <f>March!E12+D12</f>
        <v>0</v>
      </c>
      <c r="F12" s="17">
        <f>1</f>
        <v>1</v>
      </c>
      <c r="G12" s="9">
        <f>March!G12+F12</f>
        <v>1</v>
      </c>
      <c r="H12" s="19"/>
      <c r="I12" s="9">
        <f>March!I12+H12</f>
        <v>0</v>
      </c>
      <c r="J12" s="24"/>
      <c r="K12" s="9">
        <f>March!K12+J12</f>
        <v>0</v>
      </c>
    </row>
    <row r="13" spans="1:11" s="5" customFormat="1" ht="12" customHeight="1">
      <c r="A13" s="9" t="s">
        <v>15</v>
      </c>
      <c r="B13" s="13"/>
      <c r="C13" s="9">
        <f>March!C13+B13</f>
        <v>0</v>
      </c>
      <c r="D13" s="15"/>
      <c r="E13" s="9">
        <f>March!E13+D13</f>
        <v>0</v>
      </c>
      <c r="F13" s="17"/>
      <c r="G13" s="9">
        <f>March!G13+F13</f>
        <v>0</v>
      </c>
      <c r="H13" s="19"/>
      <c r="I13" s="9">
        <f>March!I13+H13</f>
        <v>0</v>
      </c>
      <c r="J13" s="24"/>
      <c r="K13" s="9">
        <f>March!K13+J13</f>
        <v>0</v>
      </c>
    </row>
    <row r="14" spans="1:11" s="5" customFormat="1" ht="12" customHeight="1">
      <c r="A14" s="9" t="s">
        <v>16</v>
      </c>
      <c r="B14" s="13"/>
      <c r="C14" s="9">
        <f>March!C14+B14</f>
        <v>160</v>
      </c>
      <c r="D14" s="15"/>
      <c r="E14" s="9">
        <f>March!E14+D14</f>
        <v>0</v>
      </c>
      <c r="F14" s="17"/>
      <c r="G14" s="9">
        <f>March!G14+F14</f>
        <v>0</v>
      </c>
      <c r="H14" s="19"/>
      <c r="I14" s="9">
        <f>March!I14+H14</f>
        <v>0</v>
      </c>
      <c r="J14" s="24"/>
      <c r="K14" s="9">
        <f>March!K14+J14</f>
        <v>0</v>
      </c>
    </row>
    <row r="15" spans="1:11" s="5" customFormat="1" ht="12" customHeight="1">
      <c r="A15" s="9" t="s">
        <v>17</v>
      </c>
      <c r="B15" s="13">
        <f>271</f>
        <v>271</v>
      </c>
      <c r="C15" s="9">
        <f>March!C15+B15</f>
        <v>608</v>
      </c>
      <c r="D15" s="15"/>
      <c r="E15" s="9">
        <f>March!E15+D15</f>
        <v>0</v>
      </c>
      <c r="F15" s="17"/>
      <c r="G15" s="9">
        <f>March!G15+F15</f>
        <v>0</v>
      </c>
      <c r="H15" s="19"/>
      <c r="I15" s="9">
        <f>March!I15+H15</f>
        <v>0</v>
      </c>
      <c r="J15" s="24"/>
      <c r="K15" s="9">
        <f>March!K15+J15</f>
        <v>0</v>
      </c>
    </row>
    <row r="16" spans="1:11" s="5" customFormat="1" ht="12" customHeight="1">
      <c r="A16" s="9" t="s">
        <v>18</v>
      </c>
      <c r="B16" s="13"/>
      <c r="C16" s="9">
        <f>March!C16+B16</f>
        <v>0</v>
      </c>
      <c r="D16" s="15"/>
      <c r="E16" s="9">
        <f>March!E16+D16</f>
        <v>0</v>
      </c>
      <c r="F16" s="17"/>
      <c r="G16" s="9">
        <f>March!G16+F16</f>
        <v>0</v>
      </c>
      <c r="H16" s="19"/>
      <c r="I16" s="9">
        <f>March!I16+H16</f>
        <v>0</v>
      </c>
      <c r="J16" s="24"/>
      <c r="K16" s="9">
        <f>March!K16+J16</f>
        <v>0</v>
      </c>
    </row>
    <row r="17" spans="1:11" s="5" customFormat="1" ht="12" customHeight="1">
      <c r="A17" s="9" t="s">
        <v>19</v>
      </c>
      <c r="B17" s="13"/>
      <c r="C17" s="9">
        <f>March!C17+B17</f>
        <v>669</v>
      </c>
      <c r="D17" s="15"/>
      <c r="E17" s="9">
        <f>March!E17+D17</f>
        <v>470</v>
      </c>
      <c r="F17" s="17">
        <f>143</f>
        <v>143</v>
      </c>
      <c r="G17" s="9">
        <f>March!G17+F17</f>
        <v>182</v>
      </c>
      <c r="H17" s="19"/>
      <c r="I17" s="9">
        <f>March!I17+H17</f>
        <v>0</v>
      </c>
      <c r="J17" s="24"/>
      <c r="K17" s="9">
        <f>March!K17+J17</f>
        <v>0</v>
      </c>
    </row>
    <row r="18" spans="1:11" s="5" customFormat="1" ht="12" customHeight="1">
      <c r="A18" s="9" t="s">
        <v>20</v>
      </c>
      <c r="B18" s="13">
        <f>375+154</f>
        <v>529</v>
      </c>
      <c r="C18" s="9">
        <f>March!C18+B18</f>
        <v>1486</v>
      </c>
      <c r="D18" s="15">
        <f>227+10</f>
        <v>237</v>
      </c>
      <c r="E18" s="9">
        <f>March!E18+D18</f>
        <v>363</v>
      </c>
      <c r="F18" s="17">
        <f>162+1</f>
        <v>163</v>
      </c>
      <c r="G18" s="9">
        <f>March!G18+F18</f>
        <v>188</v>
      </c>
      <c r="H18" s="19"/>
      <c r="I18" s="9">
        <f>March!I18+H18</f>
        <v>0</v>
      </c>
      <c r="J18" s="24"/>
      <c r="K18" s="9">
        <f>March!K18+J18</f>
        <v>0</v>
      </c>
    </row>
    <row r="19" spans="1:11" s="5" customFormat="1" ht="12" customHeight="1">
      <c r="A19" s="9" t="s">
        <v>21</v>
      </c>
      <c r="B19" s="13">
        <f>700+2594</f>
        <v>3294</v>
      </c>
      <c r="C19" s="9">
        <f>March!C19+B19</f>
        <v>12911</v>
      </c>
      <c r="D19" s="15">
        <f>2+4</f>
        <v>6</v>
      </c>
      <c r="E19" s="9">
        <f>March!E19+D19</f>
        <v>34</v>
      </c>
      <c r="F19" s="17">
        <v>151</v>
      </c>
      <c r="G19" s="9">
        <f>March!G19+F19</f>
        <v>5298</v>
      </c>
      <c r="H19" s="19"/>
      <c r="I19" s="9">
        <f>March!I19+H19</f>
        <v>0</v>
      </c>
      <c r="J19" s="24"/>
      <c r="K19" s="9">
        <f>March!K19+J19</f>
        <v>0</v>
      </c>
    </row>
    <row r="20" spans="1:11" s="5" customFormat="1" ht="12" customHeight="1">
      <c r="A20" s="9" t="s">
        <v>22</v>
      </c>
      <c r="B20" s="13">
        <f>306+2610</f>
        <v>2916</v>
      </c>
      <c r="C20" s="9">
        <f>March!C20+B20</f>
        <v>12747</v>
      </c>
      <c r="D20" s="15">
        <f>4+428</f>
        <v>432</v>
      </c>
      <c r="E20" s="9">
        <f>March!E20+D20</f>
        <v>782</v>
      </c>
      <c r="F20" s="17"/>
      <c r="G20" s="9">
        <f>March!G20+F20</f>
        <v>689</v>
      </c>
      <c r="H20" s="19"/>
      <c r="I20" s="9">
        <f>March!I20+H20</f>
        <v>0</v>
      </c>
      <c r="J20" s="24"/>
      <c r="K20" s="9">
        <f>March!K20+J20</f>
        <v>0</v>
      </c>
    </row>
    <row r="21" spans="1:11" s="5" customFormat="1" ht="12" customHeight="1">
      <c r="A21" s="9" t="s">
        <v>23</v>
      </c>
      <c r="B21" s="13">
        <f>4061+1112</f>
        <v>5173</v>
      </c>
      <c r="C21" s="9">
        <f>March!C21+B21</f>
        <v>11314</v>
      </c>
      <c r="D21" s="15">
        <f>485</f>
        <v>485</v>
      </c>
      <c r="E21" s="9">
        <f>March!E21+D21</f>
        <v>1526</v>
      </c>
      <c r="F21" s="17"/>
      <c r="G21" s="9">
        <f>March!G21+F21</f>
        <v>0</v>
      </c>
      <c r="H21" s="19"/>
      <c r="I21" s="9">
        <f>March!I21+H21</f>
        <v>0</v>
      </c>
      <c r="J21" s="24"/>
      <c r="K21" s="9">
        <f>March!K21+J21</f>
        <v>0</v>
      </c>
    </row>
    <row r="22" spans="1:11" s="5" customFormat="1" ht="12" customHeight="1">
      <c r="A22" s="9" t="s">
        <v>24</v>
      </c>
      <c r="B22" s="13"/>
      <c r="C22" s="9">
        <f>March!C22+B22</f>
        <v>0</v>
      </c>
      <c r="D22" s="15"/>
      <c r="E22" s="9">
        <f>March!E22+D22</f>
        <v>0</v>
      </c>
      <c r="F22" s="17"/>
      <c r="G22" s="9">
        <f>March!G22+F22</f>
        <v>0</v>
      </c>
      <c r="H22" s="19"/>
      <c r="I22" s="9">
        <f>March!I22+H22</f>
        <v>0</v>
      </c>
      <c r="J22" s="24"/>
      <c r="K22" s="9">
        <f>March!K22+J22</f>
        <v>0</v>
      </c>
    </row>
    <row r="23" spans="1:11" s="5" customFormat="1" ht="12" customHeight="1">
      <c r="A23" s="9" t="s">
        <v>25</v>
      </c>
      <c r="B23" s="13"/>
      <c r="C23" s="9">
        <f>March!C23+B23</f>
        <v>0</v>
      </c>
      <c r="D23" s="15"/>
      <c r="E23" s="9">
        <f>March!E23+D23</f>
        <v>0</v>
      </c>
      <c r="F23" s="17"/>
      <c r="G23" s="9">
        <f>March!G23+F23</f>
        <v>0</v>
      </c>
      <c r="H23" s="19"/>
      <c r="I23" s="9">
        <f>March!I23+H23</f>
        <v>0</v>
      </c>
      <c r="J23" s="24"/>
      <c r="K23" s="9">
        <f>March!K23+J23</f>
        <v>0</v>
      </c>
    </row>
    <row r="24" spans="1:11" s="5" customFormat="1" ht="12" customHeight="1">
      <c r="A24" s="9" t="s">
        <v>26</v>
      </c>
      <c r="B24" s="13"/>
      <c r="C24" s="9">
        <f>March!C24+B24</f>
        <v>0</v>
      </c>
      <c r="D24" s="15"/>
      <c r="E24" s="9">
        <f>March!E24+D24</f>
        <v>1</v>
      </c>
      <c r="F24" s="17">
        <f>2</f>
        <v>2</v>
      </c>
      <c r="G24" s="9">
        <f>March!G24+F24</f>
        <v>2</v>
      </c>
      <c r="H24" s="19"/>
      <c r="I24" s="9">
        <f>March!I24+H24</f>
        <v>0</v>
      </c>
      <c r="J24" s="24"/>
      <c r="K24" s="9">
        <f>March!K24+J24</f>
        <v>0</v>
      </c>
    </row>
    <row r="25" spans="1:11" s="5" customFormat="1" ht="12" customHeight="1">
      <c r="A25" s="9" t="s">
        <v>27</v>
      </c>
      <c r="B25" s="13"/>
      <c r="C25" s="9">
        <f>March!C25+B25</f>
        <v>0</v>
      </c>
      <c r="D25" s="15"/>
      <c r="E25" s="9">
        <f>March!E25+D25</f>
        <v>0</v>
      </c>
      <c r="F25" s="17"/>
      <c r="G25" s="9">
        <f>March!G25+F25</f>
        <v>0</v>
      </c>
      <c r="H25" s="19"/>
      <c r="I25" s="9">
        <f>March!I25+H25</f>
        <v>0</v>
      </c>
      <c r="J25" s="24"/>
      <c r="K25" s="9">
        <f>March!K25+J25</f>
        <v>0</v>
      </c>
    </row>
    <row r="26" spans="1:11" s="5" customFormat="1" ht="12" customHeight="1">
      <c r="A26" s="9" t="s">
        <v>28</v>
      </c>
      <c r="B26" s="13">
        <v>1872</v>
      </c>
      <c r="C26" s="9">
        <f>March!C26+B26</f>
        <v>13024</v>
      </c>
      <c r="D26" s="15">
        <v>12</v>
      </c>
      <c r="E26" s="9">
        <f>March!E26+D26</f>
        <v>58</v>
      </c>
      <c r="F26" s="17"/>
      <c r="G26" s="9">
        <f>March!G26+F26</f>
        <v>34</v>
      </c>
      <c r="H26" s="19"/>
      <c r="I26" s="9">
        <f>March!I26+H26</f>
        <v>0</v>
      </c>
      <c r="J26" s="24"/>
      <c r="K26" s="9">
        <f>March!K26+J26</f>
        <v>0</v>
      </c>
    </row>
    <row r="27" spans="1:11" s="5" customFormat="1" ht="12" customHeight="1">
      <c r="A27" s="9" t="s">
        <v>29</v>
      </c>
      <c r="B27" s="13">
        <f>144+1154</f>
        <v>1298</v>
      </c>
      <c r="C27" s="9">
        <f>March!C27+B27</f>
        <v>8768</v>
      </c>
      <c r="D27" s="15">
        <f>2+58</f>
        <v>60</v>
      </c>
      <c r="E27" s="9">
        <f>March!E27+D27</f>
        <v>445</v>
      </c>
      <c r="F27" s="17">
        <v>294</v>
      </c>
      <c r="G27" s="9">
        <f>March!G27+F27</f>
        <v>2936</v>
      </c>
      <c r="H27" s="19"/>
      <c r="I27" s="9">
        <f>March!I27+H27</f>
        <v>0</v>
      </c>
      <c r="J27" s="24"/>
      <c r="K27" s="9">
        <f>March!K27+J27</f>
        <v>0</v>
      </c>
    </row>
    <row r="28" spans="1:11" s="5" customFormat="1" ht="12" customHeight="1">
      <c r="A28" s="9" t="s">
        <v>30</v>
      </c>
      <c r="B28" s="13">
        <f>68</f>
        <v>68</v>
      </c>
      <c r="C28" s="9">
        <f>March!C28+B28</f>
        <v>144</v>
      </c>
      <c r="D28" s="15"/>
      <c r="E28" s="9">
        <f>March!E28+D28</f>
        <v>0</v>
      </c>
      <c r="F28" s="17"/>
      <c r="G28" s="9">
        <f>March!G28+F28</f>
        <v>0</v>
      </c>
      <c r="H28" s="19"/>
      <c r="I28" s="9">
        <f>March!I28+H28</f>
        <v>0</v>
      </c>
      <c r="J28" s="24"/>
      <c r="K28" s="9">
        <f>March!K28+J28</f>
        <v>0</v>
      </c>
    </row>
    <row r="29" spans="1:11" s="5" customFormat="1" ht="12" customHeight="1">
      <c r="A29" s="9" t="s">
        <v>31</v>
      </c>
      <c r="B29" s="13">
        <f>82+7629</f>
        <v>7711</v>
      </c>
      <c r="C29" s="9">
        <f>March!C29+B29</f>
        <v>24134</v>
      </c>
      <c r="D29" s="15">
        <f>192+46</f>
        <v>238</v>
      </c>
      <c r="E29" s="9">
        <f>March!E29+D29</f>
        <v>593</v>
      </c>
      <c r="F29" s="17">
        <f>125+16</f>
        <v>141</v>
      </c>
      <c r="G29" s="9">
        <f>March!G29+F29</f>
        <v>1921</v>
      </c>
      <c r="H29" s="19"/>
      <c r="I29" s="9">
        <f>March!I29+H29</f>
        <v>0</v>
      </c>
      <c r="J29" s="24"/>
      <c r="K29" s="9">
        <f>March!K29+J29</f>
        <v>0</v>
      </c>
    </row>
    <row r="30" spans="1:11" s="5" customFormat="1" ht="12" customHeight="1">
      <c r="A30" s="9" t="s">
        <v>32</v>
      </c>
      <c r="B30" s="13">
        <f>4220+1451+3003</f>
        <v>8674</v>
      </c>
      <c r="C30" s="9">
        <f>March!C30+B30</f>
        <v>27611</v>
      </c>
      <c r="D30" s="15">
        <f>494+139</f>
        <v>633</v>
      </c>
      <c r="E30" s="9">
        <f>March!E30+D30</f>
        <v>4133</v>
      </c>
      <c r="F30" s="17">
        <f>220</f>
        <v>220</v>
      </c>
      <c r="G30" s="9">
        <f>March!G30+F30</f>
        <v>220</v>
      </c>
      <c r="H30" s="19"/>
      <c r="I30" s="9">
        <f>March!I30+H30</f>
        <v>0</v>
      </c>
      <c r="J30" s="24"/>
      <c r="K30" s="9">
        <f>March!K30+J30</f>
        <v>0</v>
      </c>
    </row>
    <row r="31" spans="1:11" s="5" customFormat="1" ht="12" customHeight="1">
      <c r="A31" s="9" t="s">
        <v>33</v>
      </c>
      <c r="B31" s="13">
        <f>197+4855</f>
        <v>5052</v>
      </c>
      <c r="C31" s="9">
        <f>March!C31+B31</f>
        <v>20002</v>
      </c>
      <c r="D31" s="15">
        <v>897</v>
      </c>
      <c r="E31" s="9">
        <f>March!E31+D31</f>
        <v>2929</v>
      </c>
      <c r="F31" s="17">
        <f>352+264</f>
        <v>616</v>
      </c>
      <c r="G31" s="9">
        <f>March!G31+F31</f>
        <v>975</v>
      </c>
      <c r="H31" s="19"/>
      <c r="I31" s="9">
        <f>March!I31+H31</f>
        <v>0</v>
      </c>
      <c r="J31" s="24"/>
      <c r="K31" s="9">
        <f>March!K31+J31</f>
        <v>0</v>
      </c>
    </row>
    <row r="32" spans="1:11" s="5" customFormat="1" ht="12" customHeight="1">
      <c r="A32" s="9" t="s">
        <v>34</v>
      </c>
      <c r="B32" s="13"/>
      <c r="C32" s="9">
        <f>March!C32+B32</f>
        <v>0</v>
      </c>
      <c r="D32" s="15"/>
      <c r="E32" s="9">
        <f>March!E32+D32</f>
        <v>0</v>
      </c>
      <c r="F32" s="17"/>
      <c r="G32" s="9">
        <f>March!G32+F32</f>
        <v>0</v>
      </c>
      <c r="H32" s="19"/>
      <c r="I32" s="9">
        <f>March!I32+H32</f>
        <v>0</v>
      </c>
      <c r="J32" s="24"/>
      <c r="K32" s="9">
        <f>March!K32+J32</f>
        <v>0</v>
      </c>
    </row>
    <row r="33" spans="1:11" s="5" customFormat="1" ht="12" customHeight="1">
      <c r="A33" s="9" t="s">
        <v>35</v>
      </c>
      <c r="B33" s="13"/>
      <c r="C33" s="9">
        <f>March!C33+B33</f>
        <v>0</v>
      </c>
      <c r="D33" s="15"/>
      <c r="E33" s="9">
        <f>March!E33+D33</f>
        <v>0</v>
      </c>
      <c r="F33" s="17"/>
      <c r="G33" s="9">
        <f>March!G33+F33</f>
        <v>0</v>
      </c>
      <c r="H33" s="19"/>
      <c r="I33" s="9">
        <f>March!I33+H33</f>
        <v>0</v>
      </c>
      <c r="J33" s="24"/>
      <c r="K33" s="9">
        <f>March!K33+J33</f>
        <v>0</v>
      </c>
    </row>
    <row r="34" spans="1:11" s="5" customFormat="1" ht="12" customHeight="1">
      <c r="A34" s="9" t="s">
        <v>36</v>
      </c>
      <c r="B34" s="13"/>
      <c r="C34" s="9">
        <f>March!C34+B34</f>
        <v>0</v>
      </c>
      <c r="D34" s="15"/>
      <c r="E34" s="9">
        <f>March!E34+D34</f>
        <v>0</v>
      </c>
      <c r="F34" s="17"/>
      <c r="G34" s="9">
        <f>March!G34+F34</f>
        <v>0</v>
      </c>
      <c r="H34" s="19"/>
      <c r="I34" s="9">
        <f>March!I34+H34</f>
        <v>0</v>
      </c>
      <c r="J34" s="24"/>
      <c r="K34" s="9">
        <f>March!K34+J34</f>
        <v>0</v>
      </c>
    </row>
    <row r="35" spans="1:11" s="5" customFormat="1" ht="12" customHeight="1">
      <c r="A35" s="9" t="s">
        <v>37</v>
      </c>
      <c r="B35" s="13">
        <v>590</v>
      </c>
      <c r="C35" s="9">
        <f>March!C35+B35</f>
        <v>925</v>
      </c>
      <c r="D35" s="15"/>
      <c r="E35" s="9">
        <f>March!E35+D35</f>
        <v>20</v>
      </c>
      <c r="F35" s="17">
        <v>832</v>
      </c>
      <c r="G35" s="9">
        <f>March!G35+F35</f>
        <v>832</v>
      </c>
      <c r="H35" s="19"/>
      <c r="I35" s="9">
        <f>March!I35+H35</f>
        <v>0</v>
      </c>
      <c r="J35" s="24"/>
      <c r="K35" s="9">
        <f>March!K35+J35</f>
        <v>0</v>
      </c>
    </row>
    <row r="36" spans="1:11" s="5" customFormat="1" ht="12" customHeight="1">
      <c r="A36" s="9" t="s">
        <v>38</v>
      </c>
      <c r="B36" s="13">
        <f>94</f>
        <v>94</v>
      </c>
      <c r="C36" s="9">
        <f>March!C36+B36</f>
        <v>239</v>
      </c>
      <c r="D36" s="15"/>
      <c r="E36" s="9">
        <f>March!E36+D36</f>
        <v>0</v>
      </c>
      <c r="F36" s="17">
        <f>312</f>
        <v>312</v>
      </c>
      <c r="G36" s="9">
        <f>March!G36+F36</f>
        <v>1096</v>
      </c>
      <c r="H36" s="19"/>
      <c r="I36" s="9">
        <f>March!I36+H36</f>
        <v>0</v>
      </c>
      <c r="J36" s="24"/>
      <c r="K36" s="9">
        <f>March!K36+J36</f>
        <v>0</v>
      </c>
    </row>
    <row r="37" spans="1:11" s="5" customFormat="1" ht="12" customHeight="1">
      <c r="A37" s="9" t="s">
        <v>39</v>
      </c>
      <c r="B37" s="13"/>
      <c r="C37" s="9">
        <f>March!C37+B37</f>
        <v>31</v>
      </c>
      <c r="D37" s="15"/>
      <c r="E37" s="9">
        <f>March!E37+D37</f>
        <v>293</v>
      </c>
      <c r="F37" s="17"/>
      <c r="G37" s="9">
        <f>March!G37+F37</f>
        <v>0</v>
      </c>
      <c r="H37" s="19"/>
      <c r="I37" s="9">
        <f>March!I37+H37</f>
        <v>0</v>
      </c>
      <c r="J37" s="24"/>
      <c r="K37" s="9">
        <f>March!K37+J37</f>
        <v>0</v>
      </c>
    </row>
    <row r="38" spans="1:11" s="5" customFormat="1" ht="12" customHeight="1">
      <c r="A38" s="9" t="s">
        <v>40</v>
      </c>
      <c r="B38" s="13">
        <f>4709+114</f>
        <v>4823</v>
      </c>
      <c r="C38" s="9">
        <f>March!C38+B38</f>
        <v>31457</v>
      </c>
      <c r="D38" s="15">
        <v>3</v>
      </c>
      <c r="E38" s="9">
        <f>March!E38+D38</f>
        <v>263</v>
      </c>
      <c r="F38" s="17">
        <f>190</f>
        <v>190</v>
      </c>
      <c r="G38" s="9">
        <f>March!G38+F38</f>
        <v>190</v>
      </c>
      <c r="H38" s="19"/>
      <c r="I38" s="9">
        <f>March!I38+H38</f>
        <v>0</v>
      </c>
      <c r="J38" s="24"/>
      <c r="K38" s="9">
        <f>March!K38+J38</f>
        <v>0</v>
      </c>
    </row>
    <row r="39" spans="1:11" s="5" customFormat="1" ht="12" customHeight="1">
      <c r="A39" s="9" t="s">
        <v>41</v>
      </c>
      <c r="B39" s="13">
        <f>425+1200</f>
        <v>1625</v>
      </c>
      <c r="C39" s="9">
        <f>March!C39+B39</f>
        <v>6429</v>
      </c>
      <c r="D39" s="15">
        <v>1</v>
      </c>
      <c r="E39" s="9">
        <f>March!E39+D39</f>
        <v>5</v>
      </c>
      <c r="F39" s="17">
        <v>12</v>
      </c>
      <c r="G39" s="9">
        <f>March!G39+F39</f>
        <v>209</v>
      </c>
      <c r="H39" s="19"/>
      <c r="I39" s="9">
        <f>March!I39+H39</f>
        <v>0</v>
      </c>
      <c r="J39" s="24"/>
      <c r="K39" s="9">
        <f>March!K39+J39</f>
        <v>0</v>
      </c>
    </row>
    <row r="40" spans="1:11" s="5" customFormat="1" ht="12" customHeight="1">
      <c r="A40" s="9" t="s">
        <v>42</v>
      </c>
      <c r="B40" s="13">
        <v>364</v>
      </c>
      <c r="C40" s="9">
        <f>March!C40+B40</f>
        <v>1446</v>
      </c>
      <c r="D40" s="15">
        <f>21+286</f>
        <v>307</v>
      </c>
      <c r="E40" s="9">
        <f>March!E40+D40</f>
        <v>369</v>
      </c>
      <c r="F40" s="17"/>
      <c r="G40" s="9">
        <f>March!G40+F40</f>
        <v>0</v>
      </c>
      <c r="H40" s="19"/>
      <c r="I40" s="9">
        <f>March!I40+H40</f>
        <v>0</v>
      </c>
      <c r="J40" s="24"/>
      <c r="K40" s="9">
        <f>March!K40+J40</f>
        <v>0</v>
      </c>
    </row>
    <row r="41" spans="1:11" s="5" customFormat="1" ht="12" customHeight="1">
      <c r="A41" s="9" t="s">
        <v>43</v>
      </c>
      <c r="B41" s="13"/>
      <c r="C41" s="9">
        <f>March!C41+B41</f>
        <v>0</v>
      </c>
      <c r="D41" s="15">
        <v>2</v>
      </c>
      <c r="E41" s="9">
        <f>March!E41+D41</f>
        <v>2</v>
      </c>
      <c r="F41" s="17"/>
      <c r="G41" s="9">
        <f>March!G41+F41</f>
        <v>0</v>
      </c>
      <c r="H41" s="19"/>
      <c r="I41" s="9">
        <f>March!I41+H41</f>
        <v>0</v>
      </c>
      <c r="J41" s="24"/>
      <c r="K41" s="9">
        <f>March!K41+J41</f>
        <v>0</v>
      </c>
    </row>
    <row r="42" spans="1:11" s="5" customFormat="1" ht="12" customHeight="1">
      <c r="A42" s="9" t="s">
        <v>44</v>
      </c>
      <c r="B42" s="13"/>
      <c r="C42" s="9">
        <f>March!C42+B42</f>
        <v>1057</v>
      </c>
      <c r="D42" s="15"/>
      <c r="E42" s="9">
        <f>March!E42+D42</f>
        <v>1</v>
      </c>
      <c r="F42" s="17">
        <v>1</v>
      </c>
      <c r="G42" s="9">
        <f>March!G42+F42</f>
        <v>185</v>
      </c>
      <c r="H42" s="19"/>
      <c r="I42" s="9">
        <f>March!I42+H42</f>
        <v>0</v>
      </c>
      <c r="J42" s="24"/>
      <c r="K42" s="9">
        <f>March!K42+J42</f>
        <v>0</v>
      </c>
    </row>
    <row r="43" spans="1:11" s="5" customFormat="1" ht="12" customHeight="1">
      <c r="A43" s="9" t="s">
        <v>45</v>
      </c>
      <c r="B43" s="13"/>
      <c r="C43" s="9">
        <f>March!C43+B43</f>
        <v>0</v>
      </c>
      <c r="D43" s="15"/>
      <c r="E43" s="9">
        <f>March!E43+D43</f>
        <v>0</v>
      </c>
      <c r="F43" s="17"/>
      <c r="G43" s="9">
        <f>March!G43+F43</f>
        <v>0</v>
      </c>
      <c r="H43" s="19"/>
      <c r="I43" s="9">
        <f>March!I43+H43</f>
        <v>0</v>
      </c>
      <c r="J43" s="24"/>
      <c r="K43" s="9">
        <f>March!K43+J43</f>
        <v>0</v>
      </c>
    </row>
    <row r="44" spans="1:11" s="5" customFormat="1" ht="12" customHeight="1">
      <c r="A44" s="9" t="s">
        <v>46</v>
      </c>
      <c r="B44" s="13"/>
      <c r="C44" s="9">
        <f>March!C44+B44</f>
        <v>0</v>
      </c>
      <c r="D44" s="15"/>
      <c r="E44" s="9">
        <f>March!E44+D44</f>
        <v>0</v>
      </c>
      <c r="F44" s="17"/>
      <c r="G44" s="9">
        <f>March!G44+F44</f>
        <v>14</v>
      </c>
      <c r="H44" s="19"/>
      <c r="I44" s="9">
        <f>March!I44+H44</f>
        <v>0</v>
      </c>
      <c r="J44" s="24"/>
      <c r="K44" s="9">
        <f>March!K44+J44</f>
        <v>0</v>
      </c>
    </row>
    <row r="45" spans="1:11" s="5" customFormat="1" ht="12" customHeight="1">
      <c r="A45" s="9" t="s">
        <v>47</v>
      </c>
      <c r="B45" s="13">
        <f>2044+23406</f>
        <v>25450</v>
      </c>
      <c r="C45" s="9">
        <f>March!C45+B45</f>
        <v>103290</v>
      </c>
      <c r="D45" s="15">
        <f>35+699</f>
        <v>734</v>
      </c>
      <c r="E45" s="9">
        <f>March!E45+D45</f>
        <v>2936</v>
      </c>
      <c r="F45" s="17">
        <v>111</v>
      </c>
      <c r="G45" s="9">
        <f>March!G45+F45</f>
        <v>594</v>
      </c>
      <c r="H45" s="19"/>
      <c r="I45" s="9">
        <f>March!I45+H45</f>
        <v>0</v>
      </c>
      <c r="J45" s="24"/>
      <c r="K45" s="9">
        <f>March!K45+J45</f>
        <v>0</v>
      </c>
    </row>
    <row r="46" spans="1:11" s="5" customFormat="1" ht="12" customHeight="1">
      <c r="A46" s="9" t="s">
        <v>48</v>
      </c>
      <c r="B46" s="13">
        <v>1981</v>
      </c>
      <c r="C46" s="9">
        <f>March!C46+B46</f>
        <v>4799</v>
      </c>
      <c r="D46" s="15">
        <v>4</v>
      </c>
      <c r="E46" s="9">
        <f>March!E46+D46</f>
        <v>4</v>
      </c>
      <c r="F46" s="17">
        <v>41</v>
      </c>
      <c r="G46" s="9">
        <f>March!G46+F46</f>
        <v>106</v>
      </c>
      <c r="H46" s="19"/>
      <c r="I46" s="9">
        <f>March!I46+H46</f>
        <v>0</v>
      </c>
      <c r="J46" s="24"/>
      <c r="K46" s="9">
        <f>March!K46+J46</f>
        <v>0</v>
      </c>
    </row>
    <row r="47" spans="1:11" s="5" customFormat="1" ht="12" customHeight="1">
      <c r="A47" s="9" t="s">
        <v>49</v>
      </c>
      <c r="B47" s="13">
        <f>923+283</f>
        <v>1206</v>
      </c>
      <c r="C47" s="9">
        <f>March!C47+B47</f>
        <v>7281</v>
      </c>
      <c r="D47" s="15">
        <v>1</v>
      </c>
      <c r="E47" s="9">
        <f>March!E47+D47</f>
        <v>23</v>
      </c>
      <c r="F47" s="17">
        <v>673</v>
      </c>
      <c r="G47" s="9">
        <f>March!G47+F47</f>
        <v>1975</v>
      </c>
      <c r="H47" s="19"/>
      <c r="I47" s="9">
        <f>March!I47+H47</f>
        <v>0</v>
      </c>
      <c r="J47" s="24"/>
      <c r="K47" s="9">
        <f>March!K47+J47</f>
        <v>0</v>
      </c>
    </row>
    <row r="48" spans="1:11" s="5" customFormat="1" ht="12" customHeight="1">
      <c r="A48" s="9" t="s">
        <v>50</v>
      </c>
      <c r="B48" s="13"/>
      <c r="C48" s="9">
        <f>March!C48+B48</f>
        <v>469</v>
      </c>
      <c r="D48" s="15">
        <f>5</f>
        <v>5</v>
      </c>
      <c r="E48" s="9">
        <f>March!E48+D48</f>
        <v>6</v>
      </c>
      <c r="F48" s="17"/>
      <c r="G48" s="9">
        <f>March!G48+F48</f>
        <v>1715</v>
      </c>
      <c r="H48" s="19"/>
      <c r="I48" s="9">
        <f>March!I48+H48</f>
        <v>0</v>
      </c>
      <c r="J48" s="24"/>
      <c r="K48" s="9">
        <f>March!K48+J48</f>
        <v>0</v>
      </c>
    </row>
    <row r="49" spans="1:11" s="5" customFormat="1" ht="12" customHeight="1">
      <c r="A49" s="9" t="s">
        <v>51</v>
      </c>
      <c r="B49" s="13"/>
      <c r="C49" s="9">
        <f>March!C49+B49</f>
        <v>0</v>
      </c>
      <c r="D49" s="15"/>
      <c r="E49" s="9">
        <f>March!E49+D49</f>
        <v>0</v>
      </c>
      <c r="F49" s="17">
        <v>74</v>
      </c>
      <c r="G49" s="9">
        <f>March!G49+F49</f>
        <v>74</v>
      </c>
      <c r="H49" s="19"/>
      <c r="I49" s="9">
        <f>March!I49+H49</f>
        <v>0</v>
      </c>
      <c r="J49" s="24"/>
      <c r="K49" s="9">
        <f>March!K49+J49</f>
        <v>0</v>
      </c>
    </row>
    <row r="50" spans="1:11" s="5" customFormat="1" ht="12" customHeight="1">
      <c r="A50" s="9" t="s">
        <v>52</v>
      </c>
      <c r="B50" s="13"/>
      <c r="C50" s="9">
        <f>March!C50+B50</f>
        <v>0</v>
      </c>
      <c r="D50" s="15"/>
      <c r="E50" s="9">
        <f>March!E50+D50</f>
        <v>0</v>
      </c>
      <c r="F50" s="17"/>
      <c r="G50" s="9">
        <f>March!G50+F50</f>
        <v>0</v>
      </c>
      <c r="H50" s="19"/>
      <c r="I50" s="9">
        <f>March!I50+H50</f>
        <v>0</v>
      </c>
      <c r="J50" s="24"/>
      <c r="K50" s="9">
        <f>March!K50+J50</f>
        <v>0</v>
      </c>
    </row>
    <row r="51" spans="1:11" s="5" customFormat="1" ht="12" customHeight="1">
      <c r="A51" s="9" t="s">
        <v>53</v>
      </c>
      <c r="B51" s="13"/>
      <c r="C51" s="9">
        <f>March!C51+B51</f>
        <v>0</v>
      </c>
      <c r="D51" s="15"/>
      <c r="E51" s="9">
        <f>March!E51+D51</f>
        <v>0</v>
      </c>
      <c r="F51" s="17"/>
      <c r="G51" s="9">
        <f>March!G51+F51</f>
        <v>1</v>
      </c>
      <c r="H51" s="19"/>
      <c r="I51" s="9">
        <f>March!I51+H51</f>
        <v>0</v>
      </c>
      <c r="J51" s="24"/>
      <c r="K51" s="9">
        <f>March!K51+J51</f>
        <v>0</v>
      </c>
    </row>
    <row r="52" spans="1:11" s="5" customFormat="1" ht="12" customHeight="1">
      <c r="A52" s="9" t="s">
        <v>54</v>
      </c>
      <c r="B52" s="13">
        <f>189</f>
        <v>189</v>
      </c>
      <c r="C52" s="9">
        <f>March!C52+B52</f>
        <v>274</v>
      </c>
      <c r="D52" s="15"/>
      <c r="E52" s="9">
        <f>March!E52+D52</f>
        <v>1</v>
      </c>
      <c r="F52" s="17"/>
      <c r="G52" s="9">
        <f>March!G52+F52</f>
        <v>0</v>
      </c>
      <c r="H52" s="19"/>
      <c r="I52" s="9">
        <f>March!I52+H52</f>
        <v>0</v>
      </c>
      <c r="J52" s="24"/>
      <c r="K52" s="9">
        <f>March!K52+J52</f>
        <v>0</v>
      </c>
    </row>
    <row r="53" spans="1:11" s="5" customFormat="1" ht="12" customHeight="1">
      <c r="A53" s="9" t="s">
        <v>55</v>
      </c>
      <c r="B53" s="13">
        <f>3963+1405</f>
        <v>5368</v>
      </c>
      <c r="C53" s="9">
        <f>March!C53+B53</f>
        <v>22731</v>
      </c>
      <c r="D53" s="15">
        <f>309+137</f>
        <v>446</v>
      </c>
      <c r="E53" s="9">
        <f>March!E53+D53</f>
        <v>1064</v>
      </c>
      <c r="F53" s="17">
        <f>781+250</f>
        <v>1031</v>
      </c>
      <c r="G53" s="9">
        <f>March!G53+F53</f>
        <v>4702</v>
      </c>
      <c r="H53" s="19"/>
      <c r="I53" s="9">
        <f>March!I53+H53</f>
        <v>0</v>
      </c>
      <c r="J53" s="24"/>
      <c r="K53" s="9">
        <f>March!K53+J53</f>
        <v>0</v>
      </c>
    </row>
    <row r="54" spans="1:11" s="5" customFormat="1" ht="12" customHeight="1" thickBot="1">
      <c r="A54" s="10" t="s">
        <v>56</v>
      </c>
      <c r="B54" s="13">
        <v>65</v>
      </c>
      <c r="C54" s="9">
        <f>March!C54+B54</f>
        <v>1088</v>
      </c>
      <c r="D54" s="16">
        <v>237</v>
      </c>
      <c r="E54" s="9">
        <f>March!E54+D54</f>
        <v>788</v>
      </c>
      <c r="F54" s="17"/>
      <c r="G54" s="9">
        <f>March!G54+F54</f>
        <v>0</v>
      </c>
      <c r="H54" s="19"/>
      <c r="I54" s="9">
        <f>March!I54+H54</f>
        <v>0</v>
      </c>
      <c r="J54" s="25"/>
      <c r="K54" s="9">
        <f>March!K54+J54</f>
        <v>0</v>
      </c>
    </row>
    <row r="55" spans="1:11" s="5" customFormat="1" ht="18" customHeight="1" thickBot="1" thickTop="1">
      <c r="A55" s="11" t="s">
        <v>57</v>
      </c>
      <c r="B55" s="11">
        <f>SUM(B5:B54)</f>
        <v>84137</v>
      </c>
      <c r="C55" s="11"/>
      <c r="D55" s="11">
        <f>SUM(D5:D54)</f>
        <v>4759</v>
      </c>
      <c r="E55" s="11"/>
      <c r="F55" s="11">
        <f>SUM(F5:F54)</f>
        <v>5203</v>
      </c>
      <c r="G55" s="11"/>
      <c r="H55" s="11">
        <f>SUM(H5:H54)</f>
        <v>0</v>
      </c>
      <c r="I55" s="11"/>
      <c r="J55" s="11">
        <f>SUM(J5:J54)</f>
        <v>0</v>
      </c>
      <c r="K55" s="23"/>
    </row>
    <row r="56" spans="1:9" s="5" customFormat="1" ht="18" customHeight="1" thickBot="1" thickTop="1">
      <c r="A56" s="8"/>
      <c r="B56" s="8"/>
      <c r="C56" s="8"/>
      <c r="D56" s="8"/>
      <c r="E56" s="8"/>
      <c r="F56" s="8"/>
      <c r="G56" s="8"/>
      <c r="H56" s="8"/>
      <c r="I56" s="8"/>
    </row>
    <row r="57" spans="1:11" s="5" customFormat="1" ht="18" customHeight="1" thickBot="1" thickTop="1">
      <c r="A57" s="12" t="s">
        <v>58</v>
      </c>
      <c r="B57" s="11"/>
      <c r="C57" s="11">
        <f>March!C57+B55</f>
        <v>323154</v>
      </c>
      <c r="D57" s="11"/>
      <c r="E57" s="11">
        <f>March!E57+D55</f>
        <v>17232</v>
      </c>
      <c r="F57" s="11"/>
      <c r="G57" s="11">
        <f>March!G57+F55</f>
        <v>25537</v>
      </c>
      <c r="H57" s="11"/>
      <c r="I57" s="11">
        <f>March!I57+H55</f>
        <v>0</v>
      </c>
      <c r="J57" s="11"/>
      <c r="K57" s="11">
        <f>March!K57+J55</f>
        <v>198</v>
      </c>
    </row>
    <row r="58" spans="1:13" s="5" customFormat="1" ht="18" customHeight="1" thickTop="1">
      <c r="A58" s="6" t="s">
        <v>75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6" t="s">
        <v>76</v>
      </c>
      <c r="M58" s="31">
        <f>B58+D58+F58</f>
        <v>0</v>
      </c>
    </row>
    <row r="59" s="5" customFormat="1" ht="18" customHeight="1">
      <c r="A59" s="5" t="s">
        <v>59</v>
      </c>
    </row>
    <row r="60" spans="1:6" s="5" customFormat="1" ht="18" customHeight="1">
      <c r="A60" s="5" t="s">
        <v>12</v>
      </c>
      <c r="D60" s="5">
        <v>4538</v>
      </c>
      <c r="F60" s="5">
        <v>4537</v>
      </c>
    </row>
    <row r="61" s="5" customFormat="1" ht="18" customHeight="1"/>
    <row r="62" spans="1:7" s="4" customFormat="1" ht="18" customHeight="1">
      <c r="A62" s="4" t="s">
        <v>60</v>
      </c>
      <c r="E62" s="4">
        <f>March!E62+D60</f>
        <v>6797</v>
      </c>
      <c r="G62" s="4">
        <f>March!G62+F60</f>
        <v>25155</v>
      </c>
    </row>
    <row r="63" s="5" customFormat="1" ht="18" customHeight="1"/>
    <row r="64" s="5" customFormat="1" ht="18" customHeight="1"/>
  </sheetData>
  <sheetProtection/>
  <mergeCells count="5">
    <mergeCell ref="B3:C3"/>
    <mergeCell ref="D3:E3"/>
    <mergeCell ref="F3:G3"/>
    <mergeCell ref="H3:I3"/>
    <mergeCell ref="J3:K3"/>
  </mergeCells>
  <printOptions/>
  <pageMargins left="0.1" right="0.1" top="0.1" bottom="0.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P62"/>
  <sheetViews>
    <sheetView zoomScale="110" zoomScaleNormal="110" zoomScalePageLayoutView="0" workbookViewId="0" topLeftCell="A1">
      <pane ySplit="4" topLeftCell="A50" activePane="bottomLeft" state="frozen"/>
      <selection pane="topLeft" activeCell="A1" sqref="A1"/>
      <selection pane="bottomLeft" activeCell="B74" sqref="B74"/>
    </sheetView>
  </sheetViews>
  <sheetFormatPr defaultColWidth="9.00390625" defaultRowHeight="18" customHeight="1"/>
  <cols>
    <col min="1" max="1" width="18.125" style="2" customWidth="1"/>
    <col min="2" max="3" width="9.00390625" style="2" customWidth="1"/>
    <col min="4" max="4" width="9.25390625" style="2" customWidth="1"/>
    <col min="5" max="5" width="8.125" style="2" bestFit="1" customWidth="1"/>
    <col min="6" max="8" width="9.00390625" style="2" customWidth="1"/>
    <col min="9" max="9" width="12.25390625" style="2" customWidth="1"/>
    <col min="10" max="10" width="7.875" style="2" customWidth="1"/>
    <col min="11" max="14" width="9.00390625" style="2" customWidth="1"/>
    <col min="15" max="16" width="12.25390625" style="2" customWidth="1"/>
    <col min="17" max="16384" width="9.00390625" style="2" customWidth="1"/>
  </cols>
  <sheetData>
    <row r="1" spans="1:8" ht="18" customHeight="1">
      <c r="A1" s="1" t="s">
        <v>77</v>
      </c>
      <c r="F1" s="2" t="s">
        <v>65</v>
      </c>
      <c r="H1" s="2" t="s">
        <v>78</v>
      </c>
    </row>
    <row r="2" spans="1:16" ht="12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1" s="5" customFormat="1" ht="12" customHeight="1">
      <c r="A3" s="4"/>
      <c r="B3" s="38" t="s">
        <v>0</v>
      </c>
      <c r="C3" s="39"/>
      <c r="D3" s="38" t="s">
        <v>1</v>
      </c>
      <c r="E3" s="39"/>
      <c r="F3" s="38" t="s">
        <v>2</v>
      </c>
      <c r="G3" s="39"/>
      <c r="H3" s="38" t="s">
        <v>3</v>
      </c>
      <c r="I3" s="39"/>
      <c r="J3" s="40" t="s">
        <v>73</v>
      </c>
      <c r="K3" s="41"/>
    </row>
    <row r="4" spans="1:11" s="8" customFormat="1" ht="12" customHeight="1">
      <c r="A4" s="6" t="s">
        <v>4</v>
      </c>
      <c r="B4" s="7" t="s">
        <v>5</v>
      </c>
      <c r="C4" s="7" t="s">
        <v>6</v>
      </c>
      <c r="D4" s="7" t="s">
        <v>5</v>
      </c>
      <c r="E4" s="7" t="s">
        <v>6</v>
      </c>
      <c r="F4" s="7" t="s">
        <v>5</v>
      </c>
      <c r="G4" s="7" t="s">
        <v>6</v>
      </c>
      <c r="H4" s="7" t="s">
        <v>5</v>
      </c>
      <c r="I4" s="7" t="s">
        <v>6</v>
      </c>
      <c r="J4" s="27" t="s">
        <v>5</v>
      </c>
      <c r="K4" s="26" t="s">
        <v>6</v>
      </c>
    </row>
    <row r="5" spans="1:11" s="5" customFormat="1" ht="12" customHeight="1">
      <c r="A5" s="9" t="s">
        <v>7</v>
      </c>
      <c r="B5" s="13">
        <v>58</v>
      </c>
      <c r="C5" s="9">
        <f>April!C5+B5</f>
        <v>60</v>
      </c>
      <c r="D5" s="15"/>
      <c r="E5" s="9">
        <f>April!E5+D5</f>
        <v>2</v>
      </c>
      <c r="F5" s="17"/>
      <c r="G5" s="9">
        <f>April!G5+F5</f>
        <v>0</v>
      </c>
      <c r="H5" s="19"/>
      <c r="I5" s="9">
        <f>April!I5+H5</f>
        <v>0</v>
      </c>
      <c r="J5" s="24"/>
      <c r="K5" s="9">
        <f>April!K5+J5</f>
        <v>0</v>
      </c>
    </row>
    <row r="6" spans="1:11" s="5" customFormat="1" ht="12" customHeight="1">
      <c r="A6" s="9" t="s">
        <v>8</v>
      </c>
      <c r="B6" s="13"/>
      <c r="C6" s="9">
        <f>April!C6+B6</f>
        <v>0</v>
      </c>
      <c r="D6" s="15"/>
      <c r="E6" s="9">
        <f>April!E6+D6</f>
        <v>0</v>
      </c>
      <c r="F6" s="17"/>
      <c r="G6" s="9">
        <f>April!G6+F6</f>
        <v>0</v>
      </c>
      <c r="H6" s="19"/>
      <c r="I6" s="9">
        <f>April!I6+H6</f>
        <v>0</v>
      </c>
      <c r="J6" s="24"/>
      <c r="K6" s="9">
        <f>April!K6+J6</f>
        <v>0</v>
      </c>
    </row>
    <row r="7" spans="1:11" s="5" customFormat="1" ht="12" customHeight="1">
      <c r="A7" s="9" t="s">
        <v>9</v>
      </c>
      <c r="B7" s="13"/>
      <c r="C7" s="9">
        <f>April!C7+B7</f>
        <v>61</v>
      </c>
      <c r="D7" s="15"/>
      <c r="E7" s="9">
        <f>April!E7+D7</f>
        <v>1</v>
      </c>
      <c r="F7" s="17"/>
      <c r="G7" s="9">
        <f>April!G7+F7</f>
        <v>145</v>
      </c>
      <c r="H7" s="19"/>
      <c r="I7" s="9">
        <f>April!I7+H7</f>
        <v>0</v>
      </c>
      <c r="J7" s="24"/>
      <c r="K7" s="9">
        <f>April!K7+J7</f>
        <v>0</v>
      </c>
    </row>
    <row r="8" spans="1:11" s="5" customFormat="1" ht="12" customHeight="1">
      <c r="A8" s="9" t="s">
        <v>10</v>
      </c>
      <c r="B8" s="13">
        <v>775</v>
      </c>
      <c r="C8" s="9">
        <f>April!C8+B8</f>
        <v>1355</v>
      </c>
      <c r="D8" s="15">
        <v>1</v>
      </c>
      <c r="E8" s="9">
        <f>April!E8+D8</f>
        <v>13</v>
      </c>
      <c r="F8" s="17">
        <v>227</v>
      </c>
      <c r="G8" s="9">
        <f>April!G8+F8</f>
        <v>227</v>
      </c>
      <c r="H8" s="19"/>
      <c r="I8" s="9">
        <f>April!I8+H8</f>
        <v>0</v>
      </c>
      <c r="J8" s="24"/>
      <c r="K8" s="9">
        <f>April!K8+J8</f>
        <v>0</v>
      </c>
    </row>
    <row r="9" spans="1:11" s="5" customFormat="1" ht="12" customHeight="1">
      <c r="A9" s="9" t="s">
        <v>11</v>
      </c>
      <c r="B9" s="13">
        <f>200+385</f>
        <v>585</v>
      </c>
      <c r="C9" s="9">
        <f>April!C9+B9</f>
        <v>1158</v>
      </c>
      <c r="D9" s="15"/>
      <c r="E9" s="9">
        <f>April!E9+D9</f>
        <v>7</v>
      </c>
      <c r="F9" s="17"/>
      <c r="G9" s="9">
        <f>April!G9+F9</f>
        <v>1177</v>
      </c>
      <c r="H9" s="19"/>
      <c r="I9" s="9">
        <f>April!I9+H9</f>
        <v>0</v>
      </c>
      <c r="J9" s="24"/>
      <c r="K9" s="9">
        <f>April!K9+J9</f>
        <v>0</v>
      </c>
    </row>
    <row r="10" spans="1:11" s="5" customFormat="1" ht="12" customHeight="1">
      <c r="A10" s="9" t="s">
        <v>12</v>
      </c>
      <c r="B10" s="13">
        <v>824</v>
      </c>
      <c r="C10" s="9">
        <f>April!C10+B10</f>
        <v>6946</v>
      </c>
      <c r="D10" s="15">
        <v>3</v>
      </c>
      <c r="E10" s="9">
        <f>April!E10+D10</f>
        <v>93</v>
      </c>
      <c r="F10" s="17">
        <v>55</v>
      </c>
      <c r="G10" s="9">
        <f>April!G10+F10</f>
        <v>131</v>
      </c>
      <c r="H10" s="19"/>
      <c r="I10" s="9">
        <f>April!I10+H10</f>
        <v>0</v>
      </c>
      <c r="J10" s="24"/>
      <c r="K10" s="9">
        <f>April!K10+J10</f>
        <v>198</v>
      </c>
    </row>
    <row r="11" spans="1:11" s="5" customFormat="1" ht="12" customHeight="1">
      <c r="A11" s="9" t="s">
        <v>13</v>
      </c>
      <c r="B11" s="13"/>
      <c r="C11" s="9">
        <f>April!C11+B11</f>
        <v>722</v>
      </c>
      <c r="D11" s="15">
        <v>82</v>
      </c>
      <c r="E11" s="9">
        <f>April!E11+D11</f>
        <v>93</v>
      </c>
      <c r="F11" s="17"/>
      <c r="G11" s="9">
        <f>April!G11+F11</f>
        <v>0</v>
      </c>
      <c r="H11" s="19"/>
      <c r="I11" s="9">
        <f>April!I11+H11</f>
        <v>0</v>
      </c>
      <c r="J11" s="24"/>
      <c r="K11" s="9">
        <f>April!K11+J11</f>
        <v>0</v>
      </c>
    </row>
    <row r="12" spans="1:11" s="5" customFormat="1" ht="12" customHeight="1">
      <c r="A12" s="9" t="s">
        <v>14</v>
      </c>
      <c r="B12" s="13"/>
      <c r="C12" s="9">
        <f>April!C12+B12</f>
        <v>0</v>
      </c>
      <c r="D12" s="15"/>
      <c r="E12" s="9">
        <f>April!E12+D12</f>
        <v>0</v>
      </c>
      <c r="F12" s="17"/>
      <c r="G12" s="9">
        <f>April!G12+F12</f>
        <v>1</v>
      </c>
      <c r="H12" s="19"/>
      <c r="I12" s="9">
        <f>April!I12+H12</f>
        <v>0</v>
      </c>
      <c r="J12" s="24"/>
      <c r="K12" s="9">
        <f>April!K12+J12</f>
        <v>0</v>
      </c>
    </row>
    <row r="13" spans="1:11" s="5" customFormat="1" ht="12" customHeight="1">
      <c r="A13" s="9" t="s">
        <v>15</v>
      </c>
      <c r="B13" s="13"/>
      <c r="C13" s="9">
        <f>April!C13+B13</f>
        <v>0</v>
      </c>
      <c r="D13" s="15"/>
      <c r="E13" s="9">
        <f>April!E13+D13</f>
        <v>0</v>
      </c>
      <c r="F13" s="17"/>
      <c r="G13" s="9">
        <f>April!G13+F13</f>
        <v>0</v>
      </c>
      <c r="H13" s="19"/>
      <c r="I13" s="9">
        <f>April!I13+H13</f>
        <v>0</v>
      </c>
      <c r="J13" s="24"/>
      <c r="K13" s="9">
        <f>April!K13+J13</f>
        <v>0</v>
      </c>
    </row>
    <row r="14" spans="1:11" s="5" customFormat="1" ht="12" customHeight="1">
      <c r="A14" s="9" t="s">
        <v>16</v>
      </c>
      <c r="B14" s="13">
        <f>700+140</f>
        <v>840</v>
      </c>
      <c r="C14" s="9">
        <f>April!C14+B14</f>
        <v>1000</v>
      </c>
      <c r="D14" s="15"/>
      <c r="E14" s="9">
        <f>April!E14+D14</f>
        <v>0</v>
      </c>
      <c r="F14" s="17"/>
      <c r="G14" s="9">
        <f>April!G14+F14</f>
        <v>0</v>
      </c>
      <c r="H14" s="19"/>
      <c r="I14" s="9">
        <f>April!I14+H14</f>
        <v>0</v>
      </c>
      <c r="J14" s="24"/>
      <c r="K14" s="9">
        <f>April!K14+J14</f>
        <v>0</v>
      </c>
    </row>
    <row r="15" spans="1:11" s="5" customFormat="1" ht="12" customHeight="1">
      <c r="A15" s="9" t="s">
        <v>17</v>
      </c>
      <c r="B15" s="13">
        <v>300</v>
      </c>
      <c r="C15" s="9">
        <f>April!C15+B15</f>
        <v>908</v>
      </c>
      <c r="D15" s="15">
        <v>1</v>
      </c>
      <c r="E15" s="9">
        <f>April!E15+D15</f>
        <v>1</v>
      </c>
      <c r="F15" s="17"/>
      <c r="G15" s="9">
        <f>April!G15+F15</f>
        <v>0</v>
      </c>
      <c r="H15" s="19"/>
      <c r="I15" s="9">
        <f>April!I15+H15</f>
        <v>0</v>
      </c>
      <c r="J15" s="24"/>
      <c r="K15" s="9">
        <f>April!K15+J15</f>
        <v>0</v>
      </c>
    </row>
    <row r="16" spans="1:11" s="5" customFormat="1" ht="12" customHeight="1">
      <c r="A16" s="9" t="s">
        <v>18</v>
      </c>
      <c r="B16" s="13"/>
      <c r="C16" s="9">
        <f>April!C16+B16</f>
        <v>0</v>
      </c>
      <c r="D16" s="15"/>
      <c r="E16" s="9">
        <f>April!E16+D16</f>
        <v>0</v>
      </c>
      <c r="F16" s="17"/>
      <c r="G16" s="9">
        <f>April!G16+F16</f>
        <v>0</v>
      </c>
      <c r="H16" s="19"/>
      <c r="I16" s="9">
        <f>April!I16+H16</f>
        <v>0</v>
      </c>
      <c r="J16" s="24"/>
      <c r="K16" s="9">
        <f>April!K16+J16</f>
        <v>0</v>
      </c>
    </row>
    <row r="17" spans="1:11" s="5" customFormat="1" ht="12" customHeight="1">
      <c r="A17" s="9" t="s">
        <v>19</v>
      </c>
      <c r="B17" s="13"/>
      <c r="C17" s="9">
        <f>April!C17+B17</f>
        <v>669</v>
      </c>
      <c r="D17" s="15">
        <v>46</v>
      </c>
      <c r="E17" s="9">
        <f>April!E17+D17</f>
        <v>516</v>
      </c>
      <c r="F17" s="17">
        <v>4</v>
      </c>
      <c r="G17" s="9">
        <f>April!G17+F17</f>
        <v>186</v>
      </c>
      <c r="H17" s="19"/>
      <c r="I17" s="9">
        <f>April!I17+H17</f>
        <v>0</v>
      </c>
      <c r="J17" s="24"/>
      <c r="K17" s="9">
        <f>April!K17+J17</f>
        <v>0</v>
      </c>
    </row>
    <row r="18" spans="1:11" s="5" customFormat="1" ht="12" customHeight="1">
      <c r="A18" s="9" t="s">
        <v>20</v>
      </c>
      <c r="B18" s="13">
        <v>848</v>
      </c>
      <c r="C18" s="9">
        <f>April!C18+B18</f>
        <v>2334</v>
      </c>
      <c r="D18" s="15">
        <f>151+1</f>
        <v>152</v>
      </c>
      <c r="E18" s="9">
        <f>April!E18+D18</f>
        <v>515</v>
      </c>
      <c r="F18" s="17">
        <f>306+6</f>
        <v>312</v>
      </c>
      <c r="G18" s="9">
        <f>April!G18+F18</f>
        <v>500</v>
      </c>
      <c r="H18" s="19"/>
      <c r="I18" s="9">
        <f>April!I18+H18</f>
        <v>0</v>
      </c>
      <c r="J18" s="24"/>
      <c r="K18" s="9">
        <f>April!K18+J18</f>
        <v>0</v>
      </c>
    </row>
    <row r="19" spans="1:11" s="5" customFormat="1" ht="12" customHeight="1">
      <c r="A19" s="9" t="s">
        <v>21</v>
      </c>
      <c r="B19" s="13">
        <f>1731+3278</f>
        <v>5009</v>
      </c>
      <c r="C19" s="9">
        <f>April!C19+B19</f>
        <v>17920</v>
      </c>
      <c r="D19" s="15">
        <v>4</v>
      </c>
      <c r="E19" s="9">
        <f>April!E19+D19</f>
        <v>38</v>
      </c>
      <c r="F19" s="17"/>
      <c r="G19" s="9">
        <f>April!G19+F19</f>
        <v>5298</v>
      </c>
      <c r="H19" s="19"/>
      <c r="I19" s="9">
        <f>April!I19+H19</f>
        <v>0</v>
      </c>
      <c r="J19" s="24"/>
      <c r="K19" s="9">
        <f>April!K19+J19</f>
        <v>0</v>
      </c>
    </row>
    <row r="20" spans="1:11" s="5" customFormat="1" ht="12" customHeight="1">
      <c r="A20" s="9" t="s">
        <v>22</v>
      </c>
      <c r="B20" s="13">
        <v>4725</v>
      </c>
      <c r="C20" s="9">
        <f>April!C20+B20</f>
        <v>17472</v>
      </c>
      <c r="D20" s="15">
        <v>151</v>
      </c>
      <c r="E20" s="9">
        <f>April!E20+D20</f>
        <v>933</v>
      </c>
      <c r="F20" s="17">
        <v>1</v>
      </c>
      <c r="G20" s="9">
        <f>April!G20+F20</f>
        <v>690</v>
      </c>
      <c r="H20" s="19"/>
      <c r="I20" s="9">
        <f>April!I20+H20</f>
        <v>0</v>
      </c>
      <c r="J20" s="24"/>
      <c r="K20" s="9">
        <f>April!K20+J20</f>
        <v>0</v>
      </c>
    </row>
    <row r="21" spans="1:11" s="5" customFormat="1" ht="12" customHeight="1">
      <c r="A21" s="9" t="s">
        <v>23</v>
      </c>
      <c r="B21" s="13">
        <f>7448+1935</f>
        <v>9383</v>
      </c>
      <c r="C21" s="9">
        <f>April!C21+B21</f>
        <v>20697</v>
      </c>
      <c r="D21" s="15">
        <v>11</v>
      </c>
      <c r="E21" s="9">
        <f>April!E21+D21</f>
        <v>1537</v>
      </c>
      <c r="F21" s="17">
        <v>47</v>
      </c>
      <c r="G21" s="9">
        <f>April!G21+F21</f>
        <v>47</v>
      </c>
      <c r="H21" s="19"/>
      <c r="I21" s="9">
        <f>April!I21+H21</f>
        <v>0</v>
      </c>
      <c r="J21" s="24"/>
      <c r="K21" s="9">
        <f>April!K21+J21</f>
        <v>0</v>
      </c>
    </row>
    <row r="22" spans="1:11" s="5" customFormat="1" ht="12" customHeight="1">
      <c r="A22" s="9" t="s">
        <v>24</v>
      </c>
      <c r="B22" s="13"/>
      <c r="C22" s="9">
        <f>April!C22+B22</f>
        <v>0</v>
      </c>
      <c r="D22" s="15"/>
      <c r="E22" s="9">
        <f>April!E22+D22</f>
        <v>0</v>
      </c>
      <c r="F22" s="17"/>
      <c r="G22" s="9">
        <f>April!G22+F22</f>
        <v>0</v>
      </c>
      <c r="H22" s="19"/>
      <c r="I22" s="9">
        <f>April!I22+H22</f>
        <v>0</v>
      </c>
      <c r="J22" s="24"/>
      <c r="K22" s="9">
        <f>April!K22+J22</f>
        <v>0</v>
      </c>
    </row>
    <row r="23" spans="1:11" s="5" customFormat="1" ht="12" customHeight="1">
      <c r="A23" s="9" t="s">
        <v>25</v>
      </c>
      <c r="B23" s="13"/>
      <c r="C23" s="9">
        <f>April!C23+B23</f>
        <v>0</v>
      </c>
      <c r="D23" s="15"/>
      <c r="E23" s="9">
        <f>April!E23+D23</f>
        <v>0</v>
      </c>
      <c r="F23" s="17"/>
      <c r="G23" s="9">
        <f>April!G23+F23</f>
        <v>0</v>
      </c>
      <c r="H23" s="19"/>
      <c r="I23" s="9">
        <f>April!I23+H23</f>
        <v>0</v>
      </c>
      <c r="J23" s="24"/>
      <c r="K23" s="9">
        <f>April!K23+J23</f>
        <v>0</v>
      </c>
    </row>
    <row r="24" spans="1:11" s="5" customFormat="1" ht="12" customHeight="1">
      <c r="A24" s="9" t="s">
        <v>26</v>
      </c>
      <c r="B24" s="13"/>
      <c r="C24" s="9">
        <f>April!C24+B24</f>
        <v>0</v>
      </c>
      <c r="D24" s="15"/>
      <c r="E24" s="9">
        <f>April!E24+D24</f>
        <v>1</v>
      </c>
      <c r="F24" s="17"/>
      <c r="G24" s="9">
        <f>April!G24+F24</f>
        <v>2</v>
      </c>
      <c r="H24" s="19"/>
      <c r="I24" s="9">
        <f>April!I24+H24</f>
        <v>0</v>
      </c>
      <c r="J24" s="24"/>
      <c r="K24" s="9">
        <f>April!K24+J24</f>
        <v>0</v>
      </c>
    </row>
    <row r="25" spans="1:11" s="5" customFormat="1" ht="12" customHeight="1">
      <c r="A25" s="9" t="s">
        <v>27</v>
      </c>
      <c r="B25" s="13"/>
      <c r="C25" s="9">
        <f>April!C25+B25</f>
        <v>0</v>
      </c>
      <c r="D25" s="15"/>
      <c r="E25" s="9">
        <f>April!E25+D25</f>
        <v>0</v>
      </c>
      <c r="F25" s="17"/>
      <c r="G25" s="9">
        <f>April!G25+F25</f>
        <v>0</v>
      </c>
      <c r="H25" s="19"/>
      <c r="I25" s="9">
        <f>April!I25+H25</f>
        <v>0</v>
      </c>
      <c r="J25" s="24"/>
      <c r="K25" s="9">
        <f>April!K25+J25</f>
        <v>0</v>
      </c>
    </row>
    <row r="26" spans="1:11" s="5" customFormat="1" ht="12" customHeight="1">
      <c r="A26" s="9" t="s">
        <v>28</v>
      </c>
      <c r="B26" s="13">
        <f>300+3008</f>
        <v>3308</v>
      </c>
      <c r="C26" s="9">
        <f>April!C26+B26</f>
        <v>16332</v>
      </c>
      <c r="D26" s="15">
        <v>3</v>
      </c>
      <c r="E26" s="9">
        <f>April!E26+D26</f>
        <v>61</v>
      </c>
      <c r="F26" s="17">
        <v>1</v>
      </c>
      <c r="G26" s="9">
        <f>April!G26+F26</f>
        <v>35</v>
      </c>
      <c r="H26" s="19"/>
      <c r="I26" s="9">
        <f>April!I26+H26</f>
        <v>0</v>
      </c>
      <c r="J26" s="24"/>
      <c r="K26" s="9">
        <f>April!K26+J26</f>
        <v>0</v>
      </c>
    </row>
    <row r="27" spans="1:11" s="5" customFormat="1" ht="12" customHeight="1">
      <c r="A27" s="9" t="s">
        <v>29</v>
      </c>
      <c r="B27" s="13">
        <f>60+2362</f>
        <v>2422</v>
      </c>
      <c r="C27" s="9">
        <f>April!C27+B27</f>
        <v>11190</v>
      </c>
      <c r="D27" s="15">
        <f>4+46</f>
        <v>50</v>
      </c>
      <c r="E27" s="9">
        <f>April!E27+D27</f>
        <v>495</v>
      </c>
      <c r="F27" s="17">
        <f>123+184</f>
        <v>307</v>
      </c>
      <c r="G27" s="9">
        <f>April!G27+F27</f>
        <v>3243</v>
      </c>
      <c r="H27" s="19"/>
      <c r="I27" s="9">
        <f>April!I27+H27</f>
        <v>0</v>
      </c>
      <c r="J27" s="24"/>
      <c r="K27" s="9">
        <f>April!K27+J27</f>
        <v>0</v>
      </c>
    </row>
    <row r="28" spans="1:11" s="5" customFormat="1" ht="12" customHeight="1">
      <c r="A28" s="9" t="s">
        <v>30</v>
      </c>
      <c r="B28" s="13"/>
      <c r="C28" s="9">
        <f>April!C28+B28</f>
        <v>144</v>
      </c>
      <c r="D28" s="15">
        <v>1</v>
      </c>
      <c r="E28" s="9">
        <f>April!E28+D28</f>
        <v>1</v>
      </c>
      <c r="F28" s="17"/>
      <c r="G28" s="9">
        <f>April!G28+F28</f>
        <v>0</v>
      </c>
      <c r="H28" s="19"/>
      <c r="I28" s="9">
        <f>April!I28+H28</f>
        <v>0</v>
      </c>
      <c r="J28" s="24"/>
      <c r="K28" s="9">
        <f>April!K28+J28</f>
        <v>0</v>
      </c>
    </row>
    <row r="29" spans="1:11" s="5" customFormat="1" ht="12" customHeight="1">
      <c r="A29" s="9" t="s">
        <v>31</v>
      </c>
      <c r="B29" s="13">
        <v>10252</v>
      </c>
      <c r="C29" s="9">
        <f>April!C29+B29</f>
        <v>34386</v>
      </c>
      <c r="D29" s="15">
        <f>8+259</f>
        <v>267</v>
      </c>
      <c r="E29" s="9">
        <f>April!E29+D29</f>
        <v>860</v>
      </c>
      <c r="F29" s="17">
        <f>3+111</f>
        <v>114</v>
      </c>
      <c r="G29" s="9">
        <f>April!G29+F29</f>
        <v>2035</v>
      </c>
      <c r="H29" s="19"/>
      <c r="I29" s="9">
        <f>April!I29+H29</f>
        <v>0</v>
      </c>
      <c r="J29" s="24">
        <v>58</v>
      </c>
      <c r="K29" s="9">
        <f>April!K29+J29</f>
        <v>58</v>
      </c>
    </row>
    <row r="30" spans="1:11" s="5" customFormat="1" ht="12" customHeight="1">
      <c r="A30" s="9" t="s">
        <v>32</v>
      </c>
      <c r="B30" s="13">
        <f>1028+475+2549</f>
        <v>4052</v>
      </c>
      <c r="C30" s="9">
        <f>April!C30+B30</f>
        <v>31663</v>
      </c>
      <c r="D30" s="15">
        <f>90+753+1540</f>
        <v>2383</v>
      </c>
      <c r="E30" s="9">
        <f>April!E30+D30</f>
        <v>6516</v>
      </c>
      <c r="F30" s="17"/>
      <c r="G30" s="9">
        <f>April!G30+F30</f>
        <v>220</v>
      </c>
      <c r="H30" s="19"/>
      <c r="I30" s="9">
        <f>April!I30+H30</f>
        <v>0</v>
      </c>
      <c r="J30" s="24"/>
      <c r="K30" s="9">
        <f>April!K30+J30</f>
        <v>0</v>
      </c>
    </row>
    <row r="31" spans="1:11" s="5" customFormat="1" ht="12" customHeight="1">
      <c r="A31" s="9" t="s">
        <v>33</v>
      </c>
      <c r="B31" s="13">
        <f>728+3315</f>
        <v>4043</v>
      </c>
      <c r="C31" s="9">
        <f>April!C31+B31</f>
        <v>24045</v>
      </c>
      <c r="D31" s="15">
        <f>15+1521</f>
        <v>1536</v>
      </c>
      <c r="E31" s="9">
        <f>April!E31+D31</f>
        <v>4465</v>
      </c>
      <c r="F31" s="17">
        <f>2+44</f>
        <v>46</v>
      </c>
      <c r="G31" s="9">
        <f>April!G31+F31</f>
        <v>1021</v>
      </c>
      <c r="H31" s="19"/>
      <c r="I31" s="9">
        <f>April!I31+H31</f>
        <v>0</v>
      </c>
      <c r="J31" s="24"/>
      <c r="K31" s="9">
        <f>April!K31+J31</f>
        <v>0</v>
      </c>
    </row>
    <row r="32" spans="1:11" s="5" customFormat="1" ht="12" customHeight="1">
      <c r="A32" s="9" t="s">
        <v>34</v>
      </c>
      <c r="B32" s="13"/>
      <c r="C32" s="9">
        <f>April!C32+B32</f>
        <v>0</v>
      </c>
      <c r="D32" s="15"/>
      <c r="E32" s="9">
        <f>April!E32+D32</f>
        <v>0</v>
      </c>
      <c r="F32" s="17"/>
      <c r="G32" s="9">
        <f>April!G32+F32</f>
        <v>0</v>
      </c>
      <c r="H32" s="19"/>
      <c r="I32" s="9">
        <f>April!I32+H32</f>
        <v>0</v>
      </c>
      <c r="J32" s="24"/>
      <c r="K32" s="9">
        <f>April!K32+J32</f>
        <v>0</v>
      </c>
    </row>
    <row r="33" spans="1:11" s="5" customFormat="1" ht="12" customHeight="1">
      <c r="A33" s="9" t="s">
        <v>35</v>
      </c>
      <c r="B33" s="13"/>
      <c r="C33" s="9">
        <f>April!C33+B33</f>
        <v>0</v>
      </c>
      <c r="D33" s="15"/>
      <c r="E33" s="9">
        <f>April!E33+D33</f>
        <v>0</v>
      </c>
      <c r="F33" s="17"/>
      <c r="G33" s="9">
        <f>April!G33+F33</f>
        <v>0</v>
      </c>
      <c r="H33" s="19"/>
      <c r="I33" s="9">
        <f>April!I33+H33</f>
        <v>0</v>
      </c>
      <c r="J33" s="24"/>
      <c r="K33" s="9">
        <f>April!K33+J33</f>
        <v>0</v>
      </c>
    </row>
    <row r="34" spans="1:11" s="5" customFormat="1" ht="12" customHeight="1">
      <c r="A34" s="9" t="s">
        <v>36</v>
      </c>
      <c r="B34" s="13"/>
      <c r="C34" s="9">
        <f>April!C34+B34</f>
        <v>0</v>
      </c>
      <c r="D34" s="15"/>
      <c r="E34" s="9">
        <f>April!E34+D34</f>
        <v>0</v>
      </c>
      <c r="F34" s="17"/>
      <c r="G34" s="9">
        <f>April!G34+F34</f>
        <v>0</v>
      </c>
      <c r="H34" s="19"/>
      <c r="I34" s="9">
        <f>April!I34+H34</f>
        <v>0</v>
      </c>
      <c r="J34" s="24"/>
      <c r="K34" s="9">
        <f>April!K34+J34</f>
        <v>0</v>
      </c>
    </row>
    <row r="35" spans="1:11" s="5" customFormat="1" ht="12" customHeight="1">
      <c r="A35" s="9" t="s">
        <v>37</v>
      </c>
      <c r="B35" s="13">
        <v>608</v>
      </c>
      <c r="C35" s="9">
        <f>April!C35+B35</f>
        <v>1533</v>
      </c>
      <c r="D35" s="15">
        <v>5</v>
      </c>
      <c r="E35" s="9">
        <f>April!E35+D35</f>
        <v>25</v>
      </c>
      <c r="F35" s="17"/>
      <c r="G35" s="9">
        <f>April!G35+F35</f>
        <v>832</v>
      </c>
      <c r="H35" s="19"/>
      <c r="I35" s="9">
        <f>April!I35+H35</f>
        <v>0</v>
      </c>
      <c r="J35" s="24"/>
      <c r="K35" s="9">
        <f>April!K35+J35</f>
        <v>0</v>
      </c>
    </row>
    <row r="36" spans="1:11" s="5" customFormat="1" ht="12" customHeight="1">
      <c r="A36" s="9" t="s">
        <v>38</v>
      </c>
      <c r="B36" s="13"/>
      <c r="C36" s="9">
        <f>April!C36+B36</f>
        <v>239</v>
      </c>
      <c r="D36" s="15"/>
      <c r="E36" s="9">
        <f>April!E36+D36</f>
        <v>0</v>
      </c>
      <c r="F36" s="17">
        <v>201</v>
      </c>
      <c r="G36" s="9">
        <f>April!G36+F36</f>
        <v>1297</v>
      </c>
      <c r="H36" s="19"/>
      <c r="I36" s="9">
        <f>April!I36+H36</f>
        <v>0</v>
      </c>
      <c r="J36" s="24"/>
      <c r="K36" s="9">
        <f>April!K36+J36</f>
        <v>0</v>
      </c>
    </row>
    <row r="37" spans="1:11" s="5" customFormat="1" ht="12" customHeight="1">
      <c r="A37" s="9" t="s">
        <v>39</v>
      </c>
      <c r="B37" s="13">
        <v>120</v>
      </c>
      <c r="C37" s="9">
        <f>April!C37+B37</f>
        <v>151</v>
      </c>
      <c r="D37" s="15"/>
      <c r="E37" s="9">
        <f>April!E37+D37</f>
        <v>293</v>
      </c>
      <c r="F37" s="17"/>
      <c r="G37" s="9">
        <f>April!G37+F37</f>
        <v>0</v>
      </c>
      <c r="H37" s="19"/>
      <c r="I37" s="9">
        <f>April!I37+H37</f>
        <v>0</v>
      </c>
      <c r="J37" s="24"/>
      <c r="K37" s="9">
        <f>April!K37+J37</f>
        <v>0</v>
      </c>
    </row>
    <row r="38" spans="1:11" s="5" customFormat="1" ht="12" customHeight="1">
      <c r="A38" s="9" t="s">
        <v>40</v>
      </c>
      <c r="B38" s="13">
        <f>357+5266</f>
        <v>5623</v>
      </c>
      <c r="C38" s="9">
        <f>April!C38+B38</f>
        <v>37080</v>
      </c>
      <c r="D38" s="15">
        <f>1+67</f>
        <v>68</v>
      </c>
      <c r="E38" s="9">
        <f>April!E38+D38</f>
        <v>331</v>
      </c>
      <c r="F38" s="17"/>
      <c r="G38" s="9">
        <f>April!G38+F38</f>
        <v>190</v>
      </c>
      <c r="H38" s="19"/>
      <c r="I38" s="9">
        <f>April!I38+H38</f>
        <v>0</v>
      </c>
      <c r="J38" s="24"/>
      <c r="K38" s="9">
        <f>April!K38+J38</f>
        <v>0</v>
      </c>
    </row>
    <row r="39" spans="1:11" s="5" customFormat="1" ht="12" customHeight="1">
      <c r="A39" s="9" t="s">
        <v>41</v>
      </c>
      <c r="B39" s="13">
        <v>1100</v>
      </c>
      <c r="C39" s="9">
        <f>April!C39+B39</f>
        <v>7529</v>
      </c>
      <c r="D39" s="15">
        <v>6</v>
      </c>
      <c r="E39" s="9">
        <f>April!E39+D39</f>
        <v>11</v>
      </c>
      <c r="F39" s="17">
        <v>1</v>
      </c>
      <c r="G39" s="9">
        <f>April!G39+F39</f>
        <v>210</v>
      </c>
      <c r="H39" s="19"/>
      <c r="I39" s="9">
        <f>April!I39+H39</f>
        <v>0</v>
      </c>
      <c r="J39" s="24"/>
      <c r="K39" s="9">
        <f>April!K39+J39</f>
        <v>0</v>
      </c>
    </row>
    <row r="40" spans="1:11" s="5" customFormat="1" ht="12" customHeight="1">
      <c r="A40" s="9" t="s">
        <v>42</v>
      </c>
      <c r="B40" s="13">
        <v>1612</v>
      </c>
      <c r="C40" s="9">
        <f>April!C40+B40</f>
        <v>3058</v>
      </c>
      <c r="D40" s="15">
        <f>14+7</f>
        <v>21</v>
      </c>
      <c r="E40" s="9">
        <f>April!E40+D40</f>
        <v>390</v>
      </c>
      <c r="F40" s="17"/>
      <c r="G40" s="9">
        <f>April!G40+F40</f>
        <v>0</v>
      </c>
      <c r="H40" s="19"/>
      <c r="I40" s="9">
        <f>April!I40+H40</f>
        <v>0</v>
      </c>
      <c r="J40" s="24"/>
      <c r="K40" s="9">
        <f>April!K40+J40</f>
        <v>0</v>
      </c>
    </row>
    <row r="41" spans="1:11" s="5" customFormat="1" ht="12" customHeight="1">
      <c r="A41" s="9" t="s">
        <v>43</v>
      </c>
      <c r="B41" s="13"/>
      <c r="C41" s="9">
        <f>April!C41+B41</f>
        <v>0</v>
      </c>
      <c r="D41" s="15"/>
      <c r="E41" s="9">
        <f>April!E41+D41</f>
        <v>2</v>
      </c>
      <c r="F41" s="17"/>
      <c r="G41" s="9">
        <f>April!G41+F41</f>
        <v>0</v>
      </c>
      <c r="H41" s="19"/>
      <c r="I41" s="9">
        <f>April!I41+H41</f>
        <v>0</v>
      </c>
      <c r="J41" s="24"/>
      <c r="K41" s="9">
        <f>April!K41+J41</f>
        <v>0</v>
      </c>
    </row>
    <row r="42" spans="1:11" s="5" customFormat="1" ht="12" customHeight="1">
      <c r="A42" s="9" t="s">
        <v>44</v>
      </c>
      <c r="B42" s="13"/>
      <c r="C42" s="9">
        <f>April!C42+B42</f>
        <v>1057</v>
      </c>
      <c r="D42" s="15">
        <v>6</v>
      </c>
      <c r="E42" s="9">
        <f>April!E42+D42</f>
        <v>7</v>
      </c>
      <c r="F42" s="17"/>
      <c r="G42" s="9">
        <f>April!G42+F42</f>
        <v>185</v>
      </c>
      <c r="H42" s="19"/>
      <c r="I42" s="9">
        <f>April!I42+H42</f>
        <v>0</v>
      </c>
      <c r="J42" s="24"/>
      <c r="K42" s="9">
        <f>April!K42+J42</f>
        <v>0</v>
      </c>
    </row>
    <row r="43" spans="1:11" s="5" customFormat="1" ht="12" customHeight="1">
      <c r="A43" s="9" t="s">
        <v>45</v>
      </c>
      <c r="B43" s="13"/>
      <c r="C43" s="9">
        <f>April!C43+B43</f>
        <v>0</v>
      </c>
      <c r="D43" s="15"/>
      <c r="E43" s="9">
        <f>April!E43+D43</f>
        <v>0</v>
      </c>
      <c r="F43" s="17"/>
      <c r="G43" s="9">
        <f>April!G43+F43</f>
        <v>0</v>
      </c>
      <c r="H43" s="19"/>
      <c r="I43" s="9">
        <f>April!I43+H43</f>
        <v>0</v>
      </c>
      <c r="J43" s="24"/>
      <c r="K43" s="9">
        <f>April!K43+J43</f>
        <v>0</v>
      </c>
    </row>
    <row r="44" spans="1:11" s="5" customFormat="1" ht="12" customHeight="1">
      <c r="A44" s="9" t="s">
        <v>46</v>
      </c>
      <c r="B44" s="13"/>
      <c r="C44" s="9">
        <f>April!C44+B44</f>
        <v>0</v>
      </c>
      <c r="D44" s="15"/>
      <c r="E44" s="9">
        <f>April!E44+D44</f>
        <v>0</v>
      </c>
      <c r="F44" s="17"/>
      <c r="G44" s="9">
        <f>April!G44+F44</f>
        <v>14</v>
      </c>
      <c r="H44" s="19"/>
      <c r="I44" s="9">
        <f>April!I44+H44</f>
        <v>0</v>
      </c>
      <c r="J44" s="24"/>
      <c r="K44" s="9">
        <f>April!K44+J44</f>
        <v>0</v>
      </c>
    </row>
    <row r="45" spans="1:11" s="5" customFormat="1" ht="12" customHeight="1">
      <c r="A45" s="9" t="s">
        <v>47</v>
      </c>
      <c r="B45" s="13">
        <f>2899+18138</f>
        <v>21037</v>
      </c>
      <c r="C45" s="9">
        <f>April!C45+B45</f>
        <v>124327</v>
      </c>
      <c r="D45" s="15">
        <f>1+2143</f>
        <v>2144</v>
      </c>
      <c r="E45" s="9">
        <f>April!E45+D45</f>
        <v>5080</v>
      </c>
      <c r="F45" s="17">
        <v>23</v>
      </c>
      <c r="G45" s="9">
        <f>April!G45+F45</f>
        <v>617</v>
      </c>
      <c r="H45" s="19"/>
      <c r="I45" s="9">
        <f>April!I45+H45</f>
        <v>0</v>
      </c>
      <c r="J45" s="24"/>
      <c r="K45" s="9">
        <f>April!K45+J45</f>
        <v>0</v>
      </c>
    </row>
    <row r="46" spans="1:11" s="5" customFormat="1" ht="12" customHeight="1">
      <c r="A46" s="9" t="s">
        <v>48</v>
      </c>
      <c r="B46" s="13">
        <v>1893</v>
      </c>
      <c r="C46" s="9">
        <f>April!C46+B46</f>
        <v>6692</v>
      </c>
      <c r="D46" s="15">
        <v>5</v>
      </c>
      <c r="E46" s="9">
        <f>April!E46+D46</f>
        <v>9</v>
      </c>
      <c r="F46" s="17">
        <v>14</v>
      </c>
      <c r="G46" s="9">
        <f>April!G46+F46</f>
        <v>120</v>
      </c>
      <c r="H46" s="19"/>
      <c r="I46" s="9">
        <f>April!I46+H46</f>
        <v>0</v>
      </c>
      <c r="J46" s="24"/>
      <c r="K46" s="9">
        <f>April!K46+J46</f>
        <v>0</v>
      </c>
    </row>
    <row r="47" spans="1:11" s="5" customFormat="1" ht="12" customHeight="1">
      <c r="A47" s="9" t="s">
        <v>49</v>
      </c>
      <c r="B47" s="13">
        <f>1744+83</f>
        <v>1827</v>
      </c>
      <c r="C47" s="9">
        <f>April!C47+B47</f>
        <v>9108</v>
      </c>
      <c r="D47" s="15">
        <v>6</v>
      </c>
      <c r="E47" s="9">
        <f>April!E47+D47</f>
        <v>29</v>
      </c>
      <c r="F47" s="17"/>
      <c r="G47" s="9">
        <f>April!G47+F47</f>
        <v>1975</v>
      </c>
      <c r="H47" s="19"/>
      <c r="I47" s="9">
        <f>April!I47+H47</f>
        <v>0</v>
      </c>
      <c r="J47" s="24">
        <v>3</v>
      </c>
      <c r="K47" s="9">
        <f>April!K47+J47</f>
        <v>3</v>
      </c>
    </row>
    <row r="48" spans="1:11" s="5" customFormat="1" ht="12" customHeight="1">
      <c r="A48" s="9" t="s">
        <v>50</v>
      </c>
      <c r="B48" s="13"/>
      <c r="C48" s="9">
        <f>April!C48+B48</f>
        <v>469</v>
      </c>
      <c r="D48" s="15"/>
      <c r="E48" s="9">
        <f>April!E48+D48</f>
        <v>6</v>
      </c>
      <c r="F48" s="17"/>
      <c r="G48" s="9">
        <f>April!G48+F48</f>
        <v>1715</v>
      </c>
      <c r="H48" s="19"/>
      <c r="I48" s="9">
        <f>April!I48+H48</f>
        <v>0</v>
      </c>
      <c r="J48" s="24"/>
      <c r="K48" s="9">
        <f>April!K48+J48</f>
        <v>0</v>
      </c>
    </row>
    <row r="49" spans="1:11" s="5" customFormat="1" ht="12" customHeight="1">
      <c r="A49" s="9" t="s">
        <v>51</v>
      </c>
      <c r="B49" s="13"/>
      <c r="C49" s="9">
        <f>April!C49+B49</f>
        <v>0</v>
      </c>
      <c r="D49" s="15"/>
      <c r="E49" s="9">
        <f>April!E49+D49</f>
        <v>0</v>
      </c>
      <c r="F49" s="17">
        <v>114</v>
      </c>
      <c r="G49" s="9">
        <f>April!G49+F49</f>
        <v>188</v>
      </c>
      <c r="H49" s="19"/>
      <c r="I49" s="9">
        <f>April!I49+H49</f>
        <v>0</v>
      </c>
      <c r="J49" s="24"/>
      <c r="K49" s="9">
        <f>April!K49+J49</f>
        <v>0</v>
      </c>
    </row>
    <row r="50" spans="1:11" s="5" customFormat="1" ht="12" customHeight="1">
      <c r="A50" s="9" t="s">
        <v>52</v>
      </c>
      <c r="B50" s="13">
        <v>62</v>
      </c>
      <c r="C50" s="9">
        <f>April!C50+B50</f>
        <v>62</v>
      </c>
      <c r="D50" s="15">
        <v>2</v>
      </c>
      <c r="E50" s="9">
        <f>April!E50+D50</f>
        <v>2</v>
      </c>
      <c r="F50" s="17"/>
      <c r="G50" s="9">
        <f>April!G50+F50</f>
        <v>0</v>
      </c>
      <c r="H50" s="19"/>
      <c r="I50" s="9">
        <f>April!I50+H50</f>
        <v>0</v>
      </c>
      <c r="J50" s="24"/>
      <c r="K50" s="9">
        <f>April!K50+J50</f>
        <v>0</v>
      </c>
    </row>
    <row r="51" spans="1:11" s="5" customFormat="1" ht="12" customHeight="1">
      <c r="A51" s="9" t="s">
        <v>53</v>
      </c>
      <c r="B51" s="13"/>
      <c r="C51" s="9">
        <f>April!C51+B51</f>
        <v>0</v>
      </c>
      <c r="D51" s="15"/>
      <c r="E51" s="9">
        <f>April!E51+D51</f>
        <v>0</v>
      </c>
      <c r="F51" s="17"/>
      <c r="G51" s="9">
        <f>April!G51+F51</f>
        <v>1</v>
      </c>
      <c r="H51" s="19"/>
      <c r="I51" s="9">
        <f>April!I51+H51</f>
        <v>0</v>
      </c>
      <c r="J51" s="24"/>
      <c r="K51" s="9">
        <f>April!K51+J51</f>
        <v>0</v>
      </c>
    </row>
    <row r="52" spans="1:11" s="5" customFormat="1" ht="12" customHeight="1">
      <c r="A52" s="9" t="s">
        <v>54</v>
      </c>
      <c r="B52" s="13">
        <v>2</v>
      </c>
      <c r="C52" s="9">
        <f>April!C52+B52</f>
        <v>276</v>
      </c>
      <c r="D52" s="15"/>
      <c r="E52" s="9">
        <f>April!E52+D52</f>
        <v>1</v>
      </c>
      <c r="F52" s="17"/>
      <c r="G52" s="9">
        <f>April!G52+F52</f>
        <v>0</v>
      </c>
      <c r="H52" s="19"/>
      <c r="I52" s="9">
        <f>April!I52+H52</f>
        <v>0</v>
      </c>
      <c r="J52" s="24"/>
      <c r="K52" s="9">
        <f>April!K52+J52</f>
        <v>0</v>
      </c>
    </row>
    <row r="53" spans="1:11" s="5" customFormat="1" ht="12" customHeight="1">
      <c r="A53" s="9" t="s">
        <v>55</v>
      </c>
      <c r="B53" s="13">
        <f>1204+3279</f>
        <v>4483</v>
      </c>
      <c r="C53" s="9">
        <f>April!C53+B53</f>
        <v>27214</v>
      </c>
      <c r="D53" s="15">
        <f>2+87</f>
        <v>89</v>
      </c>
      <c r="E53" s="9">
        <f>April!E53+D53</f>
        <v>1153</v>
      </c>
      <c r="F53" s="17">
        <f>780+306</f>
        <v>1086</v>
      </c>
      <c r="G53" s="9">
        <f>April!G53+F53</f>
        <v>5788</v>
      </c>
      <c r="H53" s="19"/>
      <c r="I53" s="9">
        <f>April!I53+H53</f>
        <v>0</v>
      </c>
      <c r="J53" s="24"/>
      <c r="K53" s="9">
        <f>April!K53+J53</f>
        <v>0</v>
      </c>
    </row>
    <row r="54" spans="1:11" s="5" customFormat="1" ht="12" customHeight="1" thickBot="1">
      <c r="A54" s="10" t="s">
        <v>56</v>
      </c>
      <c r="B54" s="13"/>
      <c r="C54" s="9">
        <f>April!C54+B54</f>
        <v>1088</v>
      </c>
      <c r="D54" s="16">
        <f>244+147</f>
        <v>391</v>
      </c>
      <c r="E54" s="9">
        <f>April!E54+D54</f>
        <v>1179</v>
      </c>
      <c r="F54" s="17"/>
      <c r="G54" s="9">
        <f>April!G54+F54</f>
        <v>0</v>
      </c>
      <c r="H54" s="19"/>
      <c r="I54" s="9">
        <f>April!I54+H54</f>
        <v>0</v>
      </c>
      <c r="J54" s="25"/>
      <c r="K54" s="9">
        <f>April!K54+J54</f>
        <v>0</v>
      </c>
    </row>
    <row r="55" spans="1:11" s="5" customFormat="1" ht="18" customHeight="1" thickBot="1" thickTop="1">
      <c r="A55" s="11" t="s">
        <v>57</v>
      </c>
      <c r="B55" s="11">
        <f>SUM(B5:B54)</f>
        <v>85791</v>
      </c>
      <c r="C55" s="11"/>
      <c r="D55" s="11">
        <f>SUM(D5:D54)</f>
        <v>7434</v>
      </c>
      <c r="E55" s="11"/>
      <c r="F55" s="11">
        <f>SUM(F5:F54)</f>
        <v>2553</v>
      </c>
      <c r="G55" s="11"/>
      <c r="H55" s="11">
        <f>SUM(H5:H54)</f>
        <v>0</v>
      </c>
      <c r="I55" s="11"/>
      <c r="J55" s="11">
        <f>SUM(J5:J54)</f>
        <v>61</v>
      </c>
      <c r="K55" s="23"/>
    </row>
    <row r="56" spans="1:9" s="5" customFormat="1" ht="18" customHeight="1" thickBot="1" thickTop="1">
      <c r="A56" s="8"/>
      <c r="B56" s="8"/>
      <c r="C56" s="8"/>
      <c r="D56" s="8"/>
      <c r="E56" s="8"/>
      <c r="F56" s="8"/>
      <c r="G56" s="8"/>
      <c r="H56" s="8"/>
      <c r="I56" s="8"/>
    </row>
    <row r="57" spans="1:11" s="5" customFormat="1" ht="18" customHeight="1" thickBot="1" thickTop="1">
      <c r="A57" s="12" t="s">
        <v>58</v>
      </c>
      <c r="B57" s="11"/>
      <c r="C57" s="11">
        <f>April!C57+B55</f>
        <v>408945</v>
      </c>
      <c r="D57" s="11"/>
      <c r="E57" s="11">
        <f>April!E57+D55</f>
        <v>24666</v>
      </c>
      <c r="F57" s="11"/>
      <c r="G57" s="11">
        <f>April!G57+F55</f>
        <v>28090</v>
      </c>
      <c r="H57" s="11"/>
      <c r="I57" s="11">
        <f>April!I57+H55</f>
        <v>0</v>
      </c>
      <c r="J57" s="11"/>
      <c r="K57" s="11">
        <f>April!K57+J55</f>
        <v>259</v>
      </c>
    </row>
    <row r="58" spans="1:13" s="5" customFormat="1" ht="18" customHeight="1" thickTop="1">
      <c r="A58" s="6" t="s">
        <v>75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6" t="s">
        <v>76</v>
      </c>
      <c r="M58" s="31">
        <f>B58+D58+F58</f>
        <v>0</v>
      </c>
    </row>
    <row r="59" s="5" customFormat="1" ht="18" customHeight="1">
      <c r="A59" s="5" t="s">
        <v>59</v>
      </c>
    </row>
    <row r="60" spans="1:4" s="5" customFormat="1" ht="18" customHeight="1">
      <c r="A60" s="5" t="s">
        <v>12</v>
      </c>
      <c r="D60" s="5">
        <v>1911</v>
      </c>
    </row>
    <row r="61" s="5" customFormat="1" ht="18" customHeight="1"/>
    <row r="62" spans="1:7" s="4" customFormat="1" ht="18" customHeight="1">
      <c r="A62" s="4" t="s">
        <v>60</v>
      </c>
      <c r="E62" s="4">
        <f>April!E62+D60</f>
        <v>8708</v>
      </c>
      <c r="G62" s="4">
        <f>April!G62+F60</f>
        <v>25155</v>
      </c>
    </row>
    <row r="63" s="5" customFormat="1" ht="18" customHeight="1"/>
    <row r="64" s="5" customFormat="1" ht="18" customHeight="1"/>
  </sheetData>
  <sheetProtection/>
  <mergeCells count="5">
    <mergeCell ref="B3:C3"/>
    <mergeCell ref="D3:E3"/>
    <mergeCell ref="F3:G3"/>
    <mergeCell ref="H3:I3"/>
    <mergeCell ref="J3:K3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P62"/>
  <sheetViews>
    <sheetView zoomScale="110" zoomScaleNormal="110" zoomScalePageLayoutView="0" workbookViewId="0" topLeftCell="A1">
      <pane xSplit="1" ySplit="4" topLeftCell="B3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40" sqref="D40"/>
    </sheetView>
  </sheetViews>
  <sheetFormatPr defaultColWidth="9.00390625" defaultRowHeight="18" customHeight="1"/>
  <cols>
    <col min="1" max="1" width="18.125" style="2" customWidth="1"/>
    <col min="2" max="3" width="9.00390625" style="2" customWidth="1"/>
    <col min="4" max="4" width="9.25390625" style="2" customWidth="1"/>
    <col min="5" max="5" width="7.00390625" style="2" customWidth="1"/>
    <col min="6" max="8" width="9.00390625" style="2" customWidth="1"/>
    <col min="9" max="9" width="12.25390625" style="2" customWidth="1"/>
    <col min="10" max="10" width="7.875" style="2" customWidth="1"/>
    <col min="11" max="14" width="9.00390625" style="2" customWidth="1"/>
    <col min="15" max="16" width="12.25390625" style="2" customWidth="1"/>
    <col min="17" max="16384" width="9.00390625" style="2" customWidth="1"/>
  </cols>
  <sheetData>
    <row r="1" spans="1:8" ht="18" customHeight="1">
      <c r="A1" s="1" t="s">
        <v>77</v>
      </c>
      <c r="F1" s="2" t="s">
        <v>66</v>
      </c>
      <c r="H1" s="2" t="s">
        <v>78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5" s="5" customFormat="1" ht="18" customHeight="1">
      <c r="A3" s="4"/>
      <c r="B3" s="38" t="s">
        <v>0</v>
      </c>
      <c r="C3" s="39"/>
      <c r="D3" s="38" t="s">
        <v>1</v>
      </c>
      <c r="E3" s="39"/>
      <c r="F3" s="38" t="s">
        <v>2</v>
      </c>
      <c r="G3" s="39"/>
      <c r="H3" s="38" t="s">
        <v>3</v>
      </c>
      <c r="I3" s="39"/>
      <c r="J3" s="40" t="s">
        <v>73</v>
      </c>
      <c r="K3" s="41"/>
      <c r="N3" s="8"/>
      <c r="O3" s="8"/>
    </row>
    <row r="4" spans="1:11" s="8" customFormat="1" ht="18" customHeight="1">
      <c r="A4" s="6" t="s">
        <v>4</v>
      </c>
      <c r="B4" s="7" t="s">
        <v>5</v>
      </c>
      <c r="C4" s="7" t="s">
        <v>6</v>
      </c>
      <c r="D4" s="7" t="s">
        <v>5</v>
      </c>
      <c r="E4" s="7" t="s">
        <v>6</v>
      </c>
      <c r="F4" s="7" t="s">
        <v>5</v>
      </c>
      <c r="G4" s="7" t="s">
        <v>6</v>
      </c>
      <c r="H4" s="7" t="s">
        <v>5</v>
      </c>
      <c r="I4" s="7" t="s">
        <v>6</v>
      </c>
      <c r="J4" s="27" t="s">
        <v>5</v>
      </c>
      <c r="K4" s="26" t="s">
        <v>6</v>
      </c>
    </row>
    <row r="5" spans="1:11" s="5" customFormat="1" ht="18" customHeight="1">
      <c r="A5" s="9" t="s">
        <v>7</v>
      </c>
      <c r="B5" s="13">
        <v>189</v>
      </c>
      <c r="C5" s="9">
        <f>May!C5+B5</f>
        <v>249</v>
      </c>
      <c r="D5" s="15"/>
      <c r="E5" s="9">
        <f>May!E5+D5</f>
        <v>2</v>
      </c>
      <c r="F5" s="17"/>
      <c r="G5" s="9">
        <f>May!G5+F5</f>
        <v>0</v>
      </c>
      <c r="H5" s="19"/>
      <c r="I5" s="9">
        <f>May!I5+H5</f>
        <v>0</v>
      </c>
      <c r="J5" s="24"/>
      <c r="K5" s="9">
        <f>May!K5+J5</f>
        <v>0</v>
      </c>
    </row>
    <row r="6" spans="1:11" s="5" customFormat="1" ht="18" customHeight="1">
      <c r="A6" s="9" t="s">
        <v>8</v>
      </c>
      <c r="B6" s="13"/>
      <c r="C6" s="9">
        <f>May!C6+B6</f>
        <v>0</v>
      </c>
      <c r="D6" s="15"/>
      <c r="E6" s="9">
        <f>May!E6+D6</f>
        <v>0</v>
      </c>
      <c r="F6" s="17"/>
      <c r="G6" s="9">
        <f>May!G6+F6</f>
        <v>0</v>
      </c>
      <c r="H6" s="19"/>
      <c r="I6" s="9">
        <f>May!I6+H6</f>
        <v>0</v>
      </c>
      <c r="J6" s="24"/>
      <c r="K6" s="9">
        <f>May!K6+J6</f>
        <v>0</v>
      </c>
    </row>
    <row r="7" spans="1:11" s="5" customFormat="1" ht="18" customHeight="1">
      <c r="A7" s="9" t="s">
        <v>9</v>
      </c>
      <c r="B7" s="13">
        <v>436</v>
      </c>
      <c r="C7" s="9">
        <f>May!C7+B7</f>
        <v>497</v>
      </c>
      <c r="D7" s="15"/>
      <c r="E7" s="9">
        <f>May!E7+D7</f>
        <v>1</v>
      </c>
      <c r="F7" s="17"/>
      <c r="G7" s="9">
        <f>May!G7+F7</f>
        <v>145</v>
      </c>
      <c r="H7" s="19"/>
      <c r="I7" s="9">
        <f>May!I7+H7</f>
        <v>0</v>
      </c>
      <c r="J7" s="24"/>
      <c r="K7" s="9">
        <f>May!K7+J7</f>
        <v>0</v>
      </c>
    </row>
    <row r="8" spans="1:11" s="5" customFormat="1" ht="18" customHeight="1">
      <c r="A8" s="9" t="s">
        <v>10</v>
      </c>
      <c r="B8" s="13">
        <v>608</v>
      </c>
      <c r="C8" s="9">
        <f>May!C8+B8</f>
        <v>1963</v>
      </c>
      <c r="D8" s="15">
        <v>43</v>
      </c>
      <c r="E8" s="9">
        <f>May!E8+D8</f>
        <v>56</v>
      </c>
      <c r="F8" s="17"/>
      <c r="G8" s="9">
        <f>May!G8+F8</f>
        <v>227</v>
      </c>
      <c r="H8" s="19"/>
      <c r="I8" s="9">
        <f>May!I8+H8</f>
        <v>0</v>
      </c>
      <c r="J8" s="24"/>
      <c r="K8" s="9">
        <f>May!K8+J8</f>
        <v>0</v>
      </c>
    </row>
    <row r="9" spans="1:11" s="5" customFormat="1" ht="18" customHeight="1">
      <c r="A9" s="9" t="s">
        <v>11</v>
      </c>
      <c r="B9" s="13">
        <v>455</v>
      </c>
      <c r="C9" s="9">
        <f>May!C9+B9</f>
        <v>1613</v>
      </c>
      <c r="D9" s="15"/>
      <c r="E9" s="9">
        <f>May!E9+D9</f>
        <v>7</v>
      </c>
      <c r="F9" s="17">
        <v>107</v>
      </c>
      <c r="G9" s="9">
        <f>May!G9+F9</f>
        <v>1284</v>
      </c>
      <c r="H9" s="19"/>
      <c r="I9" s="9">
        <f>May!I9+H9</f>
        <v>0</v>
      </c>
      <c r="J9" s="24"/>
      <c r="K9" s="9">
        <f>May!K9+J9</f>
        <v>0</v>
      </c>
    </row>
    <row r="10" spans="1:11" s="5" customFormat="1" ht="18" customHeight="1">
      <c r="A10" s="9" t="s">
        <v>12</v>
      </c>
      <c r="B10" s="13"/>
      <c r="C10" s="9">
        <f>May!C10+B10</f>
        <v>6946</v>
      </c>
      <c r="D10" s="15">
        <v>24</v>
      </c>
      <c r="E10" s="9">
        <f>May!E10+D10</f>
        <v>117</v>
      </c>
      <c r="F10" s="17">
        <v>2</v>
      </c>
      <c r="G10" s="9">
        <f>May!G10+F10</f>
        <v>133</v>
      </c>
      <c r="H10" s="19"/>
      <c r="I10" s="9">
        <f>May!I10+H10</f>
        <v>0</v>
      </c>
      <c r="J10" s="24"/>
      <c r="K10" s="9">
        <f>May!K10+J10</f>
        <v>198</v>
      </c>
    </row>
    <row r="11" spans="1:11" s="5" customFormat="1" ht="18" customHeight="1">
      <c r="A11" s="9" t="s">
        <v>13</v>
      </c>
      <c r="B11" s="13">
        <v>1150</v>
      </c>
      <c r="C11" s="9">
        <f>May!C11+B11</f>
        <v>1872</v>
      </c>
      <c r="D11" s="15">
        <v>5</v>
      </c>
      <c r="E11" s="9">
        <f>May!E11+D11</f>
        <v>98</v>
      </c>
      <c r="F11" s="17">
        <v>83</v>
      </c>
      <c r="G11" s="9">
        <f>May!G11+F11</f>
        <v>83</v>
      </c>
      <c r="H11" s="19"/>
      <c r="I11" s="9">
        <f>May!I11+H11</f>
        <v>0</v>
      </c>
      <c r="J11" s="24"/>
      <c r="K11" s="9">
        <f>May!K11+J11</f>
        <v>0</v>
      </c>
    </row>
    <row r="12" spans="1:11" s="5" customFormat="1" ht="18" customHeight="1">
      <c r="A12" s="9" t="s">
        <v>14</v>
      </c>
      <c r="B12" s="13"/>
      <c r="C12" s="9">
        <f>May!C12+B12</f>
        <v>0</v>
      </c>
      <c r="D12" s="15"/>
      <c r="E12" s="9">
        <f>May!E12+D12</f>
        <v>0</v>
      </c>
      <c r="F12" s="17">
        <v>3</v>
      </c>
      <c r="G12" s="9">
        <f>May!G12+F12</f>
        <v>4</v>
      </c>
      <c r="H12" s="19"/>
      <c r="I12" s="9">
        <f>May!I12+H12</f>
        <v>0</v>
      </c>
      <c r="J12" s="24"/>
      <c r="K12" s="9">
        <f>May!K12+J12</f>
        <v>0</v>
      </c>
    </row>
    <row r="13" spans="1:11" s="5" customFormat="1" ht="18" customHeight="1">
      <c r="A13" s="9" t="s">
        <v>15</v>
      </c>
      <c r="B13" s="13"/>
      <c r="C13" s="9">
        <f>May!C13+B13</f>
        <v>0</v>
      </c>
      <c r="D13" s="15"/>
      <c r="E13" s="9">
        <f>May!E13+D13</f>
        <v>0</v>
      </c>
      <c r="F13" s="17"/>
      <c r="G13" s="9">
        <f>May!G13+F13</f>
        <v>0</v>
      </c>
      <c r="H13" s="19"/>
      <c r="I13" s="9">
        <f>May!I13+H13</f>
        <v>0</v>
      </c>
      <c r="J13" s="24"/>
      <c r="K13" s="9">
        <f>May!K13+J13</f>
        <v>0</v>
      </c>
    </row>
    <row r="14" spans="1:11" s="5" customFormat="1" ht="18" customHeight="1">
      <c r="A14" s="9" t="s">
        <v>16</v>
      </c>
      <c r="B14" s="13">
        <f>1713+80</f>
        <v>1793</v>
      </c>
      <c r="C14" s="9">
        <f>May!C14+B14</f>
        <v>2793</v>
      </c>
      <c r="D14" s="15"/>
      <c r="E14" s="9">
        <f>May!E14+D14</f>
        <v>0</v>
      </c>
      <c r="F14" s="17">
        <v>2</v>
      </c>
      <c r="G14" s="9">
        <f>May!G14+F14</f>
        <v>2</v>
      </c>
      <c r="H14" s="19"/>
      <c r="I14" s="9">
        <f>May!I14+H14</f>
        <v>0</v>
      </c>
      <c r="J14" s="24"/>
      <c r="K14" s="9">
        <f>May!K14+J14</f>
        <v>0</v>
      </c>
    </row>
    <row r="15" spans="1:11" s="5" customFormat="1" ht="18" customHeight="1">
      <c r="A15" s="9" t="s">
        <v>17</v>
      </c>
      <c r="B15" s="13">
        <v>274</v>
      </c>
      <c r="C15" s="9">
        <f>May!C15+B15</f>
        <v>1182</v>
      </c>
      <c r="D15" s="15"/>
      <c r="E15" s="9">
        <f>May!E15+D15</f>
        <v>1</v>
      </c>
      <c r="F15" s="17"/>
      <c r="G15" s="9">
        <f>May!G15+F15</f>
        <v>0</v>
      </c>
      <c r="H15" s="19"/>
      <c r="I15" s="9">
        <f>May!I15+H15</f>
        <v>0</v>
      </c>
      <c r="J15" s="24"/>
      <c r="K15" s="9">
        <f>May!K15+J15</f>
        <v>0</v>
      </c>
    </row>
    <row r="16" spans="1:11" s="5" customFormat="1" ht="18" customHeight="1">
      <c r="A16" s="9" t="s">
        <v>18</v>
      </c>
      <c r="B16" s="13"/>
      <c r="C16" s="9">
        <f>May!C16+B16</f>
        <v>0</v>
      </c>
      <c r="D16" s="15"/>
      <c r="E16" s="9">
        <f>May!E16+D16</f>
        <v>0</v>
      </c>
      <c r="F16" s="17"/>
      <c r="G16" s="9">
        <f>May!G16+F16</f>
        <v>0</v>
      </c>
      <c r="H16" s="19"/>
      <c r="I16" s="9">
        <f>May!I16+H16</f>
        <v>0</v>
      </c>
      <c r="J16" s="24"/>
      <c r="K16" s="9">
        <f>May!K16+J16</f>
        <v>0</v>
      </c>
    </row>
    <row r="17" spans="1:11" s="5" customFormat="1" ht="18" customHeight="1">
      <c r="A17" s="9" t="s">
        <v>19</v>
      </c>
      <c r="B17" s="13">
        <v>250</v>
      </c>
      <c r="C17" s="9">
        <f>May!C17+B17</f>
        <v>919</v>
      </c>
      <c r="D17" s="15"/>
      <c r="E17" s="9">
        <f>May!E17+D17</f>
        <v>516</v>
      </c>
      <c r="F17" s="17">
        <v>5</v>
      </c>
      <c r="G17" s="9">
        <f>May!G17+F17</f>
        <v>191</v>
      </c>
      <c r="H17" s="19"/>
      <c r="I17" s="9">
        <f>May!I17+H17</f>
        <v>0</v>
      </c>
      <c r="J17" s="24"/>
      <c r="K17" s="9">
        <f>May!K17+J17</f>
        <v>0</v>
      </c>
    </row>
    <row r="18" spans="1:11" s="5" customFormat="1" ht="18" customHeight="1">
      <c r="A18" s="9" t="s">
        <v>20</v>
      </c>
      <c r="B18" s="13">
        <v>245</v>
      </c>
      <c r="C18" s="9">
        <f>May!C18+B18</f>
        <v>2579</v>
      </c>
      <c r="D18" s="15">
        <v>40</v>
      </c>
      <c r="E18" s="9">
        <f>May!E18+D18</f>
        <v>555</v>
      </c>
      <c r="F18" s="17">
        <v>28</v>
      </c>
      <c r="G18" s="9">
        <f>May!G18+F18</f>
        <v>528</v>
      </c>
      <c r="H18" s="19"/>
      <c r="I18" s="9">
        <f>May!I18+H18</f>
        <v>0</v>
      </c>
      <c r="J18" s="24"/>
      <c r="K18" s="9">
        <f>May!K18+J18</f>
        <v>0</v>
      </c>
    </row>
    <row r="19" spans="1:11" s="5" customFormat="1" ht="18" customHeight="1">
      <c r="A19" s="9" t="s">
        <v>21</v>
      </c>
      <c r="B19" s="13">
        <v>1633</v>
      </c>
      <c r="C19" s="9">
        <f>May!C19+B19</f>
        <v>19553</v>
      </c>
      <c r="D19" s="15">
        <v>6</v>
      </c>
      <c r="E19" s="9">
        <f>May!E19+D19</f>
        <v>44</v>
      </c>
      <c r="F19" s="17"/>
      <c r="G19" s="9">
        <f>May!G19+F19</f>
        <v>5298</v>
      </c>
      <c r="H19" s="19"/>
      <c r="I19" s="9">
        <f>May!I19+H19</f>
        <v>0</v>
      </c>
      <c r="J19" s="24"/>
      <c r="K19" s="9">
        <f>May!K19+J19</f>
        <v>0</v>
      </c>
    </row>
    <row r="20" spans="1:11" s="5" customFormat="1" ht="18" customHeight="1">
      <c r="A20" s="9" t="s">
        <v>22</v>
      </c>
      <c r="B20" s="13">
        <v>3488</v>
      </c>
      <c r="C20" s="9">
        <f>May!C20+B20</f>
        <v>20960</v>
      </c>
      <c r="D20" s="15">
        <v>85</v>
      </c>
      <c r="E20" s="9">
        <f>May!E20+D20</f>
        <v>1018</v>
      </c>
      <c r="F20" s="17">
        <v>174</v>
      </c>
      <c r="G20" s="9">
        <f>May!G20+F20</f>
        <v>864</v>
      </c>
      <c r="H20" s="19"/>
      <c r="I20" s="9">
        <f>May!I20+H20</f>
        <v>0</v>
      </c>
      <c r="J20" s="24"/>
      <c r="K20" s="9">
        <f>May!K20+J20</f>
        <v>0</v>
      </c>
    </row>
    <row r="21" spans="1:11" s="5" customFormat="1" ht="18" customHeight="1">
      <c r="A21" s="9" t="s">
        <v>23</v>
      </c>
      <c r="B21" s="13">
        <v>8672</v>
      </c>
      <c r="C21" s="9">
        <f>May!C21+B21</f>
        <v>29369</v>
      </c>
      <c r="D21" s="15">
        <v>6</v>
      </c>
      <c r="E21" s="9">
        <f>May!E21+D21</f>
        <v>1543</v>
      </c>
      <c r="F21" s="17">
        <v>183</v>
      </c>
      <c r="G21" s="9">
        <f>May!G21+F21</f>
        <v>230</v>
      </c>
      <c r="H21" s="19"/>
      <c r="I21" s="9">
        <f>May!I21+H21</f>
        <v>0</v>
      </c>
      <c r="J21" s="24"/>
      <c r="K21" s="9">
        <f>May!K21+J21</f>
        <v>0</v>
      </c>
    </row>
    <row r="22" spans="1:11" s="5" customFormat="1" ht="18" customHeight="1">
      <c r="A22" s="9" t="s">
        <v>24</v>
      </c>
      <c r="B22" s="13"/>
      <c r="C22" s="9">
        <f>May!C22+B22</f>
        <v>0</v>
      </c>
      <c r="D22" s="15"/>
      <c r="E22" s="9">
        <f>May!E22+D22</f>
        <v>0</v>
      </c>
      <c r="F22" s="17"/>
      <c r="G22" s="9">
        <f>May!G22+F22</f>
        <v>0</v>
      </c>
      <c r="H22" s="19"/>
      <c r="I22" s="9">
        <f>May!I22+H22</f>
        <v>0</v>
      </c>
      <c r="J22" s="24"/>
      <c r="K22" s="9">
        <f>May!K22+J22</f>
        <v>0</v>
      </c>
    </row>
    <row r="23" spans="1:11" s="5" customFormat="1" ht="18" customHeight="1">
      <c r="A23" s="9" t="s">
        <v>25</v>
      </c>
      <c r="B23" s="13"/>
      <c r="C23" s="9">
        <f>May!C23+B23</f>
        <v>0</v>
      </c>
      <c r="D23" s="15"/>
      <c r="E23" s="9">
        <f>May!E23+D23</f>
        <v>0</v>
      </c>
      <c r="F23" s="17"/>
      <c r="G23" s="9">
        <f>May!G23+F23</f>
        <v>0</v>
      </c>
      <c r="H23" s="19"/>
      <c r="I23" s="9">
        <f>May!I23+H23</f>
        <v>0</v>
      </c>
      <c r="J23" s="24"/>
      <c r="K23" s="9">
        <f>May!K23+J23</f>
        <v>0</v>
      </c>
    </row>
    <row r="24" spans="1:11" s="5" customFormat="1" ht="18" customHeight="1">
      <c r="A24" s="9" t="s">
        <v>26</v>
      </c>
      <c r="B24" s="13"/>
      <c r="C24" s="9">
        <f>May!C24+B24</f>
        <v>0</v>
      </c>
      <c r="D24" s="15"/>
      <c r="E24" s="9">
        <f>May!E24+D24</f>
        <v>1</v>
      </c>
      <c r="F24" s="17"/>
      <c r="G24" s="9">
        <f>May!G24+F24</f>
        <v>2</v>
      </c>
      <c r="H24" s="19"/>
      <c r="I24" s="9">
        <f>May!I24+H24</f>
        <v>0</v>
      </c>
      <c r="J24" s="24"/>
      <c r="K24" s="9">
        <f>May!K24+J24</f>
        <v>0</v>
      </c>
    </row>
    <row r="25" spans="1:11" s="5" customFormat="1" ht="18" customHeight="1">
      <c r="A25" s="9" t="s">
        <v>27</v>
      </c>
      <c r="B25" s="13"/>
      <c r="C25" s="9">
        <f>May!C25+B25</f>
        <v>0</v>
      </c>
      <c r="D25" s="15"/>
      <c r="E25" s="9">
        <f>May!E25+D25</f>
        <v>0</v>
      </c>
      <c r="F25" s="17"/>
      <c r="G25" s="9">
        <f>May!G25+F25</f>
        <v>0</v>
      </c>
      <c r="H25" s="19"/>
      <c r="I25" s="9">
        <f>May!I25+H25</f>
        <v>0</v>
      </c>
      <c r="J25" s="24"/>
      <c r="K25" s="9">
        <f>May!K25+J25</f>
        <v>0</v>
      </c>
    </row>
    <row r="26" spans="1:11" s="5" customFormat="1" ht="18" customHeight="1">
      <c r="A26" s="9" t="s">
        <v>28</v>
      </c>
      <c r="B26" s="13">
        <v>2706</v>
      </c>
      <c r="C26" s="9">
        <f>May!C26+B26</f>
        <v>19038</v>
      </c>
      <c r="D26" s="15"/>
      <c r="E26" s="9">
        <f>May!E26+D26</f>
        <v>61</v>
      </c>
      <c r="F26" s="17">
        <v>1</v>
      </c>
      <c r="G26" s="9">
        <f>May!G26+F26</f>
        <v>36</v>
      </c>
      <c r="H26" s="19"/>
      <c r="I26" s="9">
        <f>May!I26+H26</f>
        <v>0</v>
      </c>
      <c r="J26" s="24"/>
      <c r="K26" s="9">
        <f>May!K26+J26</f>
        <v>0</v>
      </c>
    </row>
    <row r="27" spans="1:11" s="5" customFormat="1" ht="18" customHeight="1">
      <c r="A27" s="9" t="s">
        <v>29</v>
      </c>
      <c r="B27" s="13">
        <v>3424</v>
      </c>
      <c r="C27" s="9">
        <f>May!C27+B27</f>
        <v>14614</v>
      </c>
      <c r="D27" s="15">
        <v>241</v>
      </c>
      <c r="E27" s="9">
        <f>May!E27+D27</f>
        <v>736</v>
      </c>
      <c r="F27" s="17">
        <v>597</v>
      </c>
      <c r="G27" s="9">
        <f>May!G27+F27</f>
        <v>3840</v>
      </c>
      <c r="H27" s="19"/>
      <c r="I27" s="9">
        <f>May!I27+H27</f>
        <v>0</v>
      </c>
      <c r="J27" s="24"/>
      <c r="K27" s="9">
        <f>May!K27+J27</f>
        <v>0</v>
      </c>
    </row>
    <row r="28" spans="1:11" s="5" customFormat="1" ht="18" customHeight="1">
      <c r="A28" s="9" t="s">
        <v>30</v>
      </c>
      <c r="B28" s="13">
        <v>473</v>
      </c>
      <c r="C28" s="9">
        <f>May!C28+B28</f>
        <v>617</v>
      </c>
      <c r="D28" s="15">
        <v>4</v>
      </c>
      <c r="E28" s="9">
        <f>May!E28+D28</f>
        <v>5</v>
      </c>
      <c r="F28" s="17"/>
      <c r="G28" s="9">
        <f>May!G28+F28</f>
        <v>0</v>
      </c>
      <c r="H28" s="19"/>
      <c r="I28" s="9">
        <f>May!I28+H28</f>
        <v>0</v>
      </c>
      <c r="J28" s="24"/>
      <c r="K28" s="9">
        <f>May!K28+J28</f>
        <v>0</v>
      </c>
    </row>
    <row r="29" spans="1:11" s="5" customFormat="1" ht="18" customHeight="1">
      <c r="A29" s="9" t="s">
        <v>31</v>
      </c>
      <c r="B29" s="13">
        <v>13170</v>
      </c>
      <c r="C29" s="9">
        <f>May!C29+B29</f>
        <v>47556</v>
      </c>
      <c r="D29" s="15">
        <v>304</v>
      </c>
      <c r="E29" s="9">
        <f>May!E29+D29</f>
        <v>1164</v>
      </c>
      <c r="F29" s="17"/>
      <c r="G29" s="9">
        <f>May!G29+F29</f>
        <v>2035</v>
      </c>
      <c r="H29" s="19"/>
      <c r="I29" s="9">
        <f>May!I29+H29</f>
        <v>0</v>
      </c>
      <c r="J29" s="24"/>
      <c r="K29" s="9">
        <f>May!K29+J29</f>
        <v>58</v>
      </c>
    </row>
    <row r="30" spans="1:11" s="5" customFormat="1" ht="18" customHeight="1">
      <c r="A30" s="9" t="s">
        <v>32</v>
      </c>
      <c r="B30" s="13">
        <v>856</v>
      </c>
      <c r="C30" s="9">
        <f>May!C30+B30</f>
        <v>32519</v>
      </c>
      <c r="D30" s="15">
        <v>1101</v>
      </c>
      <c r="E30" s="9">
        <f>May!E30+D30</f>
        <v>7617</v>
      </c>
      <c r="F30" s="17"/>
      <c r="G30" s="9">
        <f>May!G30+F30</f>
        <v>220</v>
      </c>
      <c r="H30" s="19"/>
      <c r="I30" s="9">
        <f>May!I30+H30</f>
        <v>0</v>
      </c>
      <c r="J30" s="24"/>
      <c r="K30" s="9">
        <f>May!K30+J30</f>
        <v>0</v>
      </c>
    </row>
    <row r="31" spans="1:11" s="5" customFormat="1" ht="18" customHeight="1">
      <c r="A31" s="9" t="s">
        <v>33</v>
      </c>
      <c r="B31" s="13">
        <v>1967</v>
      </c>
      <c r="C31" s="9">
        <f>May!C31+B31</f>
        <v>26012</v>
      </c>
      <c r="D31" s="15">
        <v>434</v>
      </c>
      <c r="E31" s="9">
        <f>May!E31+D31</f>
        <v>4899</v>
      </c>
      <c r="F31" s="17">
        <v>158</v>
      </c>
      <c r="G31" s="9">
        <f>May!G31+F31</f>
        <v>1179</v>
      </c>
      <c r="H31" s="19"/>
      <c r="I31" s="9">
        <f>May!I31+H31</f>
        <v>0</v>
      </c>
      <c r="J31" s="24"/>
      <c r="K31" s="9">
        <f>May!K31+J31</f>
        <v>0</v>
      </c>
    </row>
    <row r="32" spans="1:11" s="5" customFormat="1" ht="18" customHeight="1">
      <c r="A32" s="9" t="s">
        <v>34</v>
      </c>
      <c r="B32" s="13"/>
      <c r="C32" s="9">
        <f>May!C32+B32</f>
        <v>0</v>
      </c>
      <c r="D32" s="15"/>
      <c r="E32" s="9">
        <f>May!E32+D32</f>
        <v>0</v>
      </c>
      <c r="F32" s="17"/>
      <c r="G32" s="9">
        <f>May!G32+F32</f>
        <v>0</v>
      </c>
      <c r="H32" s="19"/>
      <c r="I32" s="9">
        <f>May!I32+H32</f>
        <v>0</v>
      </c>
      <c r="J32" s="24"/>
      <c r="K32" s="9">
        <f>May!K32+J32</f>
        <v>0</v>
      </c>
    </row>
    <row r="33" spans="1:11" s="5" customFormat="1" ht="18" customHeight="1">
      <c r="A33" s="9" t="s">
        <v>35</v>
      </c>
      <c r="B33" s="13"/>
      <c r="C33" s="9">
        <f>May!C33+B33</f>
        <v>0</v>
      </c>
      <c r="D33" s="15"/>
      <c r="E33" s="9">
        <f>May!E33+D33</f>
        <v>0</v>
      </c>
      <c r="F33" s="17"/>
      <c r="G33" s="9">
        <f>May!G33+F33</f>
        <v>0</v>
      </c>
      <c r="H33" s="19"/>
      <c r="I33" s="9">
        <f>May!I33+H33</f>
        <v>0</v>
      </c>
      <c r="J33" s="24"/>
      <c r="K33" s="9">
        <f>May!K33+J33</f>
        <v>0</v>
      </c>
    </row>
    <row r="34" spans="1:11" s="5" customFormat="1" ht="18" customHeight="1">
      <c r="A34" s="9" t="s">
        <v>36</v>
      </c>
      <c r="B34" s="13"/>
      <c r="C34" s="9">
        <f>May!C34+B34</f>
        <v>0</v>
      </c>
      <c r="D34" s="15"/>
      <c r="E34" s="9">
        <f>May!E34+D34</f>
        <v>0</v>
      </c>
      <c r="F34" s="17"/>
      <c r="G34" s="9">
        <f>May!G34+F34</f>
        <v>0</v>
      </c>
      <c r="H34" s="19"/>
      <c r="I34" s="9">
        <f>May!I34+H34</f>
        <v>0</v>
      </c>
      <c r="J34" s="24"/>
      <c r="K34" s="9">
        <f>May!K34+J34</f>
        <v>0</v>
      </c>
    </row>
    <row r="35" spans="1:11" s="5" customFormat="1" ht="18" customHeight="1">
      <c r="A35" s="9" t="s">
        <v>37</v>
      </c>
      <c r="B35" s="13">
        <v>859</v>
      </c>
      <c r="C35" s="9">
        <f>May!C35+B35</f>
        <v>2392</v>
      </c>
      <c r="D35" s="15"/>
      <c r="E35" s="9">
        <f>May!E35+D35</f>
        <v>25</v>
      </c>
      <c r="F35" s="17"/>
      <c r="G35" s="9">
        <f>May!G35+F35</f>
        <v>832</v>
      </c>
      <c r="H35" s="19"/>
      <c r="I35" s="9">
        <f>May!I35+H35</f>
        <v>0</v>
      </c>
      <c r="J35" s="24"/>
      <c r="K35" s="9">
        <f>May!K35+J35</f>
        <v>0</v>
      </c>
    </row>
    <row r="36" spans="1:11" s="5" customFormat="1" ht="18" customHeight="1">
      <c r="A36" s="9" t="s">
        <v>38</v>
      </c>
      <c r="B36" s="13"/>
      <c r="C36" s="9">
        <f>May!C36+B36</f>
        <v>239</v>
      </c>
      <c r="D36" s="15"/>
      <c r="E36" s="9">
        <f>May!E36+D36</f>
        <v>0</v>
      </c>
      <c r="F36" s="17">
        <v>106</v>
      </c>
      <c r="G36" s="9">
        <f>May!G36+F36</f>
        <v>1403</v>
      </c>
      <c r="H36" s="19"/>
      <c r="I36" s="9">
        <f>May!I36+H36</f>
        <v>0</v>
      </c>
      <c r="J36" s="24"/>
      <c r="K36" s="9">
        <f>May!K36+J36</f>
        <v>0</v>
      </c>
    </row>
    <row r="37" spans="1:11" s="5" customFormat="1" ht="18" customHeight="1">
      <c r="A37" s="9" t="s">
        <v>39</v>
      </c>
      <c r="B37" s="13"/>
      <c r="C37" s="9">
        <f>May!C37+B37</f>
        <v>151</v>
      </c>
      <c r="D37" s="15">
        <v>6</v>
      </c>
      <c r="E37" s="9">
        <f>May!E37+D37</f>
        <v>299</v>
      </c>
      <c r="F37" s="17"/>
      <c r="G37" s="9">
        <f>May!G37+F37</f>
        <v>0</v>
      </c>
      <c r="H37" s="19"/>
      <c r="I37" s="9">
        <f>May!I37+H37</f>
        <v>0</v>
      </c>
      <c r="J37" s="24"/>
      <c r="K37" s="9">
        <f>May!K37+J37</f>
        <v>0</v>
      </c>
    </row>
    <row r="38" spans="1:11" s="5" customFormat="1" ht="18" customHeight="1">
      <c r="A38" s="9" t="s">
        <v>40</v>
      </c>
      <c r="B38" s="13">
        <v>2328</v>
      </c>
      <c r="C38" s="9">
        <f>May!C38+B38</f>
        <v>39408</v>
      </c>
      <c r="D38" s="15">
        <v>76</v>
      </c>
      <c r="E38" s="9">
        <f>May!E38+D38</f>
        <v>407</v>
      </c>
      <c r="F38" s="17"/>
      <c r="G38" s="9">
        <f>May!G38+F38</f>
        <v>190</v>
      </c>
      <c r="H38" s="19"/>
      <c r="I38" s="9">
        <f>May!I38+H38</f>
        <v>0</v>
      </c>
      <c r="J38" s="24"/>
      <c r="K38" s="9">
        <f>May!K38+J38</f>
        <v>0</v>
      </c>
    </row>
    <row r="39" spans="1:11" s="5" customFormat="1" ht="18" customHeight="1">
      <c r="A39" s="9" t="s">
        <v>41</v>
      </c>
      <c r="B39" s="13">
        <v>5</v>
      </c>
      <c r="C39" s="9">
        <f>May!C39+B39</f>
        <v>7534</v>
      </c>
      <c r="D39" s="15"/>
      <c r="E39" s="9">
        <f>May!E39+D39</f>
        <v>11</v>
      </c>
      <c r="F39" s="17">
        <v>64</v>
      </c>
      <c r="G39" s="9">
        <f>May!G39+F39</f>
        <v>274</v>
      </c>
      <c r="H39" s="19"/>
      <c r="I39" s="9">
        <f>May!I39+H39</f>
        <v>0</v>
      </c>
      <c r="J39" s="24"/>
      <c r="K39" s="9">
        <f>May!K39+J39</f>
        <v>0</v>
      </c>
    </row>
    <row r="40" spans="1:11" s="5" customFormat="1" ht="18" customHeight="1">
      <c r="A40" s="9" t="s">
        <v>42</v>
      </c>
      <c r="B40" s="13">
        <v>1768</v>
      </c>
      <c r="C40" s="9">
        <f>May!C40+B40</f>
        <v>4826</v>
      </c>
      <c r="D40" s="15">
        <v>202</v>
      </c>
      <c r="E40" s="9">
        <f>May!E40+D40</f>
        <v>592</v>
      </c>
      <c r="F40" s="17"/>
      <c r="G40" s="9">
        <f>May!G40+F40</f>
        <v>0</v>
      </c>
      <c r="H40" s="19"/>
      <c r="I40" s="9">
        <f>May!I40+H40</f>
        <v>0</v>
      </c>
      <c r="J40" s="24"/>
      <c r="K40" s="9">
        <f>May!K40+J40</f>
        <v>0</v>
      </c>
    </row>
    <row r="41" spans="1:11" s="5" customFormat="1" ht="18" customHeight="1">
      <c r="A41" s="9" t="s">
        <v>43</v>
      </c>
      <c r="B41" s="13"/>
      <c r="C41" s="9">
        <f>May!C41+B41</f>
        <v>0</v>
      </c>
      <c r="D41" s="15"/>
      <c r="E41" s="9">
        <f>May!E41+D41</f>
        <v>2</v>
      </c>
      <c r="F41" s="17"/>
      <c r="G41" s="9">
        <f>May!G41+F41</f>
        <v>0</v>
      </c>
      <c r="H41" s="19"/>
      <c r="I41" s="9">
        <f>May!I41+H41</f>
        <v>0</v>
      </c>
      <c r="J41" s="24"/>
      <c r="K41" s="9">
        <f>May!K41+J41</f>
        <v>0</v>
      </c>
    </row>
    <row r="42" spans="1:11" s="5" customFormat="1" ht="18" customHeight="1">
      <c r="A42" s="9" t="s">
        <v>44</v>
      </c>
      <c r="B42" s="13">
        <v>139</v>
      </c>
      <c r="C42" s="9">
        <f>May!C42+B42</f>
        <v>1196</v>
      </c>
      <c r="D42" s="15">
        <v>3</v>
      </c>
      <c r="E42" s="9">
        <f>May!E42+D42</f>
        <v>10</v>
      </c>
      <c r="F42" s="17">
        <v>412</v>
      </c>
      <c r="G42" s="9">
        <f>May!G42+F42</f>
        <v>597</v>
      </c>
      <c r="H42" s="19"/>
      <c r="I42" s="9">
        <f>May!I42+H42</f>
        <v>0</v>
      </c>
      <c r="J42" s="24"/>
      <c r="K42" s="9">
        <f>May!K42+J42</f>
        <v>0</v>
      </c>
    </row>
    <row r="43" spans="1:11" s="5" customFormat="1" ht="18" customHeight="1">
      <c r="A43" s="9" t="s">
        <v>45</v>
      </c>
      <c r="B43" s="13"/>
      <c r="C43" s="9">
        <f>May!C43+B43</f>
        <v>0</v>
      </c>
      <c r="D43" s="15"/>
      <c r="E43" s="9">
        <f>May!E43+D43</f>
        <v>0</v>
      </c>
      <c r="F43" s="17"/>
      <c r="G43" s="9">
        <f>May!G43+F43</f>
        <v>0</v>
      </c>
      <c r="H43" s="19"/>
      <c r="I43" s="9">
        <f>May!I43+H43</f>
        <v>0</v>
      </c>
      <c r="J43" s="24"/>
      <c r="K43" s="9">
        <f>May!K43+J43</f>
        <v>0</v>
      </c>
    </row>
    <row r="44" spans="1:11" s="5" customFormat="1" ht="18" customHeight="1">
      <c r="A44" s="9" t="s">
        <v>46</v>
      </c>
      <c r="B44" s="13">
        <v>93</v>
      </c>
      <c r="C44" s="9">
        <f>May!C44+B44</f>
        <v>93</v>
      </c>
      <c r="D44" s="15"/>
      <c r="E44" s="9">
        <f>May!E44+D44</f>
        <v>0</v>
      </c>
      <c r="F44" s="17"/>
      <c r="G44" s="9">
        <f>May!G44+F44</f>
        <v>14</v>
      </c>
      <c r="H44" s="19"/>
      <c r="I44" s="9">
        <f>May!I44+H44</f>
        <v>0</v>
      </c>
      <c r="J44" s="24"/>
      <c r="K44" s="9">
        <f>May!K44+J44</f>
        <v>0</v>
      </c>
    </row>
    <row r="45" spans="1:11" s="5" customFormat="1" ht="18" customHeight="1">
      <c r="A45" s="9" t="s">
        <v>47</v>
      </c>
      <c r="B45" s="13">
        <v>16717</v>
      </c>
      <c r="C45" s="9">
        <f>May!C45+B45</f>
        <v>141044</v>
      </c>
      <c r="D45" s="15">
        <v>346</v>
      </c>
      <c r="E45" s="9">
        <f>May!E45+D45</f>
        <v>5426</v>
      </c>
      <c r="F45" s="17">
        <v>594</v>
      </c>
      <c r="G45" s="9">
        <f>May!G45+F45</f>
        <v>1211</v>
      </c>
      <c r="H45" s="19"/>
      <c r="I45" s="9">
        <f>May!I45+H45</f>
        <v>0</v>
      </c>
      <c r="J45" s="24"/>
      <c r="K45" s="9">
        <f>May!K45+J45</f>
        <v>0</v>
      </c>
    </row>
    <row r="46" spans="1:11" s="5" customFormat="1" ht="18" customHeight="1">
      <c r="A46" s="9" t="s">
        <v>48</v>
      </c>
      <c r="B46" s="13">
        <v>2509</v>
      </c>
      <c r="C46" s="9">
        <f>May!C46+B46</f>
        <v>9201</v>
      </c>
      <c r="D46" s="15">
        <v>2</v>
      </c>
      <c r="E46" s="9">
        <f>May!E46+D46</f>
        <v>11</v>
      </c>
      <c r="F46" s="17"/>
      <c r="G46" s="9">
        <f>May!G46+F46</f>
        <v>120</v>
      </c>
      <c r="H46" s="19"/>
      <c r="I46" s="9">
        <f>May!I46+H46</f>
        <v>0</v>
      </c>
      <c r="J46" s="24"/>
      <c r="K46" s="9">
        <f>May!K46+J46</f>
        <v>0</v>
      </c>
    </row>
    <row r="47" spans="1:11" s="5" customFormat="1" ht="18" customHeight="1">
      <c r="A47" s="9" t="s">
        <v>49</v>
      </c>
      <c r="B47" s="13">
        <v>1325</v>
      </c>
      <c r="C47" s="9">
        <f>May!C47+B47</f>
        <v>10433</v>
      </c>
      <c r="D47" s="15">
        <v>1</v>
      </c>
      <c r="E47" s="9">
        <f>May!E47+D47</f>
        <v>30</v>
      </c>
      <c r="F47" s="17">
        <v>157</v>
      </c>
      <c r="G47" s="9">
        <f>May!G47+F47</f>
        <v>2132</v>
      </c>
      <c r="H47" s="19"/>
      <c r="I47" s="9">
        <f>May!I47+H47</f>
        <v>0</v>
      </c>
      <c r="J47" s="24"/>
      <c r="K47" s="9">
        <f>May!K47+J47</f>
        <v>3</v>
      </c>
    </row>
    <row r="48" spans="1:11" s="5" customFormat="1" ht="18" customHeight="1">
      <c r="A48" s="9" t="s">
        <v>50</v>
      </c>
      <c r="B48" s="13"/>
      <c r="C48" s="9">
        <f>May!C48+B48</f>
        <v>469</v>
      </c>
      <c r="D48" s="15"/>
      <c r="E48" s="9">
        <f>May!E48+D48</f>
        <v>6</v>
      </c>
      <c r="F48" s="17"/>
      <c r="G48" s="9">
        <f>May!G48+F48</f>
        <v>1715</v>
      </c>
      <c r="H48" s="19"/>
      <c r="I48" s="9">
        <f>May!I48+H48</f>
        <v>0</v>
      </c>
      <c r="J48" s="24"/>
      <c r="K48" s="9">
        <f>May!K48+J48</f>
        <v>0</v>
      </c>
    </row>
    <row r="49" spans="1:11" s="5" customFormat="1" ht="18" customHeight="1">
      <c r="A49" s="9" t="s">
        <v>51</v>
      </c>
      <c r="B49" s="13"/>
      <c r="C49" s="9">
        <f>May!C49+B49</f>
        <v>0</v>
      </c>
      <c r="D49" s="15"/>
      <c r="E49" s="9">
        <f>May!E49+D49</f>
        <v>0</v>
      </c>
      <c r="F49" s="17">
        <v>1</v>
      </c>
      <c r="G49" s="9">
        <f>May!G49+F49</f>
        <v>189</v>
      </c>
      <c r="H49" s="19"/>
      <c r="I49" s="9">
        <f>May!I49+H49</f>
        <v>0</v>
      </c>
      <c r="J49" s="24"/>
      <c r="K49" s="9">
        <f>May!K49+J49</f>
        <v>0</v>
      </c>
    </row>
    <row r="50" spans="1:11" s="5" customFormat="1" ht="18" customHeight="1">
      <c r="A50" s="9" t="s">
        <v>52</v>
      </c>
      <c r="B50" s="13"/>
      <c r="C50" s="9">
        <f>May!C50+B50</f>
        <v>62</v>
      </c>
      <c r="D50" s="15"/>
      <c r="E50" s="9">
        <f>May!E50+D50</f>
        <v>2</v>
      </c>
      <c r="F50" s="17"/>
      <c r="G50" s="9">
        <f>May!G50+F50</f>
        <v>0</v>
      </c>
      <c r="H50" s="19"/>
      <c r="I50" s="9">
        <f>May!I50+H50</f>
        <v>0</v>
      </c>
      <c r="J50" s="24"/>
      <c r="K50" s="9">
        <f>May!K50+J50</f>
        <v>0</v>
      </c>
    </row>
    <row r="51" spans="1:11" s="5" customFormat="1" ht="18" customHeight="1">
      <c r="A51" s="9" t="s">
        <v>53</v>
      </c>
      <c r="B51" s="13"/>
      <c r="C51" s="9">
        <f>May!C51+B51</f>
        <v>0</v>
      </c>
      <c r="D51" s="15"/>
      <c r="E51" s="9">
        <f>May!E51+D51</f>
        <v>0</v>
      </c>
      <c r="F51" s="17"/>
      <c r="G51" s="9">
        <f>May!G51+F51</f>
        <v>1</v>
      </c>
      <c r="H51" s="19"/>
      <c r="I51" s="9">
        <f>May!I51+H51</f>
        <v>0</v>
      </c>
      <c r="J51" s="24"/>
      <c r="K51" s="9">
        <f>May!K51+J51</f>
        <v>0</v>
      </c>
    </row>
    <row r="52" spans="1:11" s="5" customFormat="1" ht="18" customHeight="1">
      <c r="A52" s="9" t="s">
        <v>54</v>
      </c>
      <c r="B52" s="13"/>
      <c r="C52" s="9">
        <f>May!C52+B52</f>
        <v>276</v>
      </c>
      <c r="D52" s="15"/>
      <c r="E52" s="9">
        <f>May!E52+D52</f>
        <v>1</v>
      </c>
      <c r="F52" s="17"/>
      <c r="G52" s="9">
        <f>May!G52+F52</f>
        <v>0</v>
      </c>
      <c r="H52" s="19"/>
      <c r="I52" s="9">
        <f>May!I52+H52</f>
        <v>0</v>
      </c>
      <c r="J52" s="24"/>
      <c r="K52" s="9">
        <f>May!K52+J52</f>
        <v>0</v>
      </c>
    </row>
    <row r="53" spans="1:11" s="5" customFormat="1" ht="18" customHeight="1">
      <c r="A53" s="9" t="s">
        <v>55</v>
      </c>
      <c r="B53" s="13">
        <v>5327</v>
      </c>
      <c r="C53" s="9">
        <f>May!C53+B53</f>
        <v>32541</v>
      </c>
      <c r="D53" s="15">
        <v>74</v>
      </c>
      <c r="E53" s="9">
        <f>May!E53+D53</f>
        <v>1227</v>
      </c>
      <c r="F53" s="17">
        <v>974</v>
      </c>
      <c r="G53" s="9">
        <f>May!G53+F53</f>
        <v>6762</v>
      </c>
      <c r="H53" s="19"/>
      <c r="I53" s="9">
        <f>May!I53+H53</f>
        <v>0</v>
      </c>
      <c r="J53" s="24"/>
      <c r="K53" s="9">
        <f>May!K53+J53</f>
        <v>0</v>
      </c>
    </row>
    <row r="54" spans="1:11" s="5" customFormat="1" ht="18" customHeight="1" thickBot="1">
      <c r="A54" s="10" t="s">
        <v>56</v>
      </c>
      <c r="B54" s="13">
        <v>2482</v>
      </c>
      <c r="C54" s="9">
        <f>May!C54+B54</f>
        <v>3570</v>
      </c>
      <c r="D54" s="16">
        <v>322</v>
      </c>
      <c r="E54" s="9">
        <f>May!E54+D54</f>
        <v>1501</v>
      </c>
      <c r="F54" s="17"/>
      <c r="G54" s="9">
        <f>May!G54+F54</f>
        <v>0</v>
      </c>
      <c r="H54" s="19"/>
      <c r="I54" s="9">
        <f>May!I54+H54</f>
        <v>0</v>
      </c>
      <c r="J54" s="25"/>
      <c r="K54" s="9">
        <f>May!K54+J54</f>
        <v>0</v>
      </c>
    </row>
    <row r="55" spans="1:11" s="5" customFormat="1" ht="18" customHeight="1" thickBot="1" thickTop="1">
      <c r="A55" s="11" t="s">
        <v>57</v>
      </c>
      <c r="B55" s="11">
        <f>SUM(B5:B54)</f>
        <v>75341</v>
      </c>
      <c r="C55" s="11"/>
      <c r="D55" s="11">
        <f>SUM(D5:D54)</f>
        <v>3325</v>
      </c>
      <c r="E55" s="11"/>
      <c r="F55" s="11">
        <f>SUM(F5:F54)</f>
        <v>3651</v>
      </c>
      <c r="G55" s="11"/>
      <c r="H55" s="11">
        <f>SUM(H5:H54)</f>
        <v>0</v>
      </c>
      <c r="I55" s="11"/>
      <c r="J55" s="11">
        <f>SUM(J5:J54)</f>
        <v>0</v>
      </c>
      <c r="K55" s="23"/>
    </row>
    <row r="56" spans="1:9" s="5" customFormat="1" ht="18" customHeight="1" thickBot="1" thickTop="1">
      <c r="A56" s="8"/>
      <c r="B56" s="8"/>
      <c r="C56" s="8"/>
      <c r="D56" s="8"/>
      <c r="E56" s="8"/>
      <c r="F56" s="8"/>
      <c r="G56" s="8"/>
      <c r="H56" s="8"/>
      <c r="I56" s="8"/>
    </row>
    <row r="57" spans="1:11" s="5" customFormat="1" ht="18" customHeight="1" thickBot="1" thickTop="1">
      <c r="A57" s="12" t="s">
        <v>58</v>
      </c>
      <c r="B57" s="11"/>
      <c r="C57" s="11">
        <f>May!C57+B55</f>
        <v>484286</v>
      </c>
      <c r="D57" s="11"/>
      <c r="E57" s="11">
        <f>May!E57+D55</f>
        <v>27991</v>
      </c>
      <c r="F57" s="11"/>
      <c r="G57" s="11">
        <f>May!G57+F55</f>
        <v>31741</v>
      </c>
      <c r="H57" s="11"/>
      <c r="I57" s="11">
        <f>May!I57+H55</f>
        <v>0</v>
      </c>
      <c r="J57" s="11"/>
      <c r="K57" s="11">
        <f>May!K57+J55</f>
        <v>259</v>
      </c>
    </row>
    <row r="58" s="5" customFormat="1" ht="18" customHeight="1" thickTop="1"/>
    <row r="59" s="5" customFormat="1" ht="18" customHeight="1">
      <c r="A59" s="5" t="s">
        <v>59</v>
      </c>
    </row>
    <row r="60" spans="1:4" s="5" customFormat="1" ht="18" customHeight="1">
      <c r="A60" s="5" t="s">
        <v>12</v>
      </c>
      <c r="D60" s="5">
        <v>2507</v>
      </c>
    </row>
    <row r="61" s="5" customFormat="1" ht="18" customHeight="1"/>
    <row r="62" spans="1:7" s="4" customFormat="1" ht="18" customHeight="1">
      <c r="A62" s="4" t="s">
        <v>60</v>
      </c>
      <c r="E62" s="4">
        <f>May!E62+D60</f>
        <v>11215</v>
      </c>
      <c r="G62" s="4">
        <f>May!G62+F60</f>
        <v>25155</v>
      </c>
    </row>
    <row r="63" s="5" customFormat="1" ht="18" customHeight="1"/>
    <row r="64" s="5" customFormat="1" ht="18" customHeight="1"/>
  </sheetData>
  <sheetProtection/>
  <mergeCells count="5">
    <mergeCell ref="B3:C3"/>
    <mergeCell ref="D3:E3"/>
    <mergeCell ref="F3:G3"/>
    <mergeCell ref="H3:I3"/>
    <mergeCell ref="J3:K3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P62"/>
  <sheetViews>
    <sheetView zoomScale="110" zoomScaleNormal="110" zoomScalePageLayoutView="0" workbookViewId="0" topLeftCell="A1">
      <pane ySplit="4" topLeftCell="A35" activePane="bottomLeft" state="frozen"/>
      <selection pane="topLeft" activeCell="B10" sqref="B10"/>
      <selection pane="bottomLeft" activeCell="C48" sqref="C48"/>
    </sheetView>
  </sheetViews>
  <sheetFormatPr defaultColWidth="9.00390625" defaultRowHeight="18" customHeight="1"/>
  <cols>
    <col min="1" max="1" width="18.125" style="2" customWidth="1"/>
    <col min="2" max="3" width="9.00390625" style="2" customWidth="1"/>
    <col min="4" max="4" width="9.25390625" style="2" customWidth="1"/>
    <col min="5" max="5" width="8.125" style="2" bestFit="1" customWidth="1"/>
    <col min="6" max="8" width="9.00390625" style="2" customWidth="1"/>
    <col min="9" max="9" width="12.25390625" style="2" customWidth="1"/>
    <col min="10" max="10" width="7.875" style="2" customWidth="1"/>
    <col min="11" max="14" width="9.00390625" style="2" customWidth="1"/>
    <col min="15" max="16" width="12.25390625" style="2" customWidth="1"/>
    <col min="17" max="16384" width="9.00390625" style="2" customWidth="1"/>
  </cols>
  <sheetData>
    <row r="1" spans="1:8" ht="18" customHeight="1">
      <c r="A1" s="1" t="s">
        <v>77</v>
      </c>
      <c r="F1" s="2" t="s">
        <v>67</v>
      </c>
      <c r="H1" s="2" t="s">
        <v>78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1" s="5" customFormat="1" ht="18" customHeight="1">
      <c r="A3" s="4"/>
      <c r="B3" s="38" t="s">
        <v>0</v>
      </c>
      <c r="C3" s="39"/>
      <c r="D3" s="38" t="s">
        <v>1</v>
      </c>
      <c r="E3" s="39"/>
      <c r="F3" s="38" t="s">
        <v>2</v>
      </c>
      <c r="G3" s="39"/>
      <c r="H3" s="38" t="s">
        <v>3</v>
      </c>
      <c r="I3" s="39"/>
      <c r="J3" s="40" t="s">
        <v>73</v>
      </c>
      <c r="K3" s="41"/>
    </row>
    <row r="4" spans="1:11" s="8" customFormat="1" ht="18" customHeight="1">
      <c r="A4" s="6" t="s">
        <v>4</v>
      </c>
      <c r="B4" s="7" t="s">
        <v>5</v>
      </c>
      <c r="C4" s="7" t="s">
        <v>6</v>
      </c>
      <c r="D4" s="7" t="s">
        <v>5</v>
      </c>
      <c r="E4" s="7" t="s">
        <v>6</v>
      </c>
      <c r="F4" s="7" t="s">
        <v>5</v>
      </c>
      <c r="G4" s="7" t="s">
        <v>6</v>
      </c>
      <c r="H4" s="7" t="s">
        <v>5</v>
      </c>
      <c r="I4" s="7" t="s">
        <v>6</v>
      </c>
      <c r="J4" s="27" t="s">
        <v>5</v>
      </c>
      <c r="K4" s="26" t="s">
        <v>6</v>
      </c>
    </row>
    <row r="5" spans="1:11" s="5" customFormat="1" ht="18" customHeight="1">
      <c r="A5" s="9" t="s">
        <v>7</v>
      </c>
      <c r="B5" s="32">
        <v>85</v>
      </c>
      <c r="C5" s="9">
        <f>June!C5+B5</f>
        <v>334</v>
      </c>
      <c r="D5" s="33"/>
      <c r="E5" s="9">
        <f>June!E5+D5</f>
        <v>2</v>
      </c>
      <c r="F5" s="35"/>
      <c r="G5" s="9">
        <f>June!G5+F5</f>
        <v>0</v>
      </c>
      <c r="H5" s="19"/>
      <c r="I5" s="9">
        <f>June!I5+H5</f>
        <v>0</v>
      </c>
      <c r="J5" s="24"/>
      <c r="K5" s="9">
        <f>June!K5+J5</f>
        <v>0</v>
      </c>
    </row>
    <row r="6" spans="1:11" s="5" customFormat="1" ht="18" customHeight="1">
      <c r="A6" s="9" t="s">
        <v>8</v>
      </c>
      <c r="B6" s="32"/>
      <c r="C6" s="9">
        <f>June!C6+B6</f>
        <v>0</v>
      </c>
      <c r="D6" s="33"/>
      <c r="E6" s="9">
        <f>June!E6+D6</f>
        <v>0</v>
      </c>
      <c r="F6" s="35"/>
      <c r="G6" s="9">
        <f>June!G6+F6</f>
        <v>0</v>
      </c>
      <c r="H6" s="19"/>
      <c r="I6" s="9">
        <f>June!I6+H6</f>
        <v>0</v>
      </c>
      <c r="J6" s="24"/>
      <c r="K6" s="9">
        <f>June!K6+J6</f>
        <v>0</v>
      </c>
    </row>
    <row r="7" spans="1:11" s="5" customFormat="1" ht="18" customHeight="1">
      <c r="A7" s="9" t="s">
        <v>9</v>
      </c>
      <c r="B7" s="32"/>
      <c r="C7" s="9">
        <f>June!C7+B7</f>
        <v>497</v>
      </c>
      <c r="D7" s="33"/>
      <c r="E7" s="9">
        <f>June!E7+D7</f>
        <v>1</v>
      </c>
      <c r="F7" s="35"/>
      <c r="G7" s="9">
        <f>June!G7+F7</f>
        <v>145</v>
      </c>
      <c r="H7" s="19"/>
      <c r="I7" s="9">
        <f>June!I7+H7</f>
        <v>0</v>
      </c>
      <c r="J7" s="24"/>
      <c r="K7" s="9">
        <f>June!K7+J7</f>
        <v>0</v>
      </c>
    </row>
    <row r="8" spans="1:11" s="5" customFormat="1" ht="18" customHeight="1">
      <c r="A8" s="9" t="s">
        <v>10</v>
      </c>
      <c r="B8" s="32">
        <f>722+65</f>
        <v>787</v>
      </c>
      <c r="C8" s="9">
        <f>June!C8+B8</f>
        <v>2750</v>
      </c>
      <c r="D8" s="33">
        <v>10</v>
      </c>
      <c r="E8" s="9">
        <f>June!E8+D8</f>
        <v>66</v>
      </c>
      <c r="F8" s="35"/>
      <c r="G8" s="9">
        <f>June!G8+F8</f>
        <v>227</v>
      </c>
      <c r="H8" s="19"/>
      <c r="I8" s="9">
        <f>June!I8+H8</f>
        <v>0</v>
      </c>
      <c r="J8" s="24"/>
      <c r="K8" s="9">
        <f>June!K8+J8</f>
        <v>0</v>
      </c>
    </row>
    <row r="9" spans="1:11" s="5" customFormat="1" ht="18" customHeight="1">
      <c r="A9" s="9" t="s">
        <v>11</v>
      </c>
      <c r="B9" s="32">
        <f>272+100</f>
        <v>372</v>
      </c>
      <c r="C9" s="9">
        <f>June!C9+B9</f>
        <v>1985</v>
      </c>
      <c r="D9" s="33"/>
      <c r="E9" s="9">
        <f>June!E9+D9</f>
        <v>7</v>
      </c>
      <c r="F9" s="35"/>
      <c r="G9" s="9">
        <f>June!G9+F9</f>
        <v>1284</v>
      </c>
      <c r="H9" s="19"/>
      <c r="I9" s="9">
        <f>June!I9+H9</f>
        <v>0</v>
      </c>
      <c r="J9" s="24"/>
      <c r="K9" s="9">
        <f>June!K9+J9</f>
        <v>0</v>
      </c>
    </row>
    <row r="10" spans="1:11" s="5" customFormat="1" ht="18" customHeight="1">
      <c r="A10" s="9" t="s">
        <v>12</v>
      </c>
      <c r="B10" s="32">
        <v>750</v>
      </c>
      <c r="C10" s="9">
        <f>June!C10+B10</f>
        <v>7696</v>
      </c>
      <c r="D10" s="33">
        <v>2</v>
      </c>
      <c r="E10" s="9">
        <f>June!E10+D10</f>
        <v>119</v>
      </c>
      <c r="F10" s="35">
        <v>9</v>
      </c>
      <c r="G10" s="9">
        <f>June!G10+F10</f>
        <v>142</v>
      </c>
      <c r="H10" s="19"/>
      <c r="I10" s="9">
        <f>June!I10+H10</f>
        <v>0</v>
      </c>
      <c r="J10" s="24"/>
      <c r="K10" s="9">
        <f>June!K10+J10</f>
        <v>198</v>
      </c>
    </row>
    <row r="11" spans="1:11" s="5" customFormat="1" ht="18" customHeight="1">
      <c r="A11" s="9" t="s">
        <v>13</v>
      </c>
      <c r="B11" s="32">
        <v>2426</v>
      </c>
      <c r="C11" s="9">
        <f>June!C11+B11</f>
        <v>4298</v>
      </c>
      <c r="D11" s="33">
        <v>5</v>
      </c>
      <c r="E11" s="9">
        <f>June!E11+D11</f>
        <v>103</v>
      </c>
      <c r="F11" s="35">
        <v>87</v>
      </c>
      <c r="G11" s="9">
        <f>June!G11+F11</f>
        <v>170</v>
      </c>
      <c r="H11" s="19"/>
      <c r="I11" s="9">
        <f>June!I11+H11</f>
        <v>0</v>
      </c>
      <c r="J11" s="24"/>
      <c r="K11" s="9">
        <f>June!K11+J11</f>
        <v>0</v>
      </c>
    </row>
    <row r="12" spans="1:11" s="5" customFormat="1" ht="18" customHeight="1">
      <c r="A12" s="9" t="s">
        <v>14</v>
      </c>
      <c r="B12" s="32"/>
      <c r="C12" s="9">
        <f>June!C12+B12</f>
        <v>0</v>
      </c>
      <c r="D12" s="33">
        <v>4</v>
      </c>
      <c r="E12" s="9">
        <f>June!E12+D12</f>
        <v>4</v>
      </c>
      <c r="F12" s="35"/>
      <c r="G12" s="9">
        <f>June!G12+F12</f>
        <v>4</v>
      </c>
      <c r="H12" s="19"/>
      <c r="I12" s="9">
        <f>June!I12+H12</f>
        <v>0</v>
      </c>
      <c r="J12" s="24"/>
      <c r="K12" s="9">
        <f>June!K12+J12</f>
        <v>0</v>
      </c>
    </row>
    <row r="13" spans="1:11" s="5" customFormat="1" ht="18" customHeight="1">
      <c r="A13" s="9" t="s">
        <v>15</v>
      </c>
      <c r="B13" s="32"/>
      <c r="C13" s="9">
        <f>June!C13+B13</f>
        <v>0</v>
      </c>
      <c r="D13" s="33"/>
      <c r="E13" s="9">
        <f>June!E13+D13</f>
        <v>0</v>
      </c>
      <c r="F13" s="35"/>
      <c r="G13" s="9">
        <f>June!G13+F13</f>
        <v>0</v>
      </c>
      <c r="H13" s="19"/>
      <c r="I13" s="9">
        <f>June!I13+H13</f>
        <v>0</v>
      </c>
      <c r="J13" s="24"/>
      <c r="K13" s="9">
        <f>June!K13+J13</f>
        <v>0</v>
      </c>
    </row>
    <row r="14" spans="1:11" s="5" customFormat="1" ht="18" customHeight="1">
      <c r="A14" s="9" t="s">
        <v>16</v>
      </c>
      <c r="B14" s="32">
        <v>1296</v>
      </c>
      <c r="C14" s="9">
        <f>June!C14+B14</f>
        <v>4089</v>
      </c>
      <c r="D14" s="33"/>
      <c r="E14" s="9">
        <f>June!E14+D14</f>
        <v>0</v>
      </c>
      <c r="F14" s="35"/>
      <c r="G14" s="9">
        <f>June!G14+F14</f>
        <v>2</v>
      </c>
      <c r="H14" s="19"/>
      <c r="I14" s="9">
        <f>June!I14+H14</f>
        <v>0</v>
      </c>
      <c r="J14" s="24"/>
      <c r="K14" s="9">
        <f>June!K14+J14</f>
        <v>0</v>
      </c>
    </row>
    <row r="15" spans="1:11" s="5" customFormat="1" ht="18" customHeight="1">
      <c r="A15" s="9" t="s">
        <v>17</v>
      </c>
      <c r="B15" s="32">
        <v>461</v>
      </c>
      <c r="C15" s="9">
        <f>June!C15+B15</f>
        <v>1643</v>
      </c>
      <c r="D15" s="33"/>
      <c r="E15" s="9">
        <f>June!E15+D15</f>
        <v>1</v>
      </c>
      <c r="F15" s="35"/>
      <c r="G15" s="9">
        <f>June!G15+F15</f>
        <v>0</v>
      </c>
      <c r="H15" s="19"/>
      <c r="I15" s="9">
        <f>June!I15+H15</f>
        <v>0</v>
      </c>
      <c r="J15" s="24"/>
      <c r="K15" s="9">
        <f>June!K15+J15</f>
        <v>0</v>
      </c>
    </row>
    <row r="16" spans="1:11" s="5" customFormat="1" ht="18" customHeight="1">
      <c r="A16" s="9" t="s">
        <v>18</v>
      </c>
      <c r="B16" s="32"/>
      <c r="C16" s="9">
        <f>June!C16+B16</f>
        <v>0</v>
      </c>
      <c r="D16" s="33"/>
      <c r="E16" s="9">
        <f>June!E16+D16</f>
        <v>0</v>
      </c>
      <c r="F16" s="35"/>
      <c r="G16" s="9">
        <f>June!G16+F16</f>
        <v>0</v>
      </c>
      <c r="H16" s="19"/>
      <c r="I16" s="9">
        <f>June!I16+H16</f>
        <v>0</v>
      </c>
      <c r="J16" s="24"/>
      <c r="K16" s="9">
        <f>June!K16+J16</f>
        <v>0</v>
      </c>
    </row>
    <row r="17" spans="1:11" s="5" customFormat="1" ht="18" customHeight="1">
      <c r="A17" s="9" t="s">
        <v>19</v>
      </c>
      <c r="B17" s="32">
        <v>604</v>
      </c>
      <c r="C17" s="9">
        <f>June!C17+B17</f>
        <v>1523</v>
      </c>
      <c r="D17" s="33">
        <v>4</v>
      </c>
      <c r="E17" s="9">
        <f>June!E17+D17</f>
        <v>520</v>
      </c>
      <c r="F17" s="35">
        <v>2</v>
      </c>
      <c r="G17" s="9">
        <f>June!G17+F17</f>
        <v>193</v>
      </c>
      <c r="H17" s="19"/>
      <c r="I17" s="9">
        <f>June!I17+H17</f>
        <v>0</v>
      </c>
      <c r="J17" s="24"/>
      <c r="K17" s="9">
        <f>June!K17+J17</f>
        <v>0</v>
      </c>
    </row>
    <row r="18" spans="1:11" s="5" customFormat="1" ht="18" customHeight="1">
      <c r="A18" s="9" t="s">
        <v>20</v>
      </c>
      <c r="B18" s="32">
        <f>220+507</f>
        <v>727</v>
      </c>
      <c r="C18" s="9">
        <f>June!C18+B18</f>
        <v>3306</v>
      </c>
      <c r="D18" s="33">
        <f>67+34</f>
        <v>101</v>
      </c>
      <c r="E18" s="9">
        <f>June!E18+D18</f>
        <v>656</v>
      </c>
      <c r="F18" s="35">
        <v>81</v>
      </c>
      <c r="G18" s="9">
        <f>June!G18+F18</f>
        <v>609</v>
      </c>
      <c r="H18" s="19"/>
      <c r="I18" s="9">
        <f>June!I18+H18</f>
        <v>0</v>
      </c>
      <c r="J18" s="24"/>
      <c r="K18" s="9">
        <f>June!K18+J18</f>
        <v>0</v>
      </c>
    </row>
    <row r="19" spans="1:11" s="5" customFormat="1" ht="18" customHeight="1">
      <c r="A19" s="9" t="s">
        <v>21</v>
      </c>
      <c r="B19" s="32">
        <f>2089+1940</f>
        <v>4029</v>
      </c>
      <c r="C19" s="9">
        <f>June!C19+B19</f>
        <v>23582</v>
      </c>
      <c r="D19" s="33">
        <f>24+11</f>
        <v>35</v>
      </c>
      <c r="E19" s="9">
        <f>June!E19+D19</f>
        <v>79</v>
      </c>
      <c r="F19" s="35">
        <v>270</v>
      </c>
      <c r="G19" s="9">
        <f>June!G19+F19</f>
        <v>5568</v>
      </c>
      <c r="H19" s="19"/>
      <c r="I19" s="9">
        <f>June!I19+H19</f>
        <v>0</v>
      </c>
      <c r="J19" s="24"/>
      <c r="K19" s="9">
        <f>June!K19+J19</f>
        <v>0</v>
      </c>
    </row>
    <row r="20" spans="1:11" s="5" customFormat="1" ht="18" customHeight="1">
      <c r="A20" s="9" t="s">
        <v>22</v>
      </c>
      <c r="B20" s="32">
        <v>2402</v>
      </c>
      <c r="C20" s="9">
        <f>June!C20+B20</f>
        <v>23362</v>
      </c>
      <c r="D20" s="33">
        <f>39+4</f>
        <v>43</v>
      </c>
      <c r="E20" s="9">
        <f>June!E20+D20</f>
        <v>1061</v>
      </c>
      <c r="F20" s="35"/>
      <c r="G20" s="9">
        <f>June!G20+F20</f>
        <v>864</v>
      </c>
      <c r="H20" s="19"/>
      <c r="I20" s="9">
        <f>June!I20+H20</f>
        <v>0</v>
      </c>
      <c r="J20" s="24"/>
      <c r="K20" s="9">
        <f>June!K20+J20</f>
        <v>0</v>
      </c>
    </row>
    <row r="21" spans="1:11" s="5" customFormat="1" ht="18" customHeight="1">
      <c r="A21" s="9" t="s">
        <v>23</v>
      </c>
      <c r="B21" s="32">
        <v>4689</v>
      </c>
      <c r="C21" s="9">
        <f>June!C21+B21</f>
        <v>34058</v>
      </c>
      <c r="D21" s="33">
        <v>15</v>
      </c>
      <c r="E21" s="9">
        <f>June!E21+D21</f>
        <v>1558</v>
      </c>
      <c r="F21" s="35"/>
      <c r="G21" s="9">
        <f>June!G21+F21</f>
        <v>230</v>
      </c>
      <c r="H21" s="19"/>
      <c r="I21" s="9">
        <f>June!I21+H21</f>
        <v>0</v>
      </c>
      <c r="J21" s="24"/>
      <c r="K21" s="9">
        <f>June!K21+J21</f>
        <v>0</v>
      </c>
    </row>
    <row r="22" spans="1:11" s="5" customFormat="1" ht="18" customHeight="1">
      <c r="A22" s="9" t="s">
        <v>24</v>
      </c>
      <c r="B22" s="32"/>
      <c r="C22" s="9">
        <f>June!C22+B22</f>
        <v>0</v>
      </c>
      <c r="D22" s="33"/>
      <c r="E22" s="9">
        <f>June!E22+D22</f>
        <v>0</v>
      </c>
      <c r="F22" s="35"/>
      <c r="G22" s="9">
        <f>June!G22+F22</f>
        <v>0</v>
      </c>
      <c r="H22" s="19"/>
      <c r="I22" s="9">
        <f>June!I22+H22</f>
        <v>0</v>
      </c>
      <c r="J22" s="24"/>
      <c r="K22" s="9">
        <f>June!K22+J22</f>
        <v>0</v>
      </c>
    </row>
    <row r="23" spans="1:11" s="5" customFormat="1" ht="18" customHeight="1">
      <c r="A23" s="9" t="s">
        <v>25</v>
      </c>
      <c r="B23" s="32"/>
      <c r="C23" s="9">
        <f>June!C23+B23</f>
        <v>0</v>
      </c>
      <c r="D23" s="33"/>
      <c r="E23" s="9">
        <f>June!E23+D23</f>
        <v>0</v>
      </c>
      <c r="F23" s="35"/>
      <c r="G23" s="9">
        <f>June!G23+F23</f>
        <v>0</v>
      </c>
      <c r="H23" s="19"/>
      <c r="I23" s="9">
        <f>June!I23+H23</f>
        <v>0</v>
      </c>
      <c r="J23" s="24"/>
      <c r="K23" s="9">
        <f>June!K23+J23</f>
        <v>0</v>
      </c>
    </row>
    <row r="24" spans="1:11" s="5" customFormat="1" ht="18" customHeight="1">
      <c r="A24" s="9" t="s">
        <v>26</v>
      </c>
      <c r="B24" s="32"/>
      <c r="C24" s="9">
        <f>June!C24+B24</f>
        <v>0</v>
      </c>
      <c r="D24" s="33"/>
      <c r="E24" s="9">
        <f>June!E24+D24</f>
        <v>1</v>
      </c>
      <c r="F24" s="35"/>
      <c r="G24" s="9">
        <f>June!G24+F24</f>
        <v>2</v>
      </c>
      <c r="H24" s="19"/>
      <c r="I24" s="9">
        <f>June!I24+H24</f>
        <v>0</v>
      </c>
      <c r="J24" s="24"/>
      <c r="K24" s="9">
        <f>June!K24+J24</f>
        <v>0</v>
      </c>
    </row>
    <row r="25" spans="1:11" s="5" customFormat="1" ht="18" customHeight="1">
      <c r="A25" s="9" t="s">
        <v>27</v>
      </c>
      <c r="B25" s="32"/>
      <c r="C25" s="9">
        <f>June!C25+B25</f>
        <v>0</v>
      </c>
      <c r="D25" s="33"/>
      <c r="E25" s="9">
        <f>June!E25+D25</f>
        <v>0</v>
      </c>
      <c r="F25" s="35"/>
      <c r="G25" s="9">
        <f>June!G25+F25</f>
        <v>0</v>
      </c>
      <c r="H25" s="19"/>
      <c r="I25" s="9">
        <f>June!I25+H25</f>
        <v>0</v>
      </c>
      <c r="J25" s="24"/>
      <c r="K25" s="9">
        <f>June!K25+J25</f>
        <v>0</v>
      </c>
    </row>
    <row r="26" spans="1:11" s="5" customFormat="1" ht="18" customHeight="1">
      <c r="A26" s="9" t="s">
        <v>28</v>
      </c>
      <c r="B26" s="32">
        <f>3921+148</f>
        <v>4069</v>
      </c>
      <c r="C26" s="9">
        <f>June!C26+B26</f>
        <v>23107</v>
      </c>
      <c r="D26" s="33">
        <v>3</v>
      </c>
      <c r="E26" s="9">
        <f>June!E26+D26</f>
        <v>64</v>
      </c>
      <c r="F26" s="35">
        <v>1</v>
      </c>
      <c r="G26" s="9">
        <f>June!G26+F26</f>
        <v>37</v>
      </c>
      <c r="H26" s="19"/>
      <c r="I26" s="9">
        <f>June!I26+H26</f>
        <v>0</v>
      </c>
      <c r="J26" s="24"/>
      <c r="K26" s="9">
        <f>June!K26+J26</f>
        <v>0</v>
      </c>
    </row>
    <row r="27" spans="1:11" s="5" customFormat="1" ht="18" customHeight="1">
      <c r="A27" s="9" t="s">
        <v>29</v>
      </c>
      <c r="B27" s="32">
        <f>1685+125</f>
        <v>1810</v>
      </c>
      <c r="C27" s="9">
        <f>June!C27+B27</f>
        <v>16424</v>
      </c>
      <c r="D27" s="33">
        <f>64+11</f>
        <v>75</v>
      </c>
      <c r="E27" s="9">
        <f>June!E27+D27</f>
        <v>811</v>
      </c>
      <c r="F27" s="35">
        <f>140+34</f>
        <v>174</v>
      </c>
      <c r="G27" s="9">
        <f>June!G27+F27</f>
        <v>4014</v>
      </c>
      <c r="H27" s="19"/>
      <c r="I27" s="9">
        <f>June!I27+H27</f>
        <v>0</v>
      </c>
      <c r="J27" s="24"/>
      <c r="K27" s="9">
        <f>June!K27+J27</f>
        <v>0</v>
      </c>
    </row>
    <row r="28" spans="1:11" s="5" customFormat="1" ht="18" customHeight="1">
      <c r="A28" s="9" t="s">
        <v>30</v>
      </c>
      <c r="B28" s="32"/>
      <c r="C28" s="9">
        <f>June!C28+B28</f>
        <v>617</v>
      </c>
      <c r="D28" s="33">
        <v>2</v>
      </c>
      <c r="E28" s="9">
        <f>June!E28+D28</f>
        <v>7</v>
      </c>
      <c r="F28" s="35"/>
      <c r="G28" s="9">
        <f>June!G28+F28</f>
        <v>0</v>
      </c>
      <c r="H28" s="19"/>
      <c r="I28" s="9">
        <f>June!I28+H28</f>
        <v>0</v>
      </c>
      <c r="J28" s="24"/>
      <c r="K28" s="9">
        <f>June!K28+J28</f>
        <v>0</v>
      </c>
    </row>
    <row r="29" spans="1:11" s="5" customFormat="1" ht="18" customHeight="1">
      <c r="A29" s="9" t="s">
        <v>31</v>
      </c>
      <c r="B29" s="32">
        <v>13543</v>
      </c>
      <c r="C29" s="9">
        <f>June!C29+B29</f>
        <v>61099</v>
      </c>
      <c r="D29" s="33">
        <v>53</v>
      </c>
      <c r="E29" s="9">
        <f>June!E29+D29</f>
        <v>1217</v>
      </c>
      <c r="F29" s="35">
        <v>2</v>
      </c>
      <c r="G29" s="9">
        <f>June!G29+F29</f>
        <v>2037</v>
      </c>
      <c r="H29" s="19"/>
      <c r="I29" s="9">
        <f>June!I29+H29</f>
        <v>0</v>
      </c>
      <c r="J29" s="24"/>
      <c r="K29" s="9">
        <f>June!K29+J29</f>
        <v>58</v>
      </c>
    </row>
    <row r="30" spans="1:11" s="5" customFormat="1" ht="18" customHeight="1">
      <c r="A30" s="9" t="s">
        <v>32</v>
      </c>
      <c r="B30" s="32">
        <f>866+772</f>
        <v>1638</v>
      </c>
      <c r="C30" s="9">
        <f>June!C30+B30</f>
        <v>34157</v>
      </c>
      <c r="D30" s="33">
        <f>602+159</f>
        <v>761</v>
      </c>
      <c r="E30" s="9">
        <f>June!E30+D30</f>
        <v>8378</v>
      </c>
      <c r="F30" s="35"/>
      <c r="G30" s="9">
        <f>June!G30+F30</f>
        <v>220</v>
      </c>
      <c r="H30" s="19"/>
      <c r="I30" s="9">
        <f>June!I30+H30</f>
        <v>0</v>
      </c>
      <c r="J30" s="24"/>
      <c r="K30" s="9">
        <f>June!K30+J30</f>
        <v>0</v>
      </c>
    </row>
    <row r="31" spans="1:11" s="5" customFormat="1" ht="18" customHeight="1">
      <c r="A31" s="9" t="s">
        <v>33</v>
      </c>
      <c r="B31" s="32">
        <v>4904</v>
      </c>
      <c r="C31" s="9">
        <f>June!C31+B31</f>
        <v>30916</v>
      </c>
      <c r="D31" s="33">
        <f>245+3</f>
        <v>248</v>
      </c>
      <c r="E31" s="9">
        <f>June!E31+D31</f>
        <v>5147</v>
      </c>
      <c r="F31" s="35">
        <f>50+154</f>
        <v>204</v>
      </c>
      <c r="G31" s="9">
        <f>June!G31+F31</f>
        <v>1383</v>
      </c>
      <c r="H31" s="19"/>
      <c r="I31" s="9">
        <f>June!I31+H31</f>
        <v>0</v>
      </c>
      <c r="J31" s="24"/>
      <c r="K31" s="9">
        <f>June!K31+J31</f>
        <v>0</v>
      </c>
    </row>
    <row r="32" spans="1:11" s="5" customFormat="1" ht="18" customHeight="1">
      <c r="A32" s="9" t="s">
        <v>34</v>
      </c>
      <c r="B32" s="32"/>
      <c r="C32" s="9">
        <f>June!C32+B32</f>
        <v>0</v>
      </c>
      <c r="D32" s="33"/>
      <c r="E32" s="9">
        <f>June!E32+D32</f>
        <v>0</v>
      </c>
      <c r="F32" s="35"/>
      <c r="G32" s="9">
        <f>June!G32+F32</f>
        <v>0</v>
      </c>
      <c r="H32" s="19"/>
      <c r="I32" s="9">
        <f>June!I32+H32</f>
        <v>0</v>
      </c>
      <c r="J32" s="24"/>
      <c r="K32" s="9">
        <f>June!K32+J32</f>
        <v>0</v>
      </c>
    </row>
    <row r="33" spans="1:11" s="5" customFormat="1" ht="18" customHeight="1">
      <c r="A33" s="9" t="s">
        <v>35</v>
      </c>
      <c r="B33" s="32"/>
      <c r="C33" s="9">
        <f>June!C33+B33</f>
        <v>0</v>
      </c>
      <c r="D33" s="33"/>
      <c r="E33" s="9">
        <f>June!E33+D33</f>
        <v>0</v>
      </c>
      <c r="F33" s="35"/>
      <c r="G33" s="9">
        <f>June!G33+F33</f>
        <v>0</v>
      </c>
      <c r="H33" s="19"/>
      <c r="I33" s="9">
        <f>June!I33+H33</f>
        <v>0</v>
      </c>
      <c r="J33" s="24"/>
      <c r="K33" s="9">
        <f>June!K33+J33</f>
        <v>0</v>
      </c>
    </row>
    <row r="34" spans="1:11" s="5" customFormat="1" ht="18" customHeight="1">
      <c r="A34" s="9" t="s">
        <v>36</v>
      </c>
      <c r="B34" s="32"/>
      <c r="C34" s="9">
        <f>June!C34+B34</f>
        <v>0</v>
      </c>
      <c r="D34" s="33"/>
      <c r="E34" s="9">
        <f>June!E34+D34</f>
        <v>0</v>
      </c>
      <c r="F34" s="35"/>
      <c r="G34" s="9">
        <f>June!G34+F34</f>
        <v>0</v>
      </c>
      <c r="H34" s="19"/>
      <c r="I34" s="9">
        <f>June!I34+H34</f>
        <v>0</v>
      </c>
      <c r="J34" s="24"/>
      <c r="K34" s="9">
        <f>June!K34+J34</f>
        <v>0</v>
      </c>
    </row>
    <row r="35" spans="1:11" s="5" customFormat="1" ht="18" customHeight="1">
      <c r="A35" s="9" t="s">
        <v>37</v>
      </c>
      <c r="B35" s="32">
        <f>180+450</f>
        <v>630</v>
      </c>
      <c r="C35" s="9">
        <f>June!C35+B35</f>
        <v>3022</v>
      </c>
      <c r="D35" s="33"/>
      <c r="E35" s="9">
        <f>June!E35+D35</f>
        <v>25</v>
      </c>
      <c r="F35" s="35"/>
      <c r="G35" s="9">
        <f>June!G35+F35</f>
        <v>832</v>
      </c>
      <c r="H35" s="19"/>
      <c r="I35" s="9">
        <f>June!I35+H35</f>
        <v>0</v>
      </c>
      <c r="J35" s="24"/>
      <c r="K35" s="9">
        <f>June!K35+J35</f>
        <v>0</v>
      </c>
    </row>
    <row r="36" spans="1:11" s="5" customFormat="1" ht="18" customHeight="1">
      <c r="A36" s="9" t="s">
        <v>38</v>
      </c>
      <c r="B36" s="32"/>
      <c r="C36" s="9">
        <f>June!C36+B36</f>
        <v>239</v>
      </c>
      <c r="D36" s="33"/>
      <c r="E36" s="9">
        <f>June!E36+D36</f>
        <v>0</v>
      </c>
      <c r="F36" s="35">
        <v>411</v>
      </c>
      <c r="G36" s="9">
        <f>June!G36+F36</f>
        <v>1814</v>
      </c>
      <c r="H36" s="19"/>
      <c r="I36" s="9">
        <f>June!I36+H36</f>
        <v>0</v>
      </c>
      <c r="J36" s="24"/>
      <c r="K36" s="9">
        <f>June!K36+J36</f>
        <v>0</v>
      </c>
    </row>
    <row r="37" spans="1:11" s="5" customFormat="1" ht="18" customHeight="1">
      <c r="A37" s="9" t="s">
        <v>39</v>
      </c>
      <c r="B37" s="32">
        <v>64</v>
      </c>
      <c r="C37" s="9">
        <f>June!C37+B37</f>
        <v>215</v>
      </c>
      <c r="D37" s="33"/>
      <c r="E37" s="9">
        <f>June!E37+D37</f>
        <v>299</v>
      </c>
      <c r="F37" s="35"/>
      <c r="G37" s="9">
        <f>June!G37+F37</f>
        <v>0</v>
      </c>
      <c r="H37" s="19"/>
      <c r="I37" s="9">
        <f>June!I37+H37</f>
        <v>0</v>
      </c>
      <c r="J37" s="24"/>
      <c r="K37" s="9">
        <f>June!K37+J37</f>
        <v>0</v>
      </c>
    </row>
    <row r="38" spans="1:11" s="5" customFormat="1" ht="18" customHeight="1">
      <c r="A38" s="9" t="s">
        <v>40</v>
      </c>
      <c r="B38" s="32">
        <v>1531</v>
      </c>
      <c r="C38" s="9">
        <f>June!C38+B38</f>
        <v>40939</v>
      </c>
      <c r="D38" s="33"/>
      <c r="E38" s="9">
        <f>June!E38+D38</f>
        <v>407</v>
      </c>
      <c r="F38" s="35"/>
      <c r="G38" s="9">
        <f>June!G38+F38</f>
        <v>190</v>
      </c>
      <c r="H38" s="19"/>
      <c r="I38" s="9">
        <f>June!I38+H38</f>
        <v>0</v>
      </c>
      <c r="J38" s="24"/>
      <c r="K38" s="9">
        <f>June!K38+J38</f>
        <v>0</v>
      </c>
    </row>
    <row r="39" spans="1:11" s="5" customFormat="1" ht="18" customHeight="1">
      <c r="A39" s="9" t="s">
        <v>41</v>
      </c>
      <c r="B39" s="32">
        <v>161</v>
      </c>
      <c r="C39" s="9">
        <f>June!C39+B39</f>
        <v>7695</v>
      </c>
      <c r="D39" s="33">
        <v>11</v>
      </c>
      <c r="E39" s="9">
        <f>June!E39+D39</f>
        <v>22</v>
      </c>
      <c r="F39" s="35">
        <v>10</v>
      </c>
      <c r="G39" s="9">
        <f>June!G39+F39</f>
        <v>284</v>
      </c>
      <c r="H39" s="19"/>
      <c r="I39" s="9">
        <f>June!I39+H39</f>
        <v>0</v>
      </c>
      <c r="J39" s="24"/>
      <c r="K39" s="9">
        <f>June!K39+J39</f>
        <v>0</v>
      </c>
    </row>
    <row r="40" spans="1:11" s="5" customFormat="1" ht="18" customHeight="1">
      <c r="A40" s="9" t="s">
        <v>42</v>
      </c>
      <c r="B40" s="32">
        <f>756+861</f>
        <v>1617</v>
      </c>
      <c r="C40" s="9">
        <f>June!C40+B40</f>
        <v>6443</v>
      </c>
      <c r="D40" s="33">
        <f>20+5</f>
        <v>25</v>
      </c>
      <c r="E40" s="9">
        <f>June!E40+D40</f>
        <v>617</v>
      </c>
      <c r="F40" s="35"/>
      <c r="G40" s="9">
        <f>June!G40+F40</f>
        <v>0</v>
      </c>
      <c r="H40" s="19"/>
      <c r="I40" s="9">
        <f>June!I40+H40</f>
        <v>0</v>
      </c>
      <c r="J40" s="24"/>
      <c r="K40" s="9">
        <f>June!K40+J40</f>
        <v>0</v>
      </c>
    </row>
    <row r="41" spans="1:11" s="5" customFormat="1" ht="18" customHeight="1">
      <c r="A41" s="9" t="s">
        <v>43</v>
      </c>
      <c r="B41" s="32"/>
      <c r="C41" s="9">
        <f>June!C41+B41</f>
        <v>0</v>
      </c>
      <c r="D41" s="33"/>
      <c r="E41" s="9">
        <f>June!E41+D41</f>
        <v>2</v>
      </c>
      <c r="F41" s="35"/>
      <c r="G41" s="9">
        <f>June!G41+F41</f>
        <v>0</v>
      </c>
      <c r="H41" s="19"/>
      <c r="I41" s="9">
        <f>June!I41+H41</f>
        <v>0</v>
      </c>
      <c r="J41" s="24"/>
      <c r="K41" s="9">
        <f>June!K41+J41</f>
        <v>0</v>
      </c>
    </row>
    <row r="42" spans="1:11" s="5" customFormat="1" ht="18" customHeight="1">
      <c r="A42" s="9" t="s">
        <v>44</v>
      </c>
      <c r="B42" s="32"/>
      <c r="C42" s="9">
        <f>June!C42+B42</f>
        <v>1196</v>
      </c>
      <c r="D42" s="33"/>
      <c r="E42" s="9">
        <f>June!E42+D42</f>
        <v>10</v>
      </c>
      <c r="F42" s="35">
        <v>236</v>
      </c>
      <c r="G42" s="9">
        <f>June!G42+F42</f>
        <v>833</v>
      </c>
      <c r="H42" s="19"/>
      <c r="I42" s="9">
        <f>June!I42+H42</f>
        <v>0</v>
      </c>
      <c r="J42" s="24"/>
      <c r="K42" s="9">
        <f>June!K42+J42</f>
        <v>0</v>
      </c>
    </row>
    <row r="43" spans="1:11" s="5" customFormat="1" ht="18" customHeight="1">
      <c r="A43" s="9" t="s">
        <v>45</v>
      </c>
      <c r="B43" s="32"/>
      <c r="C43" s="9">
        <f>June!C43+B43</f>
        <v>0</v>
      </c>
      <c r="D43" s="33"/>
      <c r="E43" s="9">
        <f>June!E43+D43</f>
        <v>0</v>
      </c>
      <c r="F43" s="35"/>
      <c r="G43" s="9">
        <f>June!G43+F43</f>
        <v>0</v>
      </c>
      <c r="H43" s="19"/>
      <c r="I43" s="9">
        <f>June!I43+H43</f>
        <v>0</v>
      </c>
      <c r="J43" s="24"/>
      <c r="K43" s="9">
        <f>June!K43+J43</f>
        <v>0</v>
      </c>
    </row>
    <row r="44" spans="1:11" s="5" customFormat="1" ht="18" customHeight="1">
      <c r="A44" s="9" t="s">
        <v>46</v>
      </c>
      <c r="B44" s="32"/>
      <c r="C44" s="9">
        <f>June!C44+B44</f>
        <v>93</v>
      </c>
      <c r="D44" s="33"/>
      <c r="E44" s="9">
        <f>June!E44+D44</f>
        <v>0</v>
      </c>
      <c r="F44" s="35"/>
      <c r="G44" s="9">
        <f>June!G44+F44</f>
        <v>14</v>
      </c>
      <c r="H44" s="19"/>
      <c r="I44" s="9">
        <f>June!I44+H44</f>
        <v>0</v>
      </c>
      <c r="J44" s="24"/>
      <c r="K44" s="9">
        <f>June!K44+J44</f>
        <v>0</v>
      </c>
    </row>
    <row r="45" spans="1:11" s="5" customFormat="1" ht="18" customHeight="1">
      <c r="A45" s="9" t="s">
        <v>47</v>
      </c>
      <c r="B45" s="32">
        <f>8933+1344</f>
        <v>10277</v>
      </c>
      <c r="C45" s="9">
        <f>June!C45+B45</f>
        <v>151321</v>
      </c>
      <c r="D45" s="33">
        <f>202+4</f>
        <v>206</v>
      </c>
      <c r="E45" s="9">
        <f>June!E45+D45</f>
        <v>5632</v>
      </c>
      <c r="F45" s="35">
        <f>41+9</f>
        <v>50</v>
      </c>
      <c r="G45" s="9">
        <f>June!G45+F45</f>
        <v>1261</v>
      </c>
      <c r="H45" s="19"/>
      <c r="I45" s="9">
        <f>June!I45+H45</f>
        <v>0</v>
      </c>
      <c r="J45" s="24"/>
      <c r="K45" s="9">
        <f>June!K45+J45</f>
        <v>0</v>
      </c>
    </row>
    <row r="46" spans="1:11" s="5" customFormat="1" ht="18" customHeight="1">
      <c r="A46" s="9" t="s">
        <v>48</v>
      </c>
      <c r="B46" s="32">
        <v>930</v>
      </c>
      <c r="C46" s="9">
        <f>June!C46+B46</f>
        <v>10131</v>
      </c>
      <c r="D46" s="33">
        <v>7</v>
      </c>
      <c r="E46" s="9">
        <f>June!E46+D46</f>
        <v>18</v>
      </c>
      <c r="F46" s="35">
        <v>77</v>
      </c>
      <c r="G46" s="9">
        <f>June!G46+F46</f>
        <v>197</v>
      </c>
      <c r="H46" s="19"/>
      <c r="I46" s="9">
        <f>June!I46+H46</f>
        <v>0</v>
      </c>
      <c r="J46" s="24"/>
      <c r="K46" s="9">
        <f>June!K46+J46</f>
        <v>0</v>
      </c>
    </row>
    <row r="47" spans="1:11" s="5" customFormat="1" ht="18" customHeight="1">
      <c r="A47" s="9" t="s">
        <v>49</v>
      </c>
      <c r="B47" s="32">
        <f>2226+1257</f>
        <v>3483</v>
      </c>
      <c r="C47" s="9">
        <f>June!C47+B47</f>
        <v>13916</v>
      </c>
      <c r="D47" s="33">
        <f>89+5</f>
        <v>94</v>
      </c>
      <c r="E47" s="9">
        <f>June!E47+D47</f>
        <v>124</v>
      </c>
      <c r="F47" s="35"/>
      <c r="G47" s="9">
        <f>June!G47+F47</f>
        <v>2132</v>
      </c>
      <c r="H47" s="19"/>
      <c r="I47" s="9">
        <f>June!I47+H47</f>
        <v>0</v>
      </c>
      <c r="J47" s="24"/>
      <c r="K47" s="9">
        <f>June!K47+J47</f>
        <v>3</v>
      </c>
    </row>
    <row r="48" spans="1:11" s="5" customFormat="1" ht="18" customHeight="1">
      <c r="A48" s="9" t="s">
        <v>50</v>
      </c>
      <c r="B48" s="32">
        <v>220</v>
      </c>
      <c r="C48" s="9">
        <f>June!C48+B48</f>
        <v>689</v>
      </c>
      <c r="D48" s="33"/>
      <c r="E48" s="9">
        <f>June!E48+D48</f>
        <v>6</v>
      </c>
      <c r="F48" s="35"/>
      <c r="G48" s="9">
        <f>June!G48+F48</f>
        <v>1715</v>
      </c>
      <c r="H48" s="19"/>
      <c r="I48" s="9">
        <f>June!I48+H48</f>
        <v>0</v>
      </c>
      <c r="J48" s="24"/>
      <c r="K48" s="9">
        <f>June!K48+J48</f>
        <v>0</v>
      </c>
    </row>
    <row r="49" spans="1:11" s="5" customFormat="1" ht="18" customHeight="1">
      <c r="A49" s="9" t="s">
        <v>51</v>
      </c>
      <c r="B49" s="32"/>
      <c r="C49" s="9">
        <f>June!C49+B49</f>
        <v>0</v>
      </c>
      <c r="D49" s="33"/>
      <c r="E49" s="9">
        <f>June!E49+D49</f>
        <v>0</v>
      </c>
      <c r="F49" s="35"/>
      <c r="G49" s="9">
        <f>June!G49+F49</f>
        <v>189</v>
      </c>
      <c r="H49" s="19"/>
      <c r="I49" s="9">
        <f>June!I49+H49</f>
        <v>0</v>
      </c>
      <c r="J49" s="24"/>
      <c r="K49" s="9">
        <f>June!K49+J49</f>
        <v>0</v>
      </c>
    </row>
    <row r="50" spans="1:11" s="5" customFormat="1" ht="18" customHeight="1">
      <c r="A50" s="9" t="s">
        <v>52</v>
      </c>
      <c r="B50" s="32"/>
      <c r="C50" s="9">
        <f>June!C50+B50</f>
        <v>62</v>
      </c>
      <c r="D50" s="33"/>
      <c r="E50" s="9">
        <f>June!E50+D50</f>
        <v>2</v>
      </c>
      <c r="F50" s="35"/>
      <c r="G50" s="9">
        <f>June!G50+F50</f>
        <v>0</v>
      </c>
      <c r="H50" s="19"/>
      <c r="I50" s="9">
        <f>June!I50+H50</f>
        <v>0</v>
      </c>
      <c r="J50" s="24"/>
      <c r="K50" s="9">
        <f>June!K50+J50</f>
        <v>0</v>
      </c>
    </row>
    <row r="51" spans="1:11" s="5" customFormat="1" ht="18" customHeight="1">
      <c r="A51" s="9" t="s">
        <v>53</v>
      </c>
      <c r="B51" s="32"/>
      <c r="C51" s="9">
        <f>June!C51+B51</f>
        <v>0</v>
      </c>
      <c r="D51" s="33">
        <v>6</v>
      </c>
      <c r="E51" s="9">
        <f>June!E51+D51</f>
        <v>6</v>
      </c>
      <c r="F51" s="35"/>
      <c r="G51" s="9">
        <f>June!G51+F51</f>
        <v>1</v>
      </c>
      <c r="H51" s="19"/>
      <c r="I51" s="9">
        <f>June!I51+H51</f>
        <v>0</v>
      </c>
      <c r="J51" s="24"/>
      <c r="K51" s="9">
        <f>June!K51+J51</f>
        <v>0</v>
      </c>
    </row>
    <row r="52" spans="1:11" s="5" customFormat="1" ht="18" customHeight="1">
      <c r="A52" s="9" t="s">
        <v>54</v>
      </c>
      <c r="B52" s="32">
        <v>336</v>
      </c>
      <c r="C52" s="9">
        <f>June!C52+B52</f>
        <v>612</v>
      </c>
      <c r="D52" s="33">
        <v>5</v>
      </c>
      <c r="E52" s="9">
        <f>June!E52+D52</f>
        <v>6</v>
      </c>
      <c r="F52" s="35"/>
      <c r="G52" s="9">
        <f>June!G52+F52</f>
        <v>0</v>
      </c>
      <c r="H52" s="19"/>
      <c r="I52" s="9">
        <f>June!I52+H52</f>
        <v>0</v>
      </c>
      <c r="J52" s="24"/>
      <c r="K52" s="9">
        <f>June!K52+J52</f>
        <v>0</v>
      </c>
    </row>
    <row r="53" spans="1:11" s="5" customFormat="1" ht="18" customHeight="1">
      <c r="A53" s="9" t="s">
        <v>55</v>
      </c>
      <c r="B53" s="32">
        <f>2202+1229</f>
        <v>3431</v>
      </c>
      <c r="C53" s="9">
        <f>June!C53+B53</f>
        <v>35972</v>
      </c>
      <c r="D53" s="33">
        <f>25+16</f>
        <v>41</v>
      </c>
      <c r="E53" s="9">
        <f>June!E53+D53</f>
        <v>1268</v>
      </c>
      <c r="F53" s="35">
        <f>692+334</f>
        <v>1026</v>
      </c>
      <c r="G53" s="9">
        <f>June!G53+F53</f>
        <v>7788</v>
      </c>
      <c r="H53" s="19"/>
      <c r="I53" s="9">
        <f>June!I53+H53</f>
        <v>0</v>
      </c>
      <c r="J53" s="24"/>
      <c r="K53" s="9">
        <f>June!K53+J53</f>
        <v>0</v>
      </c>
    </row>
    <row r="54" spans="1:11" s="5" customFormat="1" ht="18" customHeight="1" thickBot="1">
      <c r="A54" s="10" t="s">
        <v>56</v>
      </c>
      <c r="B54" s="13">
        <v>18</v>
      </c>
      <c r="C54" s="9">
        <f>June!C54+B54</f>
        <v>3588</v>
      </c>
      <c r="D54" s="34">
        <v>4</v>
      </c>
      <c r="E54" s="9">
        <f>June!E54+D54</f>
        <v>1505</v>
      </c>
      <c r="F54" s="35"/>
      <c r="G54" s="9">
        <f>June!G54+F54</f>
        <v>0</v>
      </c>
      <c r="H54" s="19"/>
      <c r="I54" s="9">
        <f>June!I54+H54</f>
        <v>0</v>
      </c>
      <c r="J54" s="25"/>
      <c r="K54" s="9">
        <f>June!K54+J54</f>
        <v>0</v>
      </c>
    </row>
    <row r="55" spans="1:11" s="5" customFormat="1" ht="18" customHeight="1" thickBot="1" thickTop="1">
      <c r="A55" s="11" t="s">
        <v>57</v>
      </c>
      <c r="B55" s="11">
        <f>SUM(B5:B54)</f>
        <v>67290</v>
      </c>
      <c r="C55" s="11"/>
      <c r="D55" s="11">
        <f>SUM(D5:D54)</f>
        <v>1760</v>
      </c>
      <c r="E55" s="11"/>
      <c r="F55" s="11">
        <f>SUM(F5:F54)</f>
        <v>2640</v>
      </c>
      <c r="G55" s="11"/>
      <c r="H55" s="11">
        <f>SUM(H5:H54)</f>
        <v>0</v>
      </c>
      <c r="I55" s="11"/>
      <c r="J55" s="11">
        <f>SUM(J5:J54)</f>
        <v>0</v>
      </c>
      <c r="K55" s="23"/>
    </row>
    <row r="56" spans="1:9" s="5" customFormat="1" ht="18" customHeight="1" thickBot="1" thickTop="1">
      <c r="A56" s="8"/>
      <c r="B56" s="8"/>
      <c r="C56" s="8"/>
      <c r="D56" s="8"/>
      <c r="E56" s="8"/>
      <c r="F56" s="8"/>
      <c r="G56" s="8"/>
      <c r="H56" s="8"/>
      <c r="I56" s="8"/>
    </row>
    <row r="57" spans="1:11" s="5" customFormat="1" ht="18" customHeight="1" thickBot="1" thickTop="1">
      <c r="A57" s="12" t="s">
        <v>58</v>
      </c>
      <c r="B57" s="11"/>
      <c r="C57" s="11">
        <f>June!C57+B55</f>
        <v>551576</v>
      </c>
      <c r="D57" s="11"/>
      <c r="E57" s="11">
        <f>June!E57+D55</f>
        <v>29751</v>
      </c>
      <c r="F57" s="11"/>
      <c r="G57" s="11">
        <f>June!G57+F55</f>
        <v>34381</v>
      </c>
      <c r="H57" s="11"/>
      <c r="I57" s="11">
        <f>June!I57+H55</f>
        <v>0</v>
      </c>
      <c r="J57" s="11"/>
      <c r="K57" s="11">
        <f>June!K57+J55</f>
        <v>259</v>
      </c>
    </row>
    <row r="58" spans="1:13" s="5" customFormat="1" ht="18" customHeight="1" thickTop="1">
      <c r="A58" s="6" t="s">
        <v>75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6" t="s">
        <v>76</v>
      </c>
      <c r="M58" s="31">
        <f>B58+D58+F58</f>
        <v>0</v>
      </c>
    </row>
    <row r="59" s="5" customFormat="1" ht="18" customHeight="1">
      <c r="A59" s="5" t="s">
        <v>59</v>
      </c>
    </row>
    <row r="60" spans="1:6" s="5" customFormat="1" ht="18" customHeight="1">
      <c r="A60" s="5" t="s">
        <v>12</v>
      </c>
      <c r="F60" s="5">
        <v>1400</v>
      </c>
    </row>
    <row r="61" s="5" customFormat="1" ht="18" customHeight="1"/>
    <row r="62" spans="1:7" s="4" customFormat="1" ht="18" customHeight="1">
      <c r="A62" s="4" t="s">
        <v>60</v>
      </c>
      <c r="E62" s="4">
        <f>June!E62+D60</f>
        <v>11215</v>
      </c>
      <c r="G62" s="4">
        <f>June!G62+F60</f>
        <v>26555</v>
      </c>
    </row>
    <row r="63" s="5" customFormat="1" ht="18" customHeight="1"/>
    <row r="64" s="5" customFormat="1" ht="18" customHeight="1"/>
  </sheetData>
  <sheetProtection/>
  <mergeCells count="5">
    <mergeCell ref="B3:C3"/>
    <mergeCell ref="D3:E3"/>
    <mergeCell ref="F3:G3"/>
    <mergeCell ref="H3:I3"/>
    <mergeCell ref="J3:K3"/>
  </mergeCells>
  <printOptions/>
  <pageMargins left="0.75" right="0.75" top="1" bottom="1" header="0.5" footer="0.5"/>
  <pageSetup fitToWidth="0" fitToHeight="1" horizontalDpi="600" verticalDpi="600" orientation="portrait" scale="5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P62"/>
  <sheetViews>
    <sheetView zoomScalePageLayoutView="0" workbookViewId="0" topLeftCell="A1">
      <pane ySplit="4" topLeftCell="A38" activePane="bottomLeft" state="frozen"/>
      <selection pane="topLeft" activeCell="B10" sqref="B10"/>
      <selection pane="bottomLeft" activeCell="B47" sqref="B47"/>
    </sheetView>
  </sheetViews>
  <sheetFormatPr defaultColWidth="9.00390625" defaultRowHeight="18" customHeight="1"/>
  <cols>
    <col min="1" max="1" width="18.125" style="2" customWidth="1"/>
    <col min="2" max="3" width="9.00390625" style="2" customWidth="1"/>
    <col min="4" max="4" width="9.25390625" style="2" customWidth="1"/>
    <col min="5" max="5" width="7.75390625" style="2" bestFit="1" customWidth="1"/>
    <col min="6" max="8" width="9.00390625" style="2" customWidth="1"/>
    <col min="9" max="9" width="12.25390625" style="2" customWidth="1"/>
    <col min="10" max="10" width="7.875" style="2" customWidth="1"/>
    <col min="11" max="11" width="9.00390625" style="2" customWidth="1"/>
    <col min="12" max="12" width="10.125" style="2" customWidth="1"/>
    <col min="13" max="14" width="9.00390625" style="2" customWidth="1"/>
    <col min="15" max="16" width="12.25390625" style="2" customWidth="1"/>
    <col min="17" max="16384" width="9.00390625" style="2" customWidth="1"/>
  </cols>
  <sheetData>
    <row r="1" spans="1:8" ht="18" customHeight="1">
      <c r="A1" s="1" t="s">
        <v>77</v>
      </c>
      <c r="F1" s="2" t="s">
        <v>68</v>
      </c>
      <c r="H1" s="2" t="s">
        <v>78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1" s="5" customFormat="1" ht="18" customHeight="1">
      <c r="A3" s="4"/>
      <c r="B3" s="38" t="s">
        <v>0</v>
      </c>
      <c r="C3" s="39"/>
      <c r="D3" s="38" t="s">
        <v>1</v>
      </c>
      <c r="E3" s="39"/>
      <c r="F3" s="38" t="s">
        <v>2</v>
      </c>
      <c r="G3" s="39"/>
      <c r="H3" s="38" t="s">
        <v>3</v>
      </c>
      <c r="I3" s="39"/>
      <c r="J3" s="40" t="s">
        <v>73</v>
      </c>
      <c r="K3" s="41"/>
    </row>
    <row r="4" spans="1:11" s="8" customFormat="1" ht="18" customHeight="1">
      <c r="A4" s="6" t="s">
        <v>4</v>
      </c>
      <c r="B4" s="7" t="s">
        <v>5</v>
      </c>
      <c r="C4" s="7" t="s">
        <v>6</v>
      </c>
      <c r="D4" s="7" t="s">
        <v>5</v>
      </c>
      <c r="E4" s="7" t="s">
        <v>6</v>
      </c>
      <c r="F4" s="7" t="s">
        <v>5</v>
      </c>
      <c r="G4" s="7" t="s">
        <v>6</v>
      </c>
      <c r="H4" s="7" t="s">
        <v>5</v>
      </c>
      <c r="I4" s="7" t="s">
        <v>6</v>
      </c>
      <c r="J4" s="27" t="s">
        <v>5</v>
      </c>
      <c r="K4" s="26" t="s">
        <v>6</v>
      </c>
    </row>
    <row r="5" spans="1:11" s="5" customFormat="1" ht="18" customHeight="1">
      <c r="A5" s="9" t="s">
        <v>7</v>
      </c>
      <c r="B5" s="32">
        <v>129</v>
      </c>
      <c r="C5" s="9">
        <f>July!C5+B5</f>
        <v>463</v>
      </c>
      <c r="D5" s="33"/>
      <c r="E5" s="9">
        <f>July!E5+D5</f>
        <v>2</v>
      </c>
      <c r="F5" s="35"/>
      <c r="G5" s="9">
        <f>July!G5+F5</f>
        <v>0</v>
      </c>
      <c r="H5" s="19"/>
      <c r="I5" s="9">
        <f>July!I5+H5</f>
        <v>0</v>
      </c>
      <c r="J5" s="24"/>
      <c r="K5" s="9">
        <f>July!K5+J5</f>
        <v>0</v>
      </c>
    </row>
    <row r="6" spans="1:11" s="5" customFormat="1" ht="18" customHeight="1">
      <c r="A6" s="9" t="s">
        <v>8</v>
      </c>
      <c r="B6" s="32"/>
      <c r="C6" s="9">
        <f>July!C6+B6</f>
        <v>0</v>
      </c>
      <c r="D6" s="33"/>
      <c r="E6" s="9">
        <f>July!E6+D6</f>
        <v>0</v>
      </c>
      <c r="F6" s="35"/>
      <c r="G6" s="9">
        <f>July!G6+F6</f>
        <v>0</v>
      </c>
      <c r="H6" s="19"/>
      <c r="I6" s="9">
        <f>July!I6+H6</f>
        <v>0</v>
      </c>
      <c r="J6" s="24"/>
      <c r="K6" s="9">
        <f>July!K6+J6</f>
        <v>0</v>
      </c>
    </row>
    <row r="7" spans="1:11" s="5" customFormat="1" ht="18" customHeight="1">
      <c r="A7" s="9" t="s">
        <v>9</v>
      </c>
      <c r="B7" s="32">
        <v>84</v>
      </c>
      <c r="C7" s="9">
        <f>July!C7+B7</f>
        <v>581</v>
      </c>
      <c r="D7" s="33"/>
      <c r="E7" s="9">
        <f>July!E7+D7</f>
        <v>1</v>
      </c>
      <c r="F7" s="35"/>
      <c r="G7" s="9">
        <f>July!G7+F7</f>
        <v>145</v>
      </c>
      <c r="H7" s="19"/>
      <c r="I7" s="9">
        <f>July!I7+H7</f>
        <v>0</v>
      </c>
      <c r="J7" s="24"/>
      <c r="K7" s="9">
        <f>July!K7+J7</f>
        <v>0</v>
      </c>
    </row>
    <row r="8" spans="1:11" s="5" customFormat="1" ht="18" customHeight="1">
      <c r="A8" s="9" t="s">
        <v>10</v>
      </c>
      <c r="B8" s="32">
        <v>274</v>
      </c>
      <c r="C8" s="9">
        <f>July!C8+B8</f>
        <v>3024</v>
      </c>
      <c r="D8" s="33">
        <v>3</v>
      </c>
      <c r="E8" s="9">
        <f>July!E8+D8</f>
        <v>69</v>
      </c>
      <c r="F8" s="35"/>
      <c r="G8" s="9">
        <f>July!G8+F8</f>
        <v>227</v>
      </c>
      <c r="H8" s="19"/>
      <c r="I8" s="9">
        <f>July!I8+H8</f>
        <v>0</v>
      </c>
      <c r="J8" s="24"/>
      <c r="K8" s="9">
        <f>July!K8+J8</f>
        <v>0</v>
      </c>
    </row>
    <row r="9" spans="1:11" s="5" customFormat="1" ht="18" customHeight="1">
      <c r="A9" s="9" t="s">
        <v>11</v>
      </c>
      <c r="B9" s="32">
        <f>347+255</f>
        <v>602</v>
      </c>
      <c r="C9" s="9">
        <f>July!C9+B9</f>
        <v>2587</v>
      </c>
      <c r="D9" s="33">
        <v>13</v>
      </c>
      <c r="E9" s="9">
        <f>July!E9+D9</f>
        <v>20</v>
      </c>
      <c r="F9" s="35">
        <v>189</v>
      </c>
      <c r="G9" s="9">
        <f>July!G9+F9</f>
        <v>1473</v>
      </c>
      <c r="H9" s="19"/>
      <c r="I9" s="9">
        <f>July!I9+H9</f>
        <v>0</v>
      </c>
      <c r="J9" s="24"/>
      <c r="K9" s="9">
        <f>July!K9+J9</f>
        <v>0</v>
      </c>
    </row>
    <row r="10" spans="1:11" s="5" customFormat="1" ht="18" customHeight="1">
      <c r="A10" s="9" t="s">
        <v>12</v>
      </c>
      <c r="B10" s="32">
        <v>185</v>
      </c>
      <c r="C10" s="9">
        <f>July!C10+B10</f>
        <v>7881</v>
      </c>
      <c r="D10" s="33">
        <v>2</v>
      </c>
      <c r="E10" s="9">
        <f>July!E10+D10</f>
        <v>121</v>
      </c>
      <c r="F10" s="35">
        <v>1</v>
      </c>
      <c r="G10" s="9">
        <f>July!G10+F10</f>
        <v>143</v>
      </c>
      <c r="H10" s="19"/>
      <c r="I10" s="9">
        <f>July!I10+H10</f>
        <v>0</v>
      </c>
      <c r="J10" s="24"/>
      <c r="K10" s="9">
        <f>July!K10+J10</f>
        <v>198</v>
      </c>
    </row>
    <row r="11" spans="1:11" s="5" customFormat="1" ht="18" customHeight="1">
      <c r="A11" s="9" t="s">
        <v>13</v>
      </c>
      <c r="B11" s="32">
        <v>34</v>
      </c>
      <c r="C11" s="9">
        <f>July!C11+B11</f>
        <v>4332</v>
      </c>
      <c r="D11" s="33">
        <v>26</v>
      </c>
      <c r="E11" s="9">
        <f>July!E11+D11</f>
        <v>129</v>
      </c>
      <c r="F11" s="35"/>
      <c r="G11" s="9">
        <f>July!G11+F11</f>
        <v>170</v>
      </c>
      <c r="H11" s="19"/>
      <c r="I11" s="9">
        <f>July!I11+H11</f>
        <v>0</v>
      </c>
      <c r="J11" s="24"/>
      <c r="K11" s="9">
        <f>July!K11+J11</f>
        <v>0</v>
      </c>
    </row>
    <row r="12" spans="1:11" s="5" customFormat="1" ht="18" customHeight="1">
      <c r="A12" s="9" t="s">
        <v>14</v>
      </c>
      <c r="B12" s="32"/>
      <c r="C12" s="9">
        <f>July!C12+B12</f>
        <v>0</v>
      </c>
      <c r="D12" s="33"/>
      <c r="E12" s="9">
        <f>July!E12+D12</f>
        <v>4</v>
      </c>
      <c r="F12" s="35"/>
      <c r="G12" s="9">
        <f>July!G12+F12</f>
        <v>4</v>
      </c>
      <c r="H12" s="19"/>
      <c r="I12" s="9">
        <f>July!I12+H12</f>
        <v>0</v>
      </c>
      <c r="J12" s="24"/>
      <c r="K12" s="9">
        <f>July!K12+J12</f>
        <v>0</v>
      </c>
    </row>
    <row r="13" spans="1:11" s="5" customFormat="1" ht="18" customHeight="1">
      <c r="A13" s="9" t="s">
        <v>15</v>
      </c>
      <c r="B13" s="32"/>
      <c r="C13" s="9">
        <f>July!C13+B13</f>
        <v>0</v>
      </c>
      <c r="D13" s="33"/>
      <c r="E13" s="9">
        <f>July!E13+D13</f>
        <v>0</v>
      </c>
      <c r="F13" s="35"/>
      <c r="G13" s="9">
        <f>July!G13+F13</f>
        <v>0</v>
      </c>
      <c r="H13" s="19"/>
      <c r="I13" s="9">
        <f>July!I13+H13</f>
        <v>0</v>
      </c>
      <c r="J13" s="24"/>
      <c r="K13" s="9">
        <f>July!K13+J13</f>
        <v>0</v>
      </c>
    </row>
    <row r="14" spans="1:11" s="5" customFormat="1" ht="18" customHeight="1">
      <c r="A14" s="9" t="s">
        <v>16</v>
      </c>
      <c r="B14" s="32">
        <v>282</v>
      </c>
      <c r="C14" s="9">
        <f>July!C14+B14</f>
        <v>4371</v>
      </c>
      <c r="D14" s="33"/>
      <c r="E14" s="9">
        <f>July!E14+D14</f>
        <v>0</v>
      </c>
      <c r="F14" s="35"/>
      <c r="G14" s="9">
        <f>July!G14+F14</f>
        <v>2</v>
      </c>
      <c r="H14" s="19"/>
      <c r="I14" s="9">
        <f>July!I14+H14</f>
        <v>0</v>
      </c>
      <c r="J14" s="24"/>
      <c r="K14" s="9">
        <f>July!K14+J14</f>
        <v>0</v>
      </c>
    </row>
    <row r="15" spans="1:11" s="5" customFormat="1" ht="18" customHeight="1">
      <c r="A15" s="9" t="s">
        <v>17</v>
      </c>
      <c r="B15" s="32">
        <v>795</v>
      </c>
      <c r="C15" s="9">
        <f>July!C15+B15</f>
        <v>2438</v>
      </c>
      <c r="D15" s="33"/>
      <c r="E15" s="9">
        <f>July!E15+D15</f>
        <v>1</v>
      </c>
      <c r="F15" s="35"/>
      <c r="G15" s="9">
        <f>July!G15+F15</f>
        <v>0</v>
      </c>
      <c r="H15" s="19"/>
      <c r="I15" s="9">
        <f>July!I15+H15</f>
        <v>0</v>
      </c>
      <c r="J15" s="24"/>
      <c r="K15" s="9">
        <f>July!K15+J15</f>
        <v>0</v>
      </c>
    </row>
    <row r="16" spans="1:11" s="5" customFormat="1" ht="18" customHeight="1">
      <c r="A16" s="9" t="s">
        <v>18</v>
      </c>
      <c r="B16" s="32"/>
      <c r="C16" s="9">
        <f>July!C16+B16</f>
        <v>0</v>
      </c>
      <c r="D16" s="33"/>
      <c r="E16" s="9">
        <f>July!E16+D16</f>
        <v>0</v>
      </c>
      <c r="F16" s="35"/>
      <c r="G16" s="9">
        <f>July!G16+F16</f>
        <v>0</v>
      </c>
      <c r="H16" s="19"/>
      <c r="I16" s="9">
        <f>July!I16+H16</f>
        <v>0</v>
      </c>
      <c r="J16" s="24"/>
      <c r="K16" s="9">
        <f>July!K16+J16</f>
        <v>0</v>
      </c>
    </row>
    <row r="17" spans="1:11" s="5" customFormat="1" ht="18" customHeight="1">
      <c r="A17" s="9" t="s">
        <v>19</v>
      </c>
      <c r="B17" s="32">
        <v>1135</v>
      </c>
      <c r="C17" s="9">
        <f>July!C17+B17</f>
        <v>2658</v>
      </c>
      <c r="D17" s="33"/>
      <c r="E17" s="9">
        <f>July!E17+D17</f>
        <v>520</v>
      </c>
      <c r="F17" s="35">
        <v>2</v>
      </c>
      <c r="G17" s="9">
        <f>July!G17+F17</f>
        <v>195</v>
      </c>
      <c r="H17" s="19"/>
      <c r="I17" s="9">
        <f>July!I17+H17</f>
        <v>0</v>
      </c>
      <c r="J17" s="24"/>
      <c r="K17" s="9">
        <f>July!K17+J17</f>
        <v>0</v>
      </c>
    </row>
    <row r="18" spans="1:11" s="5" customFormat="1" ht="18" customHeight="1">
      <c r="A18" s="9" t="s">
        <v>20</v>
      </c>
      <c r="B18" s="32">
        <v>363</v>
      </c>
      <c r="C18" s="9">
        <f>July!C18+B18</f>
        <v>3669</v>
      </c>
      <c r="D18" s="33">
        <f>45+14</f>
        <v>59</v>
      </c>
      <c r="E18" s="9">
        <f>July!E18+D18</f>
        <v>715</v>
      </c>
      <c r="F18" s="35">
        <v>1</v>
      </c>
      <c r="G18" s="9">
        <f>July!G18+F18</f>
        <v>610</v>
      </c>
      <c r="H18" s="19"/>
      <c r="I18" s="9">
        <f>July!I18+H18</f>
        <v>0</v>
      </c>
      <c r="J18" s="24"/>
      <c r="K18" s="9">
        <f>July!K18+J18</f>
        <v>0</v>
      </c>
    </row>
    <row r="19" spans="1:11" s="5" customFormat="1" ht="18" customHeight="1">
      <c r="A19" s="9" t="s">
        <v>21</v>
      </c>
      <c r="B19" s="32">
        <f>1345+1865</f>
        <v>3210</v>
      </c>
      <c r="C19" s="9">
        <f>July!C19+B19</f>
        <v>26792</v>
      </c>
      <c r="D19" s="33">
        <v>12</v>
      </c>
      <c r="E19" s="9">
        <f>July!E19+D19</f>
        <v>91</v>
      </c>
      <c r="F19" s="35"/>
      <c r="G19" s="9">
        <f>July!G19+F19</f>
        <v>5568</v>
      </c>
      <c r="H19" s="19"/>
      <c r="I19" s="9">
        <f>July!I19+H19</f>
        <v>0</v>
      </c>
      <c r="J19" s="24"/>
      <c r="K19" s="9">
        <f>July!K19+J19</f>
        <v>0</v>
      </c>
    </row>
    <row r="20" spans="1:11" s="5" customFormat="1" ht="18" customHeight="1">
      <c r="A20" s="9" t="s">
        <v>22</v>
      </c>
      <c r="B20" s="32">
        <v>4460</v>
      </c>
      <c r="C20" s="9">
        <f>July!C20+B20</f>
        <v>27822</v>
      </c>
      <c r="D20" s="33">
        <v>84</v>
      </c>
      <c r="E20" s="9">
        <f>July!E20+D20</f>
        <v>1145</v>
      </c>
      <c r="F20" s="35">
        <v>201</v>
      </c>
      <c r="G20" s="9">
        <f>July!G20+F20</f>
        <v>1065</v>
      </c>
      <c r="H20" s="19"/>
      <c r="I20" s="9">
        <f>July!I20+H20</f>
        <v>0</v>
      </c>
      <c r="J20" s="24"/>
      <c r="K20" s="9">
        <f>July!K20+J20</f>
        <v>0</v>
      </c>
    </row>
    <row r="21" spans="1:11" s="5" customFormat="1" ht="18" customHeight="1">
      <c r="A21" s="9" t="s">
        <v>23</v>
      </c>
      <c r="B21" s="32">
        <v>8537</v>
      </c>
      <c r="C21" s="9">
        <f>July!C21+B21</f>
        <v>42595</v>
      </c>
      <c r="D21" s="33">
        <v>5</v>
      </c>
      <c r="E21" s="9">
        <f>July!E21+D21</f>
        <v>1563</v>
      </c>
      <c r="F21" s="35">
        <v>72</v>
      </c>
      <c r="G21" s="9">
        <f>July!G21+F21</f>
        <v>302</v>
      </c>
      <c r="H21" s="19"/>
      <c r="I21" s="9">
        <f>July!I21+H21</f>
        <v>0</v>
      </c>
      <c r="J21" s="24"/>
      <c r="K21" s="9">
        <f>July!K21+J21</f>
        <v>0</v>
      </c>
    </row>
    <row r="22" spans="1:11" s="5" customFormat="1" ht="18" customHeight="1">
      <c r="A22" s="9" t="s">
        <v>24</v>
      </c>
      <c r="B22" s="32"/>
      <c r="C22" s="9">
        <f>July!C22+B22</f>
        <v>0</v>
      </c>
      <c r="D22" s="33"/>
      <c r="E22" s="9">
        <f>July!E22+D22</f>
        <v>0</v>
      </c>
      <c r="F22" s="35"/>
      <c r="G22" s="9">
        <f>July!G22+F22</f>
        <v>0</v>
      </c>
      <c r="H22" s="19"/>
      <c r="I22" s="9">
        <f>July!I22+H22</f>
        <v>0</v>
      </c>
      <c r="J22" s="24"/>
      <c r="K22" s="9">
        <f>July!K22+J22</f>
        <v>0</v>
      </c>
    </row>
    <row r="23" spans="1:11" s="5" customFormat="1" ht="18" customHeight="1">
      <c r="A23" s="9" t="s">
        <v>25</v>
      </c>
      <c r="B23" s="32"/>
      <c r="C23" s="9">
        <f>July!C23+B23</f>
        <v>0</v>
      </c>
      <c r="D23" s="33"/>
      <c r="E23" s="9">
        <f>July!E23+D23</f>
        <v>0</v>
      </c>
      <c r="F23" s="35"/>
      <c r="G23" s="9">
        <f>July!G23+F23</f>
        <v>0</v>
      </c>
      <c r="H23" s="19"/>
      <c r="I23" s="9">
        <f>July!I23+H23</f>
        <v>0</v>
      </c>
      <c r="J23" s="24"/>
      <c r="K23" s="9">
        <f>July!K23+J23</f>
        <v>0</v>
      </c>
    </row>
    <row r="24" spans="1:11" s="5" customFormat="1" ht="18" customHeight="1">
      <c r="A24" s="9" t="s">
        <v>26</v>
      </c>
      <c r="B24" s="32"/>
      <c r="C24" s="9">
        <f>July!C24+B24</f>
        <v>0</v>
      </c>
      <c r="D24" s="33"/>
      <c r="E24" s="9">
        <f>July!E24+D24</f>
        <v>1</v>
      </c>
      <c r="F24" s="35">
        <v>3</v>
      </c>
      <c r="G24" s="9">
        <f>July!G24+F24</f>
        <v>5</v>
      </c>
      <c r="H24" s="19"/>
      <c r="I24" s="9">
        <f>July!I24+H24</f>
        <v>0</v>
      </c>
      <c r="J24" s="24"/>
      <c r="K24" s="9">
        <f>July!K24+J24</f>
        <v>0</v>
      </c>
    </row>
    <row r="25" spans="1:11" s="5" customFormat="1" ht="18" customHeight="1">
      <c r="A25" s="9" t="s">
        <v>27</v>
      </c>
      <c r="B25" s="32"/>
      <c r="C25" s="9">
        <f>July!C25+B25</f>
        <v>0</v>
      </c>
      <c r="D25" s="33"/>
      <c r="E25" s="9">
        <f>July!E25+D25</f>
        <v>0</v>
      </c>
      <c r="F25" s="35"/>
      <c r="G25" s="9">
        <f>July!G25+F25</f>
        <v>0</v>
      </c>
      <c r="H25" s="19"/>
      <c r="I25" s="9">
        <f>July!I25+H25</f>
        <v>0</v>
      </c>
      <c r="J25" s="24"/>
      <c r="K25" s="9">
        <f>July!K25+J25</f>
        <v>0</v>
      </c>
    </row>
    <row r="26" spans="1:11" s="5" customFormat="1" ht="18" customHeight="1">
      <c r="A26" s="9" t="s">
        <v>28</v>
      </c>
      <c r="B26" s="32">
        <v>4736</v>
      </c>
      <c r="C26" s="9">
        <f>July!C26+B26</f>
        <v>27843</v>
      </c>
      <c r="D26" s="33"/>
      <c r="E26" s="9">
        <f>July!E26+D26</f>
        <v>64</v>
      </c>
      <c r="F26" s="35">
        <v>50</v>
      </c>
      <c r="G26" s="9">
        <f>July!G26+F26</f>
        <v>87</v>
      </c>
      <c r="H26" s="19"/>
      <c r="I26" s="9">
        <f>July!I26+H26</f>
        <v>0</v>
      </c>
      <c r="J26" s="24"/>
      <c r="K26" s="9">
        <f>July!K26+J26</f>
        <v>0</v>
      </c>
    </row>
    <row r="27" spans="1:11" s="5" customFormat="1" ht="18" customHeight="1">
      <c r="A27" s="9" t="s">
        <v>29</v>
      </c>
      <c r="B27" s="32">
        <f>1634+49</f>
        <v>1683</v>
      </c>
      <c r="C27" s="9">
        <f>July!C27+B27</f>
        <v>18107</v>
      </c>
      <c r="D27" s="33">
        <v>117</v>
      </c>
      <c r="E27" s="9">
        <f>July!E27+D27</f>
        <v>928</v>
      </c>
      <c r="F27" s="35">
        <f>412+206</f>
        <v>618</v>
      </c>
      <c r="G27" s="9">
        <f>July!G27+F27</f>
        <v>4632</v>
      </c>
      <c r="H27" s="19"/>
      <c r="I27" s="9">
        <f>July!I27+H27</f>
        <v>0</v>
      </c>
      <c r="J27" s="24"/>
      <c r="K27" s="9">
        <f>July!K27+J27</f>
        <v>0</v>
      </c>
    </row>
    <row r="28" spans="1:11" s="5" customFormat="1" ht="18" customHeight="1">
      <c r="A28" s="9" t="s">
        <v>30</v>
      </c>
      <c r="B28" s="32"/>
      <c r="C28" s="9">
        <f>July!C28+B28</f>
        <v>617</v>
      </c>
      <c r="D28" s="33"/>
      <c r="E28" s="9">
        <f>July!E28+D28</f>
        <v>7</v>
      </c>
      <c r="F28" s="35"/>
      <c r="G28" s="9">
        <f>July!G28+F28</f>
        <v>0</v>
      </c>
      <c r="H28" s="19"/>
      <c r="I28" s="9">
        <f>July!I28+H28</f>
        <v>0</v>
      </c>
      <c r="J28" s="24"/>
      <c r="K28" s="9">
        <f>July!K28+J28</f>
        <v>0</v>
      </c>
    </row>
    <row r="29" spans="1:11" s="5" customFormat="1" ht="18" customHeight="1">
      <c r="A29" s="9" t="s">
        <v>31</v>
      </c>
      <c r="B29" s="32">
        <v>8932</v>
      </c>
      <c r="C29" s="9">
        <f>July!C29+B29</f>
        <v>70031</v>
      </c>
      <c r="D29" s="33">
        <f>124+7</f>
        <v>131</v>
      </c>
      <c r="E29" s="9">
        <f>July!E29+D29</f>
        <v>1348</v>
      </c>
      <c r="F29" s="35">
        <v>6</v>
      </c>
      <c r="G29" s="9">
        <f>July!G29+F29</f>
        <v>2043</v>
      </c>
      <c r="H29" s="19"/>
      <c r="I29" s="9">
        <f>July!I29+H29</f>
        <v>0</v>
      </c>
      <c r="J29" s="24"/>
      <c r="K29" s="9">
        <f>July!K29+J29</f>
        <v>58</v>
      </c>
    </row>
    <row r="30" spans="1:11" s="5" customFormat="1" ht="18" customHeight="1">
      <c r="A30" s="9" t="s">
        <v>32</v>
      </c>
      <c r="B30" s="32">
        <f>2061+767</f>
        <v>2828</v>
      </c>
      <c r="C30" s="9">
        <f>July!C30+B30</f>
        <v>36985</v>
      </c>
      <c r="D30" s="33"/>
      <c r="E30" s="9">
        <f>July!E30+D30</f>
        <v>8378</v>
      </c>
      <c r="F30" s="35"/>
      <c r="G30" s="9">
        <f>July!G30+F30</f>
        <v>220</v>
      </c>
      <c r="H30" s="19"/>
      <c r="I30" s="9">
        <f>July!I30+H30</f>
        <v>0</v>
      </c>
      <c r="J30" s="24"/>
      <c r="K30" s="9">
        <f>July!K30+J30</f>
        <v>0</v>
      </c>
    </row>
    <row r="31" spans="1:11" s="5" customFormat="1" ht="18" customHeight="1">
      <c r="A31" s="9" t="s">
        <v>33</v>
      </c>
      <c r="B31" s="32">
        <f>5872+17</f>
        <v>5889</v>
      </c>
      <c r="C31" s="9">
        <f>July!C31+B31</f>
        <v>36805</v>
      </c>
      <c r="D31" s="33">
        <f>319+87</f>
        <v>406</v>
      </c>
      <c r="E31" s="9">
        <f>July!E31+D31</f>
        <v>5553</v>
      </c>
      <c r="F31" s="35">
        <v>40</v>
      </c>
      <c r="G31" s="9">
        <f>July!G31+F31</f>
        <v>1423</v>
      </c>
      <c r="H31" s="19"/>
      <c r="I31" s="9">
        <f>July!I31+H31</f>
        <v>0</v>
      </c>
      <c r="J31" s="24"/>
      <c r="K31" s="9">
        <f>July!K31+J31</f>
        <v>0</v>
      </c>
    </row>
    <row r="32" spans="1:11" s="5" customFormat="1" ht="18" customHeight="1">
      <c r="A32" s="9" t="s">
        <v>34</v>
      </c>
      <c r="B32" s="32"/>
      <c r="C32" s="9">
        <f>July!C32+B32</f>
        <v>0</v>
      </c>
      <c r="D32" s="33"/>
      <c r="E32" s="9">
        <f>July!E32+D32</f>
        <v>0</v>
      </c>
      <c r="F32" s="35"/>
      <c r="G32" s="9">
        <f>July!G32+F32</f>
        <v>0</v>
      </c>
      <c r="H32" s="19"/>
      <c r="I32" s="9">
        <f>July!I32+H32</f>
        <v>0</v>
      </c>
      <c r="J32" s="24"/>
      <c r="K32" s="9">
        <f>July!K32+J32</f>
        <v>0</v>
      </c>
    </row>
    <row r="33" spans="1:11" s="5" customFormat="1" ht="18" customHeight="1">
      <c r="A33" s="9" t="s">
        <v>35</v>
      </c>
      <c r="B33" s="32"/>
      <c r="C33" s="9">
        <f>July!C33+B33</f>
        <v>0</v>
      </c>
      <c r="D33" s="33"/>
      <c r="E33" s="9">
        <f>July!E33+D33</f>
        <v>0</v>
      </c>
      <c r="F33" s="35"/>
      <c r="G33" s="9">
        <f>July!G33+F33</f>
        <v>0</v>
      </c>
      <c r="H33" s="19"/>
      <c r="I33" s="9">
        <f>July!I33+H33</f>
        <v>0</v>
      </c>
      <c r="J33" s="24"/>
      <c r="K33" s="9">
        <f>July!K33+J33</f>
        <v>0</v>
      </c>
    </row>
    <row r="34" spans="1:11" s="5" customFormat="1" ht="18" customHeight="1">
      <c r="A34" s="9" t="s">
        <v>36</v>
      </c>
      <c r="B34" s="32"/>
      <c r="C34" s="9">
        <f>July!C34+B34</f>
        <v>0</v>
      </c>
      <c r="D34" s="33"/>
      <c r="E34" s="9">
        <f>July!E34+D34</f>
        <v>0</v>
      </c>
      <c r="F34" s="35"/>
      <c r="G34" s="9">
        <f>July!G34+F34</f>
        <v>0</v>
      </c>
      <c r="H34" s="19"/>
      <c r="I34" s="9">
        <f>July!I34+H34</f>
        <v>0</v>
      </c>
      <c r="J34" s="24"/>
      <c r="K34" s="9">
        <f>July!K34+J34</f>
        <v>0</v>
      </c>
    </row>
    <row r="35" spans="1:11" s="5" customFormat="1" ht="18" customHeight="1">
      <c r="A35" s="9" t="s">
        <v>37</v>
      </c>
      <c r="B35" s="32">
        <f>707+176</f>
        <v>883</v>
      </c>
      <c r="C35" s="9">
        <f>July!C35+B35</f>
        <v>3905</v>
      </c>
      <c r="D35" s="33"/>
      <c r="E35" s="9">
        <f>July!E35+D35</f>
        <v>25</v>
      </c>
      <c r="F35" s="35">
        <v>167</v>
      </c>
      <c r="G35" s="9">
        <f>July!G35+F35</f>
        <v>999</v>
      </c>
      <c r="H35" s="19"/>
      <c r="I35" s="9">
        <f>July!I35+H35</f>
        <v>0</v>
      </c>
      <c r="J35" s="24"/>
      <c r="K35" s="9">
        <f>July!K35+J35</f>
        <v>0</v>
      </c>
    </row>
    <row r="36" spans="1:11" s="5" customFormat="1" ht="18" customHeight="1">
      <c r="A36" s="9" t="s">
        <v>38</v>
      </c>
      <c r="B36" s="32">
        <v>102</v>
      </c>
      <c r="C36" s="9">
        <f>July!C36+B36</f>
        <v>341</v>
      </c>
      <c r="D36" s="33">
        <v>2</v>
      </c>
      <c r="E36" s="9">
        <f>July!E36+D36</f>
        <v>2</v>
      </c>
      <c r="F36" s="35">
        <v>183</v>
      </c>
      <c r="G36" s="9">
        <f>July!G36+F36</f>
        <v>1997</v>
      </c>
      <c r="H36" s="19"/>
      <c r="I36" s="9">
        <f>July!I36+H36</f>
        <v>0</v>
      </c>
      <c r="J36" s="24"/>
      <c r="K36" s="9">
        <f>July!K36+J36</f>
        <v>0</v>
      </c>
    </row>
    <row r="37" spans="1:11" s="5" customFormat="1" ht="18" customHeight="1">
      <c r="A37" s="9" t="s">
        <v>39</v>
      </c>
      <c r="B37" s="32"/>
      <c r="C37" s="9">
        <f>July!C37+B37</f>
        <v>215</v>
      </c>
      <c r="D37" s="33">
        <v>12</v>
      </c>
      <c r="E37" s="9">
        <f>July!E37+D37</f>
        <v>311</v>
      </c>
      <c r="F37" s="35"/>
      <c r="G37" s="9">
        <f>July!G37+F37</f>
        <v>0</v>
      </c>
      <c r="H37" s="19"/>
      <c r="I37" s="9">
        <f>July!I37+H37</f>
        <v>0</v>
      </c>
      <c r="J37" s="24"/>
      <c r="K37" s="9">
        <f>July!K37+J37</f>
        <v>0</v>
      </c>
    </row>
    <row r="38" spans="1:11" s="5" customFormat="1" ht="18" customHeight="1">
      <c r="A38" s="9" t="s">
        <v>40</v>
      </c>
      <c r="B38" s="32">
        <f>1954+164</f>
        <v>2118</v>
      </c>
      <c r="C38" s="9">
        <f>July!C38+B38</f>
        <v>43057</v>
      </c>
      <c r="D38" s="33">
        <v>12</v>
      </c>
      <c r="E38" s="9">
        <f>July!E38+D38</f>
        <v>419</v>
      </c>
      <c r="F38" s="35"/>
      <c r="G38" s="9">
        <f>July!G38+F38</f>
        <v>190</v>
      </c>
      <c r="H38" s="19"/>
      <c r="I38" s="9">
        <f>July!I38+H38</f>
        <v>0</v>
      </c>
      <c r="J38" s="24"/>
      <c r="K38" s="9">
        <f>July!K38+J38</f>
        <v>0</v>
      </c>
    </row>
    <row r="39" spans="1:11" s="5" customFormat="1" ht="18" customHeight="1">
      <c r="A39" s="9" t="s">
        <v>41</v>
      </c>
      <c r="B39" s="32">
        <v>1044</v>
      </c>
      <c r="C39" s="9">
        <f>July!C39+B39</f>
        <v>8739</v>
      </c>
      <c r="D39" s="33">
        <v>12</v>
      </c>
      <c r="E39" s="9">
        <f>July!E39+D39</f>
        <v>34</v>
      </c>
      <c r="F39" s="35">
        <v>10</v>
      </c>
      <c r="G39" s="9">
        <f>July!G39+F39</f>
        <v>294</v>
      </c>
      <c r="H39" s="19"/>
      <c r="I39" s="9">
        <f>July!I39+H39</f>
        <v>0</v>
      </c>
      <c r="J39" s="24"/>
      <c r="K39" s="9">
        <f>July!K39+J39</f>
        <v>0</v>
      </c>
    </row>
    <row r="40" spans="1:11" s="5" customFormat="1" ht="18" customHeight="1">
      <c r="A40" s="9" t="s">
        <v>42</v>
      </c>
      <c r="B40" s="32">
        <f>1480+180</f>
        <v>1660</v>
      </c>
      <c r="C40" s="9">
        <f>July!C40+B40</f>
        <v>8103</v>
      </c>
      <c r="D40" s="33"/>
      <c r="E40" s="9">
        <f>July!E40+D40</f>
        <v>617</v>
      </c>
      <c r="F40" s="35"/>
      <c r="G40" s="9">
        <f>July!G40+F40</f>
        <v>0</v>
      </c>
      <c r="H40" s="19"/>
      <c r="I40" s="9">
        <f>July!I40+H40</f>
        <v>0</v>
      </c>
      <c r="J40" s="24"/>
      <c r="K40" s="9">
        <f>July!K40+J40</f>
        <v>0</v>
      </c>
    </row>
    <row r="41" spans="1:11" s="5" customFormat="1" ht="18" customHeight="1">
      <c r="A41" s="9" t="s">
        <v>43</v>
      </c>
      <c r="B41" s="32"/>
      <c r="C41" s="9">
        <f>July!C41+B41</f>
        <v>0</v>
      </c>
      <c r="D41" s="33"/>
      <c r="E41" s="9">
        <f>July!E41+D41</f>
        <v>2</v>
      </c>
      <c r="F41" s="35"/>
      <c r="G41" s="9">
        <f>July!G41+F41</f>
        <v>0</v>
      </c>
      <c r="H41" s="19"/>
      <c r="I41" s="9">
        <f>July!I41+H41</f>
        <v>0</v>
      </c>
      <c r="J41" s="24"/>
      <c r="K41" s="9">
        <f>July!K41+J41</f>
        <v>0</v>
      </c>
    </row>
    <row r="42" spans="1:11" s="5" customFormat="1" ht="18" customHeight="1">
      <c r="A42" s="9" t="s">
        <v>44</v>
      </c>
      <c r="B42" s="32"/>
      <c r="C42" s="9">
        <f>July!C42+B42</f>
        <v>1196</v>
      </c>
      <c r="D42" s="33"/>
      <c r="E42" s="9">
        <f>July!E42+D42</f>
        <v>10</v>
      </c>
      <c r="F42" s="35"/>
      <c r="G42" s="9">
        <f>July!G42+F42</f>
        <v>833</v>
      </c>
      <c r="H42" s="19"/>
      <c r="I42" s="9">
        <f>July!I42+H42</f>
        <v>0</v>
      </c>
      <c r="J42" s="24"/>
      <c r="K42" s="9">
        <f>July!K42+J42</f>
        <v>0</v>
      </c>
    </row>
    <row r="43" spans="1:11" s="5" customFormat="1" ht="18" customHeight="1">
      <c r="A43" s="9" t="s">
        <v>45</v>
      </c>
      <c r="B43" s="32"/>
      <c r="C43" s="9">
        <f>July!C43+B43</f>
        <v>0</v>
      </c>
      <c r="D43" s="33"/>
      <c r="E43" s="9">
        <f>July!E43+D43</f>
        <v>0</v>
      </c>
      <c r="F43" s="35"/>
      <c r="G43" s="9">
        <f>July!G43+F43</f>
        <v>0</v>
      </c>
      <c r="H43" s="19"/>
      <c r="I43" s="9">
        <f>July!I43+H43</f>
        <v>0</v>
      </c>
      <c r="J43" s="24"/>
      <c r="K43" s="9">
        <f>July!K43+J43</f>
        <v>0</v>
      </c>
    </row>
    <row r="44" spans="1:11" s="5" customFormat="1" ht="18" customHeight="1">
      <c r="A44" s="9" t="s">
        <v>46</v>
      </c>
      <c r="B44" s="32">
        <v>144</v>
      </c>
      <c r="C44" s="9">
        <f>July!C44+B44</f>
        <v>237</v>
      </c>
      <c r="D44" s="33"/>
      <c r="E44" s="9">
        <f>July!E44+D44</f>
        <v>0</v>
      </c>
      <c r="F44" s="35"/>
      <c r="G44" s="9">
        <f>July!G44+F44</f>
        <v>14</v>
      </c>
      <c r="H44" s="19"/>
      <c r="I44" s="9">
        <f>July!I44+H44</f>
        <v>0</v>
      </c>
      <c r="J44" s="24"/>
      <c r="K44" s="9">
        <f>July!K44+J44</f>
        <v>0</v>
      </c>
    </row>
    <row r="45" spans="1:11" s="5" customFormat="1" ht="18" customHeight="1">
      <c r="A45" s="9" t="s">
        <v>47</v>
      </c>
      <c r="B45" s="32">
        <f>9347+2404</f>
        <v>11751</v>
      </c>
      <c r="C45" s="9">
        <f>July!C45+B45</f>
        <v>163072</v>
      </c>
      <c r="D45" s="33">
        <f>17+29</f>
        <v>46</v>
      </c>
      <c r="E45" s="9">
        <f>July!E45+D45</f>
        <v>5678</v>
      </c>
      <c r="F45" s="35">
        <v>11</v>
      </c>
      <c r="G45" s="9">
        <f>July!G45+F45</f>
        <v>1272</v>
      </c>
      <c r="H45" s="19"/>
      <c r="I45" s="9">
        <f>July!I45+H45</f>
        <v>0</v>
      </c>
      <c r="J45" s="24"/>
      <c r="K45" s="9">
        <f>July!K45+J45</f>
        <v>0</v>
      </c>
    </row>
    <row r="46" spans="1:11" s="5" customFormat="1" ht="18" customHeight="1">
      <c r="A46" s="9" t="s">
        <v>48</v>
      </c>
      <c r="B46" s="32">
        <v>1185</v>
      </c>
      <c r="C46" s="9">
        <f>July!C46+B46</f>
        <v>11316</v>
      </c>
      <c r="D46" s="33"/>
      <c r="E46" s="9">
        <f>July!E46+D46</f>
        <v>18</v>
      </c>
      <c r="F46" s="35"/>
      <c r="G46" s="9">
        <f>July!G46+F46</f>
        <v>197</v>
      </c>
      <c r="H46" s="19"/>
      <c r="I46" s="9">
        <f>July!I46+H46</f>
        <v>0</v>
      </c>
      <c r="J46" s="24"/>
      <c r="K46" s="9">
        <f>July!K46+J46</f>
        <v>0</v>
      </c>
    </row>
    <row r="47" spans="1:11" s="5" customFormat="1" ht="18" customHeight="1">
      <c r="A47" s="9" t="s">
        <v>49</v>
      </c>
      <c r="B47" s="32">
        <f>1368+1209</f>
        <v>2577</v>
      </c>
      <c r="C47" s="9">
        <f>July!C47+B47</f>
        <v>16493</v>
      </c>
      <c r="D47" s="33">
        <f>8+173</f>
        <v>181</v>
      </c>
      <c r="E47" s="9">
        <f>July!E47+D47</f>
        <v>305</v>
      </c>
      <c r="F47" s="35"/>
      <c r="G47" s="9">
        <f>July!G47+F47</f>
        <v>2132</v>
      </c>
      <c r="H47" s="19"/>
      <c r="I47" s="9">
        <f>July!I47+H47</f>
        <v>0</v>
      </c>
      <c r="J47" s="24"/>
      <c r="K47" s="9">
        <f>July!K47+J47</f>
        <v>3</v>
      </c>
    </row>
    <row r="48" spans="1:11" s="5" customFormat="1" ht="18" customHeight="1">
      <c r="A48" s="9" t="s">
        <v>50</v>
      </c>
      <c r="B48" s="32"/>
      <c r="C48" s="9">
        <f>July!C48+B48</f>
        <v>689</v>
      </c>
      <c r="D48" s="33">
        <v>5</v>
      </c>
      <c r="E48" s="9">
        <f>July!E48+D48</f>
        <v>11</v>
      </c>
      <c r="F48" s="35"/>
      <c r="G48" s="9">
        <f>July!G48+F48</f>
        <v>1715</v>
      </c>
      <c r="H48" s="19"/>
      <c r="I48" s="9">
        <f>July!I48+H48</f>
        <v>0</v>
      </c>
      <c r="J48" s="24"/>
      <c r="K48" s="9">
        <f>July!K48+J48</f>
        <v>0</v>
      </c>
    </row>
    <row r="49" spans="1:11" s="5" customFormat="1" ht="18" customHeight="1">
      <c r="A49" s="9" t="s">
        <v>51</v>
      </c>
      <c r="B49" s="32"/>
      <c r="C49" s="9">
        <f>July!C49+B49</f>
        <v>0</v>
      </c>
      <c r="D49" s="33"/>
      <c r="E49" s="9">
        <f>July!E49+D49</f>
        <v>0</v>
      </c>
      <c r="F49" s="35"/>
      <c r="G49" s="9">
        <f>July!G49+F49</f>
        <v>189</v>
      </c>
      <c r="H49" s="19"/>
      <c r="I49" s="9">
        <f>July!I49+H49</f>
        <v>0</v>
      </c>
      <c r="J49" s="24"/>
      <c r="K49" s="9">
        <f>July!K49+J49</f>
        <v>0</v>
      </c>
    </row>
    <row r="50" spans="1:11" s="5" customFormat="1" ht="18" customHeight="1">
      <c r="A50" s="9" t="s">
        <v>52</v>
      </c>
      <c r="B50" s="32">
        <v>70</v>
      </c>
      <c r="C50" s="9">
        <f>July!C50+B50</f>
        <v>132</v>
      </c>
      <c r="D50" s="33"/>
      <c r="E50" s="9">
        <f>July!E50+D50</f>
        <v>2</v>
      </c>
      <c r="F50" s="35"/>
      <c r="G50" s="9">
        <f>July!G50+F50</f>
        <v>0</v>
      </c>
      <c r="H50" s="19"/>
      <c r="I50" s="9">
        <f>July!I50+H50</f>
        <v>0</v>
      </c>
      <c r="J50" s="24"/>
      <c r="K50" s="9">
        <f>July!K50+J50</f>
        <v>0</v>
      </c>
    </row>
    <row r="51" spans="1:11" s="5" customFormat="1" ht="18" customHeight="1">
      <c r="A51" s="9" t="s">
        <v>53</v>
      </c>
      <c r="B51" s="32"/>
      <c r="C51" s="9">
        <f>July!C51+B51</f>
        <v>0</v>
      </c>
      <c r="D51" s="33"/>
      <c r="E51" s="9">
        <f>July!E51+D51</f>
        <v>6</v>
      </c>
      <c r="F51" s="35"/>
      <c r="G51" s="9">
        <f>July!G51+F51</f>
        <v>1</v>
      </c>
      <c r="H51" s="19"/>
      <c r="I51" s="9">
        <f>July!I51+H51</f>
        <v>0</v>
      </c>
      <c r="J51" s="24"/>
      <c r="K51" s="9">
        <f>July!K51+J51</f>
        <v>0</v>
      </c>
    </row>
    <row r="52" spans="1:11" s="5" customFormat="1" ht="18" customHeight="1">
      <c r="A52" s="9" t="s">
        <v>54</v>
      </c>
      <c r="B52" s="32">
        <v>586</v>
      </c>
      <c r="C52" s="9">
        <f>July!C52+B52</f>
        <v>1198</v>
      </c>
      <c r="D52" s="33"/>
      <c r="E52" s="9">
        <f>July!E52+D52</f>
        <v>6</v>
      </c>
      <c r="F52" s="35"/>
      <c r="G52" s="9">
        <f>July!G52+F52</f>
        <v>0</v>
      </c>
      <c r="H52" s="19"/>
      <c r="I52" s="9">
        <f>July!I52+H52</f>
        <v>0</v>
      </c>
      <c r="J52" s="24"/>
      <c r="K52" s="9">
        <f>July!K52+J52</f>
        <v>0</v>
      </c>
    </row>
    <row r="53" spans="1:11" s="5" customFormat="1" ht="18" customHeight="1">
      <c r="A53" s="9" t="s">
        <v>55</v>
      </c>
      <c r="B53" s="32">
        <f>3831+1290</f>
        <v>5121</v>
      </c>
      <c r="C53" s="9">
        <f>July!C53+B53</f>
        <v>41093</v>
      </c>
      <c r="D53" s="33">
        <f>96+9</f>
        <v>105</v>
      </c>
      <c r="E53" s="9">
        <f>July!E53+D53</f>
        <v>1373</v>
      </c>
      <c r="F53" s="35">
        <v>301</v>
      </c>
      <c r="G53" s="9">
        <f>July!G53+F53</f>
        <v>8089</v>
      </c>
      <c r="H53" s="19"/>
      <c r="I53" s="9">
        <f>July!I53+H53</f>
        <v>0</v>
      </c>
      <c r="J53" s="24"/>
      <c r="K53" s="9">
        <f>July!K53+J53</f>
        <v>0</v>
      </c>
    </row>
    <row r="54" spans="1:11" s="5" customFormat="1" ht="18" customHeight="1" thickBot="1">
      <c r="A54" s="10" t="s">
        <v>56</v>
      </c>
      <c r="B54" s="32">
        <f>1532+11</f>
        <v>1543</v>
      </c>
      <c r="C54" s="9">
        <f>July!C54+B54</f>
        <v>5131</v>
      </c>
      <c r="D54" s="34">
        <v>1</v>
      </c>
      <c r="E54" s="9">
        <f>July!E54+D54</f>
        <v>1506</v>
      </c>
      <c r="F54" s="35">
        <v>1094</v>
      </c>
      <c r="G54" s="9">
        <f>July!G54+F54</f>
        <v>1094</v>
      </c>
      <c r="H54" s="19"/>
      <c r="I54" s="9">
        <f>July!I54+H54</f>
        <v>0</v>
      </c>
      <c r="J54" s="25"/>
      <c r="K54" s="9">
        <f>July!K54+J54</f>
        <v>0</v>
      </c>
    </row>
    <row r="55" spans="1:11" s="5" customFormat="1" ht="18" customHeight="1" thickBot="1" thickTop="1">
      <c r="A55" s="11" t="s">
        <v>57</v>
      </c>
      <c r="B55" s="11">
        <f>SUM(B5:B54)</f>
        <v>72942</v>
      </c>
      <c r="C55" s="11"/>
      <c r="D55" s="11">
        <f>SUM(D5:D54)</f>
        <v>1234</v>
      </c>
      <c r="E55" s="11"/>
      <c r="F55" s="11">
        <f>SUM(F5:F54)</f>
        <v>2949</v>
      </c>
      <c r="G55" s="11"/>
      <c r="H55" s="11">
        <f>SUM(H5:H54)</f>
        <v>0</v>
      </c>
      <c r="I55" s="11"/>
      <c r="J55" s="11">
        <f>SUM(J5:J54)</f>
        <v>0</v>
      </c>
      <c r="K55" s="23"/>
    </row>
    <row r="56" spans="1:9" s="5" customFormat="1" ht="18" customHeight="1" thickBot="1" thickTop="1">
      <c r="A56" s="8"/>
      <c r="B56" s="8"/>
      <c r="C56" s="8"/>
      <c r="D56" s="8"/>
      <c r="E56" s="8"/>
      <c r="F56" s="8"/>
      <c r="G56" s="8"/>
      <c r="H56" s="8"/>
      <c r="I56" s="8"/>
    </row>
    <row r="57" spans="1:11" s="5" customFormat="1" ht="18" customHeight="1" thickTop="1">
      <c r="A57" s="29" t="s">
        <v>58</v>
      </c>
      <c r="B57" s="30"/>
      <c r="C57" s="30">
        <f>July!C57+B55</f>
        <v>624518</v>
      </c>
      <c r="D57" s="30"/>
      <c r="E57" s="30">
        <f>July!E57+D55</f>
        <v>30985</v>
      </c>
      <c r="F57" s="30"/>
      <c r="G57" s="30">
        <f>July!G57+F55</f>
        <v>37330</v>
      </c>
      <c r="H57" s="30"/>
      <c r="I57" s="30">
        <f>July!I57+H55</f>
        <v>0</v>
      </c>
      <c r="J57" s="30"/>
      <c r="K57" s="30">
        <f>July!K57+J55</f>
        <v>259</v>
      </c>
    </row>
    <row r="58" spans="1:13" s="5" customFormat="1" ht="18" customHeight="1">
      <c r="A58" s="6" t="s">
        <v>75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6" t="s">
        <v>76</v>
      </c>
      <c r="M58" s="31">
        <f>B58+D58+F58</f>
        <v>0</v>
      </c>
    </row>
    <row r="59" s="5" customFormat="1" ht="18" customHeight="1">
      <c r="A59" s="5" t="s">
        <v>59</v>
      </c>
    </row>
    <row r="60" s="5" customFormat="1" ht="18" customHeight="1">
      <c r="A60" s="5" t="s">
        <v>12</v>
      </c>
    </row>
    <row r="61" s="5" customFormat="1" ht="18" customHeight="1"/>
    <row r="62" spans="1:7" s="4" customFormat="1" ht="18" customHeight="1">
      <c r="A62" s="4" t="s">
        <v>60</v>
      </c>
      <c r="E62" s="4">
        <f>July!E62+D60</f>
        <v>11215</v>
      </c>
      <c r="G62" s="4">
        <f>July!G62+F60</f>
        <v>26555</v>
      </c>
    </row>
    <row r="63" s="5" customFormat="1" ht="18" customHeight="1"/>
    <row r="64" s="5" customFormat="1" ht="18" customHeight="1"/>
  </sheetData>
  <sheetProtection/>
  <mergeCells count="5">
    <mergeCell ref="B3:C3"/>
    <mergeCell ref="D3:E3"/>
    <mergeCell ref="F3:G3"/>
    <mergeCell ref="H3:I3"/>
    <mergeCell ref="J3:K3"/>
  </mergeCells>
  <printOptions/>
  <pageMargins left="0.75" right="0.75" top="1" bottom="1" header="0.5" footer="0.5"/>
  <pageSetup fitToWidth="0" fitToHeight="1" horizontalDpi="600" verticalDpi="600" orientation="portrait" scale="5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P62"/>
  <sheetViews>
    <sheetView zoomScale="110" zoomScaleNormal="110" zoomScalePageLayoutView="0" workbookViewId="0" topLeftCell="A1">
      <pane ySplit="4" topLeftCell="A32" activePane="bottomLeft" state="frozen"/>
      <selection pane="topLeft" activeCell="A1" sqref="A1"/>
      <selection pane="bottomLeft" activeCell="B38" sqref="B38"/>
    </sheetView>
  </sheetViews>
  <sheetFormatPr defaultColWidth="9.00390625" defaultRowHeight="18" customHeight="1"/>
  <cols>
    <col min="1" max="1" width="18.125" style="2" customWidth="1"/>
    <col min="2" max="3" width="9.00390625" style="2" customWidth="1"/>
    <col min="4" max="4" width="9.25390625" style="2" customWidth="1"/>
    <col min="5" max="5" width="7.875" style="2" customWidth="1"/>
    <col min="6" max="8" width="9.00390625" style="2" customWidth="1"/>
    <col min="9" max="9" width="12.25390625" style="2" customWidth="1"/>
    <col min="10" max="10" width="7.875" style="2" customWidth="1"/>
    <col min="11" max="14" width="9.00390625" style="2" customWidth="1"/>
    <col min="15" max="16" width="12.25390625" style="2" customWidth="1"/>
    <col min="17" max="16384" width="9.00390625" style="2" customWidth="1"/>
  </cols>
  <sheetData>
    <row r="1" spans="1:8" ht="18" customHeight="1">
      <c r="A1" s="1" t="s">
        <v>77</v>
      </c>
      <c r="F1" s="2" t="s">
        <v>69</v>
      </c>
      <c r="H1" s="2" t="s">
        <v>78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1" s="5" customFormat="1" ht="18" customHeight="1">
      <c r="A3" s="4"/>
      <c r="B3" s="38" t="s">
        <v>0</v>
      </c>
      <c r="C3" s="39"/>
      <c r="D3" s="38" t="s">
        <v>1</v>
      </c>
      <c r="E3" s="39"/>
      <c r="F3" s="38" t="s">
        <v>2</v>
      </c>
      <c r="G3" s="39"/>
      <c r="H3" s="38" t="s">
        <v>3</v>
      </c>
      <c r="I3" s="39"/>
      <c r="J3" s="40" t="s">
        <v>73</v>
      </c>
      <c r="K3" s="41"/>
    </row>
    <row r="4" spans="1:11" s="8" customFormat="1" ht="18" customHeight="1">
      <c r="A4" s="6" t="s">
        <v>4</v>
      </c>
      <c r="B4" s="7" t="s">
        <v>5</v>
      </c>
      <c r="C4" s="7" t="s">
        <v>6</v>
      </c>
      <c r="D4" s="7" t="s">
        <v>5</v>
      </c>
      <c r="E4" s="7" t="s">
        <v>6</v>
      </c>
      <c r="F4" s="7" t="s">
        <v>5</v>
      </c>
      <c r="G4" s="7" t="s">
        <v>6</v>
      </c>
      <c r="H4" s="7" t="s">
        <v>5</v>
      </c>
      <c r="I4" s="7" t="s">
        <v>6</v>
      </c>
      <c r="J4" s="27" t="s">
        <v>5</v>
      </c>
      <c r="K4" s="26" t="s">
        <v>6</v>
      </c>
    </row>
    <row r="5" spans="1:11" s="5" customFormat="1" ht="18" customHeight="1">
      <c r="A5" s="9" t="s">
        <v>7</v>
      </c>
      <c r="B5" s="32"/>
      <c r="C5" s="9">
        <f>August!C5+B5</f>
        <v>463</v>
      </c>
      <c r="D5" s="33"/>
      <c r="E5" s="9">
        <f>August!E5+D5</f>
        <v>2</v>
      </c>
      <c r="F5" s="35"/>
      <c r="G5" s="9">
        <f>August!G5+F5</f>
        <v>0</v>
      </c>
      <c r="H5" s="19"/>
      <c r="I5" s="9">
        <f>August!I5+H5</f>
        <v>0</v>
      </c>
      <c r="J5" s="24"/>
      <c r="K5" s="9">
        <f>August!K5+J5</f>
        <v>0</v>
      </c>
    </row>
    <row r="6" spans="1:11" s="5" customFormat="1" ht="18" customHeight="1">
      <c r="A6" s="9" t="s">
        <v>8</v>
      </c>
      <c r="B6" s="32"/>
      <c r="C6" s="9">
        <f>August!C6+B6</f>
        <v>0</v>
      </c>
      <c r="D6" s="33"/>
      <c r="E6" s="9">
        <f>August!E6+D6</f>
        <v>0</v>
      </c>
      <c r="F6" s="35"/>
      <c r="G6" s="9">
        <f>August!G6+F6</f>
        <v>0</v>
      </c>
      <c r="H6" s="19"/>
      <c r="I6" s="9">
        <f>August!I6+H6</f>
        <v>0</v>
      </c>
      <c r="J6" s="24"/>
      <c r="K6" s="9">
        <f>August!K6+J6</f>
        <v>0</v>
      </c>
    </row>
    <row r="7" spans="1:11" s="5" customFormat="1" ht="18" customHeight="1">
      <c r="A7" s="9" t="s">
        <v>9</v>
      </c>
      <c r="B7" s="32"/>
      <c r="C7" s="9">
        <f>August!C7+B7</f>
        <v>581</v>
      </c>
      <c r="D7" s="33"/>
      <c r="E7" s="9">
        <f>August!E7+D7</f>
        <v>1</v>
      </c>
      <c r="F7" s="35"/>
      <c r="G7" s="9">
        <f>August!G7+F7</f>
        <v>145</v>
      </c>
      <c r="H7" s="19"/>
      <c r="I7" s="9">
        <f>August!I7+H7</f>
        <v>0</v>
      </c>
      <c r="J7" s="24"/>
      <c r="K7" s="9">
        <f>August!K7+J7</f>
        <v>0</v>
      </c>
    </row>
    <row r="8" spans="1:11" s="5" customFormat="1" ht="18" customHeight="1">
      <c r="A8" s="9" t="s">
        <v>10</v>
      </c>
      <c r="B8" s="32">
        <v>611</v>
      </c>
      <c r="C8" s="9">
        <f>August!C8+B8</f>
        <v>3635</v>
      </c>
      <c r="D8" s="33"/>
      <c r="E8" s="9">
        <f>August!E8+D8</f>
        <v>69</v>
      </c>
      <c r="F8" s="35"/>
      <c r="G8" s="9">
        <f>August!G8+F8</f>
        <v>227</v>
      </c>
      <c r="H8" s="19"/>
      <c r="I8" s="9">
        <f>August!I8+H8</f>
        <v>0</v>
      </c>
      <c r="J8" s="24"/>
      <c r="K8" s="9">
        <f>August!K8+J8</f>
        <v>0</v>
      </c>
    </row>
    <row r="9" spans="1:11" s="5" customFormat="1" ht="18" customHeight="1">
      <c r="A9" s="9" t="s">
        <v>11</v>
      </c>
      <c r="B9" s="32">
        <v>495</v>
      </c>
      <c r="C9" s="9">
        <f>August!C9+B9</f>
        <v>3082</v>
      </c>
      <c r="D9" s="33"/>
      <c r="E9" s="9">
        <f>August!E9+D9</f>
        <v>20</v>
      </c>
      <c r="F9" s="35">
        <v>2</v>
      </c>
      <c r="G9" s="9">
        <f>August!G9+F9</f>
        <v>1475</v>
      </c>
      <c r="H9" s="19"/>
      <c r="I9" s="9">
        <f>August!I9+H9</f>
        <v>0</v>
      </c>
      <c r="J9" s="24"/>
      <c r="K9" s="9">
        <f>August!K9+J9</f>
        <v>0</v>
      </c>
    </row>
    <row r="10" spans="1:11" s="5" customFormat="1" ht="18" customHeight="1">
      <c r="A10" s="9" t="s">
        <v>12</v>
      </c>
      <c r="B10" s="32">
        <v>185</v>
      </c>
      <c r="C10" s="9">
        <f>August!C10+B10</f>
        <v>8066</v>
      </c>
      <c r="D10" s="33">
        <v>1</v>
      </c>
      <c r="E10" s="9">
        <f>August!E10+D10</f>
        <v>122</v>
      </c>
      <c r="F10" s="35">
        <v>65</v>
      </c>
      <c r="G10" s="9">
        <f>August!G10+F10</f>
        <v>208</v>
      </c>
      <c r="H10" s="19"/>
      <c r="I10" s="9">
        <f>August!I10+H10</f>
        <v>0</v>
      </c>
      <c r="J10" s="24"/>
      <c r="K10" s="9">
        <f>August!K10+J10</f>
        <v>198</v>
      </c>
    </row>
    <row r="11" spans="1:11" s="5" customFormat="1" ht="18" customHeight="1">
      <c r="A11" s="9" t="s">
        <v>13</v>
      </c>
      <c r="B11" s="32">
        <v>1039</v>
      </c>
      <c r="C11" s="9">
        <f>August!C11+B11</f>
        <v>5371</v>
      </c>
      <c r="D11" s="33">
        <v>23</v>
      </c>
      <c r="E11" s="9">
        <f>August!E11+D11</f>
        <v>152</v>
      </c>
      <c r="F11" s="35"/>
      <c r="G11" s="9">
        <f>August!G11+F11</f>
        <v>170</v>
      </c>
      <c r="H11" s="19"/>
      <c r="I11" s="9">
        <f>August!I11+H11</f>
        <v>0</v>
      </c>
      <c r="J11" s="24"/>
      <c r="K11" s="9">
        <f>August!K11+J11</f>
        <v>0</v>
      </c>
    </row>
    <row r="12" spans="1:11" s="5" customFormat="1" ht="18" customHeight="1">
      <c r="A12" s="9" t="s">
        <v>14</v>
      </c>
      <c r="B12" s="32"/>
      <c r="C12" s="9">
        <f>August!C12+B12</f>
        <v>0</v>
      </c>
      <c r="D12" s="33"/>
      <c r="E12" s="9">
        <f>August!E12+D12</f>
        <v>4</v>
      </c>
      <c r="F12" s="35"/>
      <c r="G12" s="9">
        <f>August!G12+F12</f>
        <v>4</v>
      </c>
      <c r="H12" s="19"/>
      <c r="I12" s="9">
        <f>August!I12+H12</f>
        <v>0</v>
      </c>
      <c r="J12" s="24"/>
      <c r="K12" s="9">
        <f>August!K12+J12</f>
        <v>0</v>
      </c>
    </row>
    <row r="13" spans="1:11" s="5" customFormat="1" ht="18" customHeight="1">
      <c r="A13" s="9" t="s">
        <v>15</v>
      </c>
      <c r="B13" s="32"/>
      <c r="C13" s="9">
        <f>August!C13+B13</f>
        <v>0</v>
      </c>
      <c r="D13" s="33"/>
      <c r="E13" s="9">
        <f>August!E13+D13</f>
        <v>0</v>
      </c>
      <c r="F13" s="35"/>
      <c r="G13" s="9">
        <f>August!G13+F13</f>
        <v>0</v>
      </c>
      <c r="H13" s="19"/>
      <c r="I13" s="9">
        <f>August!I13+H13</f>
        <v>0</v>
      </c>
      <c r="J13" s="24"/>
      <c r="K13" s="9">
        <f>August!K13+J13</f>
        <v>0</v>
      </c>
    </row>
    <row r="14" spans="1:11" s="5" customFormat="1" ht="18" customHeight="1">
      <c r="A14" s="9" t="s">
        <v>16</v>
      </c>
      <c r="B14" s="32"/>
      <c r="C14" s="9">
        <f>August!C14+B14</f>
        <v>4371</v>
      </c>
      <c r="D14" s="33">
        <v>22</v>
      </c>
      <c r="E14" s="9">
        <f>August!E14+D14</f>
        <v>22</v>
      </c>
      <c r="F14" s="35"/>
      <c r="G14" s="9">
        <f>August!G14+F14</f>
        <v>2</v>
      </c>
      <c r="H14" s="19"/>
      <c r="I14" s="9">
        <f>August!I14+H14</f>
        <v>0</v>
      </c>
      <c r="J14" s="24"/>
      <c r="K14" s="9">
        <f>August!K14+J14</f>
        <v>0</v>
      </c>
    </row>
    <row r="15" spans="1:11" s="5" customFormat="1" ht="18" customHeight="1">
      <c r="A15" s="9" t="s">
        <v>17</v>
      </c>
      <c r="B15" s="32">
        <v>1483</v>
      </c>
      <c r="C15" s="9">
        <f>August!C15+B15</f>
        <v>3921</v>
      </c>
      <c r="D15" s="33">
        <v>2</v>
      </c>
      <c r="E15" s="9">
        <f>August!E15+D15</f>
        <v>3</v>
      </c>
      <c r="F15" s="35"/>
      <c r="G15" s="9">
        <f>August!G15+F15</f>
        <v>0</v>
      </c>
      <c r="H15" s="19"/>
      <c r="I15" s="9">
        <f>August!I15+H15</f>
        <v>0</v>
      </c>
      <c r="J15" s="24"/>
      <c r="K15" s="9">
        <f>August!K15+J15</f>
        <v>0</v>
      </c>
    </row>
    <row r="16" spans="1:11" s="5" customFormat="1" ht="18" customHeight="1">
      <c r="A16" s="9" t="s">
        <v>18</v>
      </c>
      <c r="B16" s="32"/>
      <c r="C16" s="9">
        <f>August!C16+B16</f>
        <v>0</v>
      </c>
      <c r="D16" s="33"/>
      <c r="E16" s="9">
        <f>August!E16+D16</f>
        <v>0</v>
      </c>
      <c r="F16" s="35"/>
      <c r="G16" s="9">
        <f>August!G16+F16</f>
        <v>0</v>
      </c>
      <c r="H16" s="19"/>
      <c r="I16" s="9">
        <f>August!I16+H16</f>
        <v>0</v>
      </c>
      <c r="J16" s="24"/>
      <c r="K16" s="9">
        <f>August!K16+J16</f>
        <v>0</v>
      </c>
    </row>
    <row r="17" spans="1:11" s="5" customFormat="1" ht="18" customHeight="1">
      <c r="A17" s="9" t="s">
        <v>19</v>
      </c>
      <c r="B17" s="32"/>
      <c r="C17" s="9">
        <f>August!C17+B17</f>
        <v>2658</v>
      </c>
      <c r="D17" s="33"/>
      <c r="E17" s="9">
        <f>August!E17+D17</f>
        <v>520</v>
      </c>
      <c r="F17" s="35">
        <v>2</v>
      </c>
      <c r="G17" s="9">
        <f>August!G17+F17</f>
        <v>197</v>
      </c>
      <c r="H17" s="19"/>
      <c r="I17" s="9">
        <f>August!I17+H17</f>
        <v>0</v>
      </c>
      <c r="J17" s="24"/>
      <c r="K17" s="9">
        <f>August!K17+J17</f>
        <v>0</v>
      </c>
    </row>
    <row r="18" spans="1:11" s="5" customFormat="1" ht="18" customHeight="1">
      <c r="A18" s="9" t="s">
        <v>20</v>
      </c>
      <c r="B18" s="32">
        <v>173</v>
      </c>
      <c r="C18" s="9">
        <f>August!C18+B18</f>
        <v>3842</v>
      </c>
      <c r="D18" s="33">
        <v>19</v>
      </c>
      <c r="E18" s="9">
        <f>August!E18+D18</f>
        <v>734</v>
      </c>
      <c r="F18" s="35">
        <v>14</v>
      </c>
      <c r="G18" s="9">
        <f>August!G18+F18</f>
        <v>624</v>
      </c>
      <c r="H18" s="19"/>
      <c r="I18" s="9">
        <f>August!I18+H18</f>
        <v>0</v>
      </c>
      <c r="J18" s="24"/>
      <c r="K18" s="9">
        <f>August!K18+J18</f>
        <v>0</v>
      </c>
    </row>
    <row r="19" spans="1:11" s="5" customFormat="1" ht="18" customHeight="1">
      <c r="A19" s="9" t="s">
        <v>21</v>
      </c>
      <c r="B19" s="32">
        <f>818+2204</f>
        <v>3022</v>
      </c>
      <c r="C19" s="9">
        <f>August!C19+B19</f>
        <v>29814</v>
      </c>
      <c r="D19" s="33">
        <v>12</v>
      </c>
      <c r="E19" s="9">
        <f>August!E19+D19</f>
        <v>103</v>
      </c>
      <c r="F19" s="35"/>
      <c r="G19" s="9">
        <f>August!G19+F19</f>
        <v>5568</v>
      </c>
      <c r="H19" s="19"/>
      <c r="I19" s="9">
        <f>August!I19+H19</f>
        <v>0</v>
      </c>
      <c r="J19" s="24"/>
      <c r="K19" s="9">
        <f>August!K19+J19</f>
        <v>0</v>
      </c>
    </row>
    <row r="20" spans="1:11" s="5" customFormat="1" ht="18" customHeight="1">
      <c r="A20" s="9" t="s">
        <v>22</v>
      </c>
      <c r="B20" s="32">
        <v>1039</v>
      </c>
      <c r="C20" s="9">
        <f>August!C20+B20</f>
        <v>28861</v>
      </c>
      <c r="D20" s="33">
        <v>56</v>
      </c>
      <c r="E20" s="9">
        <f>August!E20+D20</f>
        <v>1201</v>
      </c>
      <c r="F20" s="35"/>
      <c r="G20" s="9">
        <f>August!G20+F20</f>
        <v>1065</v>
      </c>
      <c r="H20" s="19"/>
      <c r="I20" s="9">
        <f>August!I20+H20</f>
        <v>0</v>
      </c>
      <c r="J20" s="24"/>
      <c r="K20" s="9">
        <f>August!K20+J20</f>
        <v>0</v>
      </c>
    </row>
    <row r="21" spans="1:11" s="5" customFormat="1" ht="18" customHeight="1">
      <c r="A21" s="9" t="s">
        <v>23</v>
      </c>
      <c r="B21" s="32">
        <f>6977+372</f>
        <v>7349</v>
      </c>
      <c r="C21" s="9">
        <f>August!C21+B21</f>
        <v>49944</v>
      </c>
      <c r="D21" s="33"/>
      <c r="E21" s="9">
        <f>August!E21+D21</f>
        <v>1563</v>
      </c>
      <c r="F21" s="35"/>
      <c r="G21" s="9">
        <f>August!G21+F21</f>
        <v>302</v>
      </c>
      <c r="H21" s="19"/>
      <c r="I21" s="9">
        <f>August!I21+H21</f>
        <v>0</v>
      </c>
      <c r="J21" s="24"/>
      <c r="K21" s="9">
        <f>August!K21+J21</f>
        <v>0</v>
      </c>
    </row>
    <row r="22" spans="1:11" s="5" customFormat="1" ht="18" customHeight="1">
      <c r="A22" s="9" t="s">
        <v>24</v>
      </c>
      <c r="B22" s="32"/>
      <c r="C22" s="9">
        <f>August!C22+B22</f>
        <v>0</v>
      </c>
      <c r="D22" s="33"/>
      <c r="E22" s="9">
        <f>August!E22+D22</f>
        <v>0</v>
      </c>
      <c r="F22" s="35"/>
      <c r="G22" s="9">
        <f>August!G22+F22</f>
        <v>0</v>
      </c>
      <c r="H22" s="19"/>
      <c r="I22" s="9">
        <f>August!I22+H22</f>
        <v>0</v>
      </c>
      <c r="J22" s="24"/>
      <c r="K22" s="9">
        <f>August!K22+J22</f>
        <v>0</v>
      </c>
    </row>
    <row r="23" spans="1:11" s="5" customFormat="1" ht="18" customHeight="1">
      <c r="A23" s="9" t="s">
        <v>25</v>
      </c>
      <c r="B23" s="32"/>
      <c r="C23" s="9">
        <f>August!C23+B23</f>
        <v>0</v>
      </c>
      <c r="D23" s="33"/>
      <c r="E23" s="9">
        <f>August!E23+D23</f>
        <v>0</v>
      </c>
      <c r="F23" s="35"/>
      <c r="G23" s="9">
        <f>August!G23+F23</f>
        <v>0</v>
      </c>
      <c r="H23" s="19"/>
      <c r="I23" s="9">
        <f>August!I23+H23</f>
        <v>0</v>
      </c>
      <c r="J23" s="24"/>
      <c r="K23" s="9">
        <f>August!K23+J23</f>
        <v>0</v>
      </c>
    </row>
    <row r="24" spans="1:11" s="5" customFormat="1" ht="18" customHeight="1">
      <c r="A24" s="9" t="s">
        <v>26</v>
      </c>
      <c r="B24" s="32"/>
      <c r="C24" s="9">
        <f>August!C24+B24</f>
        <v>0</v>
      </c>
      <c r="D24" s="33"/>
      <c r="E24" s="9">
        <f>August!E24+D24</f>
        <v>1</v>
      </c>
      <c r="F24" s="35"/>
      <c r="G24" s="9">
        <f>August!G24+F24</f>
        <v>5</v>
      </c>
      <c r="H24" s="19"/>
      <c r="I24" s="9">
        <f>August!I24+H24</f>
        <v>0</v>
      </c>
      <c r="J24" s="24"/>
      <c r="K24" s="9">
        <f>August!K24+J24</f>
        <v>0</v>
      </c>
    </row>
    <row r="25" spans="1:11" s="5" customFormat="1" ht="18" customHeight="1">
      <c r="A25" s="9" t="s">
        <v>27</v>
      </c>
      <c r="B25" s="32"/>
      <c r="C25" s="9">
        <f>August!C25+B25</f>
        <v>0</v>
      </c>
      <c r="D25" s="33"/>
      <c r="E25" s="9">
        <f>August!E25+D25</f>
        <v>0</v>
      </c>
      <c r="F25" s="35"/>
      <c r="G25" s="9">
        <f>August!G25+F25</f>
        <v>0</v>
      </c>
      <c r="H25" s="19"/>
      <c r="I25" s="9">
        <f>August!I25+H25</f>
        <v>0</v>
      </c>
      <c r="J25" s="24"/>
      <c r="K25" s="9">
        <f>August!K25+J25</f>
        <v>0</v>
      </c>
    </row>
    <row r="26" spans="1:11" s="5" customFormat="1" ht="18" customHeight="1">
      <c r="A26" s="9" t="s">
        <v>28</v>
      </c>
      <c r="B26" s="32">
        <v>3728</v>
      </c>
      <c r="C26" s="9">
        <f>August!C26+B26</f>
        <v>31571</v>
      </c>
      <c r="D26" s="33"/>
      <c r="E26" s="9">
        <f>August!E26+D26</f>
        <v>64</v>
      </c>
      <c r="F26" s="35"/>
      <c r="G26" s="9">
        <f>August!G26+F26</f>
        <v>87</v>
      </c>
      <c r="H26" s="19"/>
      <c r="I26" s="9">
        <f>August!I26+H26</f>
        <v>0</v>
      </c>
      <c r="J26" s="24"/>
      <c r="K26" s="9">
        <f>August!K26+J26</f>
        <v>0</v>
      </c>
    </row>
    <row r="27" spans="1:11" s="5" customFormat="1" ht="18" customHeight="1">
      <c r="A27" s="9" t="s">
        <v>29</v>
      </c>
      <c r="B27" s="32">
        <f>220+1680</f>
        <v>1900</v>
      </c>
      <c r="C27" s="9">
        <f>August!C27+B27</f>
        <v>20007</v>
      </c>
      <c r="D27" s="33">
        <f>16+223</f>
        <v>239</v>
      </c>
      <c r="E27" s="9">
        <f>August!E27+D27</f>
        <v>1167</v>
      </c>
      <c r="F27" s="35">
        <f>216+731</f>
        <v>947</v>
      </c>
      <c r="G27" s="9">
        <f>August!G27+F27</f>
        <v>5579</v>
      </c>
      <c r="H27" s="19"/>
      <c r="I27" s="9">
        <f>August!I27+H27</f>
        <v>0</v>
      </c>
      <c r="J27" s="24"/>
      <c r="K27" s="9">
        <f>August!K27+J27</f>
        <v>0</v>
      </c>
    </row>
    <row r="28" spans="1:11" s="5" customFormat="1" ht="18" customHeight="1">
      <c r="A28" s="9" t="s">
        <v>30</v>
      </c>
      <c r="B28" s="32">
        <v>219</v>
      </c>
      <c r="C28" s="9">
        <f>August!C28+B28</f>
        <v>836</v>
      </c>
      <c r="D28" s="33">
        <v>3</v>
      </c>
      <c r="E28" s="9">
        <f>August!E28+D28</f>
        <v>10</v>
      </c>
      <c r="F28" s="35"/>
      <c r="G28" s="9">
        <f>August!G28+F28</f>
        <v>0</v>
      </c>
      <c r="H28" s="19"/>
      <c r="I28" s="9">
        <f>August!I28+H28</f>
        <v>0</v>
      </c>
      <c r="J28" s="24"/>
      <c r="K28" s="9">
        <f>August!K28+J28</f>
        <v>0</v>
      </c>
    </row>
    <row r="29" spans="1:11" s="5" customFormat="1" ht="18" customHeight="1">
      <c r="A29" s="9" t="s">
        <v>31</v>
      </c>
      <c r="B29" s="32">
        <f>150+8193</f>
        <v>8343</v>
      </c>
      <c r="C29" s="9">
        <f>August!C29+B29</f>
        <v>78374</v>
      </c>
      <c r="D29" s="33">
        <v>68</v>
      </c>
      <c r="E29" s="9">
        <f>August!E29+D29</f>
        <v>1416</v>
      </c>
      <c r="F29" s="35"/>
      <c r="G29" s="9">
        <f>August!G29+F29</f>
        <v>2043</v>
      </c>
      <c r="H29" s="19"/>
      <c r="I29" s="9">
        <f>August!I29+H29</f>
        <v>0</v>
      </c>
      <c r="J29" s="24"/>
      <c r="K29" s="9">
        <f>August!K29+J29</f>
        <v>58</v>
      </c>
    </row>
    <row r="30" spans="1:11" s="5" customFormat="1" ht="18" customHeight="1">
      <c r="A30" s="9" t="s">
        <v>32</v>
      </c>
      <c r="B30" s="32">
        <f>7370+4143</f>
        <v>11513</v>
      </c>
      <c r="C30" s="9">
        <f>August!C30+B30</f>
        <v>48498</v>
      </c>
      <c r="D30" s="33">
        <f>196+210</f>
        <v>406</v>
      </c>
      <c r="E30" s="9">
        <f>August!E30+D30</f>
        <v>8784</v>
      </c>
      <c r="F30" s="35"/>
      <c r="G30" s="9">
        <f>August!G30+F30</f>
        <v>220</v>
      </c>
      <c r="H30" s="19"/>
      <c r="I30" s="9">
        <f>August!I30+H30</f>
        <v>0</v>
      </c>
      <c r="J30" s="24"/>
      <c r="K30" s="9">
        <f>August!K30+J30</f>
        <v>0</v>
      </c>
    </row>
    <row r="31" spans="1:11" s="5" customFormat="1" ht="18" customHeight="1">
      <c r="A31" s="9" t="s">
        <v>33</v>
      </c>
      <c r="B31" s="32">
        <f>128+6062</f>
        <v>6190</v>
      </c>
      <c r="C31" s="9">
        <f>August!C31+B31</f>
        <v>42995</v>
      </c>
      <c r="D31" s="33">
        <f>18+122</f>
        <v>140</v>
      </c>
      <c r="E31" s="9">
        <f>August!E31+D31</f>
        <v>5693</v>
      </c>
      <c r="F31" s="35"/>
      <c r="G31" s="9">
        <f>August!G31+F31</f>
        <v>1423</v>
      </c>
      <c r="H31" s="19"/>
      <c r="I31" s="9">
        <f>August!I31+H31</f>
        <v>0</v>
      </c>
      <c r="J31" s="24"/>
      <c r="K31" s="9">
        <f>August!K31+J31</f>
        <v>0</v>
      </c>
    </row>
    <row r="32" spans="1:11" s="5" customFormat="1" ht="18" customHeight="1">
      <c r="A32" s="9" t="s">
        <v>34</v>
      </c>
      <c r="B32" s="32"/>
      <c r="C32" s="9">
        <f>August!C32+B32</f>
        <v>0</v>
      </c>
      <c r="D32" s="33"/>
      <c r="E32" s="9">
        <f>August!E32+D32</f>
        <v>0</v>
      </c>
      <c r="F32" s="35"/>
      <c r="G32" s="9">
        <f>August!G32+F32</f>
        <v>0</v>
      </c>
      <c r="H32" s="19"/>
      <c r="I32" s="9">
        <f>August!I32+H32</f>
        <v>0</v>
      </c>
      <c r="J32" s="24"/>
      <c r="K32" s="9">
        <f>August!K32+J32</f>
        <v>0</v>
      </c>
    </row>
    <row r="33" spans="1:11" s="5" customFormat="1" ht="18" customHeight="1">
      <c r="A33" s="9" t="s">
        <v>35</v>
      </c>
      <c r="B33" s="32"/>
      <c r="C33" s="9">
        <f>August!C33+B33</f>
        <v>0</v>
      </c>
      <c r="D33" s="33"/>
      <c r="E33" s="9">
        <f>August!E33+D33</f>
        <v>0</v>
      </c>
      <c r="F33" s="35"/>
      <c r="G33" s="9">
        <f>August!G33+F33</f>
        <v>0</v>
      </c>
      <c r="H33" s="19"/>
      <c r="I33" s="9">
        <f>August!I33+H33</f>
        <v>0</v>
      </c>
      <c r="J33" s="24"/>
      <c r="K33" s="9">
        <f>August!K33+J33</f>
        <v>0</v>
      </c>
    </row>
    <row r="34" spans="1:11" s="5" customFormat="1" ht="18" customHeight="1">
      <c r="A34" s="9" t="s">
        <v>36</v>
      </c>
      <c r="B34" s="32"/>
      <c r="C34" s="9">
        <f>August!C34+B34</f>
        <v>0</v>
      </c>
      <c r="D34" s="33"/>
      <c r="E34" s="9">
        <f>August!E34+D34</f>
        <v>0</v>
      </c>
      <c r="F34" s="35"/>
      <c r="G34" s="9">
        <f>August!G34+F34</f>
        <v>0</v>
      </c>
      <c r="H34" s="19"/>
      <c r="I34" s="9">
        <f>August!I34+H34</f>
        <v>0</v>
      </c>
      <c r="J34" s="24"/>
      <c r="K34" s="9">
        <f>August!K34+J34</f>
        <v>0</v>
      </c>
    </row>
    <row r="35" spans="1:11" s="5" customFormat="1" ht="18" customHeight="1">
      <c r="A35" s="9" t="s">
        <v>37</v>
      </c>
      <c r="B35" s="32">
        <f>527+540</f>
        <v>1067</v>
      </c>
      <c r="C35" s="9">
        <f>August!C35+B35</f>
        <v>4972</v>
      </c>
      <c r="D35" s="33">
        <v>2</v>
      </c>
      <c r="E35" s="9">
        <f>August!E35+D35</f>
        <v>27</v>
      </c>
      <c r="F35" s="35">
        <v>138</v>
      </c>
      <c r="G35" s="9">
        <f>August!G35+F35</f>
        <v>1137</v>
      </c>
      <c r="H35" s="19"/>
      <c r="I35" s="9">
        <f>August!I35+H35</f>
        <v>0</v>
      </c>
      <c r="J35" s="24"/>
      <c r="K35" s="9">
        <f>August!K35+J35</f>
        <v>0</v>
      </c>
    </row>
    <row r="36" spans="1:11" s="5" customFormat="1" ht="18" customHeight="1">
      <c r="A36" s="9" t="s">
        <v>38</v>
      </c>
      <c r="B36" s="32"/>
      <c r="C36" s="9">
        <f>August!C36+B36</f>
        <v>341</v>
      </c>
      <c r="D36" s="33"/>
      <c r="E36" s="9">
        <f>August!E36+D36</f>
        <v>2</v>
      </c>
      <c r="F36" s="35">
        <v>1</v>
      </c>
      <c r="G36" s="9">
        <f>August!G36+F36</f>
        <v>1998</v>
      </c>
      <c r="H36" s="19"/>
      <c r="I36" s="9">
        <f>August!I36+H36</f>
        <v>0</v>
      </c>
      <c r="J36" s="24"/>
      <c r="K36" s="9">
        <f>August!K36+J36</f>
        <v>0</v>
      </c>
    </row>
    <row r="37" spans="1:11" s="5" customFormat="1" ht="18" customHeight="1">
      <c r="A37" s="9" t="s">
        <v>39</v>
      </c>
      <c r="B37" s="32">
        <v>75</v>
      </c>
      <c r="C37" s="9">
        <f>August!C37+B37</f>
        <v>290</v>
      </c>
      <c r="D37" s="33">
        <v>10</v>
      </c>
      <c r="E37" s="9">
        <f>August!E37+D37</f>
        <v>321</v>
      </c>
      <c r="F37" s="35"/>
      <c r="G37" s="9">
        <f>August!G37+F37</f>
        <v>0</v>
      </c>
      <c r="H37" s="19"/>
      <c r="I37" s="9">
        <f>August!I37+H37</f>
        <v>0</v>
      </c>
      <c r="J37" s="24"/>
      <c r="K37" s="9">
        <f>August!K37+J37</f>
        <v>0</v>
      </c>
    </row>
    <row r="38" spans="1:11" s="5" customFormat="1" ht="18" customHeight="1">
      <c r="A38" s="9" t="s">
        <v>40</v>
      </c>
      <c r="B38" s="32">
        <f>2895+300</f>
        <v>3195</v>
      </c>
      <c r="C38" s="9">
        <f>August!C38+B38</f>
        <v>46252</v>
      </c>
      <c r="D38" s="33">
        <v>48</v>
      </c>
      <c r="E38" s="9">
        <f>August!E38+D38</f>
        <v>467</v>
      </c>
      <c r="F38" s="35"/>
      <c r="G38" s="9">
        <f>August!G38+F38</f>
        <v>190</v>
      </c>
      <c r="H38" s="19"/>
      <c r="I38" s="9">
        <f>August!I38+H38</f>
        <v>0</v>
      </c>
      <c r="J38" s="24"/>
      <c r="K38" s="9">
        <f>August!K38+J38</f>
        <v>0</v>
      </c>
    </row>
    <row r="39" spans="1:11" s="5" customFormat="1" ht="18" customHeight="1">
      <c r="A39" s="9" t="s">
        <v>41</v>
      </c>
      <c r="B39" s="32">
        <v>580</v>
      </c>
      <c r="C39" s="9">
        <f>August!C39+B39</f>
        <v>9319</v>
      </c>
      <c r="D39" s="33">
        <v>1</v>
      </c>
      <c r="E39" s="9">
        <f>August!E39+D39</f>
        <v>35</v>
      </c>
      <c r="F39" s="35"/>
      <c r="G39" s="9">
        <f>August!G39+F39</f>
        <v>294</v>
      </c>
      <c r="H39" s="19"/>
      <c r="I39" s="9">
        <f>August!I39+H39</f>
        <v>0</v>
      </c>
      <c r="J39" s="24"/>
      <c r="K39" s="9">
        <f>August!K39+J39</f>
        <v>0</v>
      </c>
    </row>
    <row r="40" spans="1:11" s="5" customFormat="1" ht="18" customHeight="1">
      <c r="A40" s="9" t="s">
        <v>42</v>
      </c>
      <c r="B40" s="32">
        <f>372+733</f>
        <v>1105</v>
      </c>
      <c r="C40" s="9">
        <f>August!C40+B40</f>
        <v>9208</v>
      </c>
      <c r="D40" s="33">
        <f>11+88</f>
        <v>99</v>
      </c>
      <c r="E40" s="9">
        <f>August!E40+D40</f>
        <v>716</v>
      </c>
      <c r="F40" s="35"/>
      <c r="G40" s="9">
        <f>August!G40+F40</f>
        <v>0</v>
      </c>
      <c r="H40" s="19"/>
      <c r="I40" s="9">
        <f>August!I40+H40</f>
        <v>0</v>
      </c>
      <c r="J40" s="24"/>
      <c r="K40" s="9">
        <f>August!K40+J40</f>
        <v>0</v>
      </c>
    </row>
    <row r="41" spans="1:11" s="5" customFormat="1" ht="18" customHeight="1">
      <c r="A41" s="9" t="s">
        <v>43</v>
      </c>
      <c r="B41" s="32"/>
      <c r="C41" s="9">
        <f>August!C41+B41</f>
        <v>0</v>
      </c>
      <c r="D41" s="33"/>
      <c r="E41" s="9">
        <f>August!E41+D41</f>
        <v>2</v>
      </c>
      <c r="F41" s="35"/>
      <c r="G41" s="9">
        <f>August!G41+F41</f>
        <v>0</v>
      </c>
      <c r="H41" s="19"/>
      <c r="I41" s="9">
        <f>August!I41+H41</f>
        <v>0</v>
      </c>
      <c r="J41" s="24"/>
      <c r="K41" s="9">
        <f>August!K41+J41</f>
        <v>0</v>
      </c>
    </row>
    <row r="42" spans="1:11" s="5" customFormat="1" ht="18" customHeight="1">
      <c r="A42" s="9" t="s">
        <v>44</v>
      </c>
      <c r="B42" s="32">
        <v>53</v>
      </c>
      <c r="C42" s="9">
        <f>August!C42+B42</f>
        <v>1249</v>
      </c>
      <c r="D42" s="33">
        <v>1</v>
      </c>
      <c r="E42" s="9">
        <f>August!E42+D42</f>
        <v>11</v>
      </c>
      <c r="F42" s="35">
        <f>45+306</f>
        <v>351</v>
      </c>
      <c r="G42" s="9">
        <f>August!G42+F42</f>
        <v>1184</v>
      </c>
      <c r="H42" s="19"/>
      <c r="I42" s="9">
        <f>August!I42+H42</f>
        <v>0</v>
      </c>
      <c r="J42" s="24"/>
      <c r="K42" s="9">
        <f>August!K42+J42</f>
        <v>0</v>
      </c>
    </row>
    <row r="43" spans="1:11" s="5" customFormat="1" ht="18" customHeight="1">
      <c r="A43" s="9" t="s">
        <v>45</v>
      </c>
      <c r="B43" s="32"/>
      <c r="C43" s="9">
        <f>August!C43+B43</f>
        <v>0</v>
      </c>
      <c r="D43" s="33"/>
      <c r="E43" s="9">
        <f>August!E43+D43</f>
        <v>0</v>
      </c>
      <c r="F43" s="35"/>
      <c r="G43" s="9">
        <f>August!G43+F43</f>
        <v>0</v>
      </c>
      <c r="H43" s="19"/>
      <c r="I43" s="9">
        <f>August!I43+H43</f>
        <v>0</v>
      </c>
      <c r="J43" s="24"/>
      <c r="K43" s="9">
        <f>August!K43+J43</f>
        <v>0</v>
      </c>
    </row>
    <row r="44" spans="1:11" s="5" customFormat="1" ht="18" customHeight="1">
      <c r="A44" s="9" t="s">
        <v>46</v>
      </c>
      <c r="B44" s="32">
        <v>324</v>
      </c>
      <c r="C44" s="9">
        <f>August!C44+B44</f>
        <v>561</v>
      </c>
      <c r="D44" s="33">
        <v>5</v>
      </c>
      <c r="E44" s="9">
        <f>August!E44+D44</f>
        <v>5</v>
      </c>
      <c r="F44" s="35"/>
      <c r="G44" s="9">
        <f>August!G44+F44</f>
        <v>14</v>
      </c>
      <c r="H44" s="19"/>
      <c r="I44" s="9">
        <f>August!I44+H44</f>
        <v>0</v>
      </c>
      <c r="J44" s="24"/>
      <c r="K44" s="9">
        <f>August!K44+J44</f>
        <v>0</v>
      </c>
    </row>
    <row r="45" spans="1:11" s="5" customFormat="1" ht="18" customHeight="1">
      <c r="A45" s="9" t="s">
        <v>47</v>
      </c>
      <c r="B45" s="32">
        <f>3170+13215</f>
        <v>16385</v>
      </c>
      <c r="C45" s="9">
        <f>August!C45+B45</f>
        <v>179457</v>
      </c>
      <c r="D45" s="33">
        <f>20+30</f>
        <v>50</v>
      </c>
      <c r="E45" s="9">
        <f>August!E45+D45</f>
        <v>5728</v>
      </c>
      <c r="F45" s="35"/>
      <c r="G45" s="9">
        <f>August!G45+F45</f>
        <v>1272</v>
      </c>
      <c r="H45" s="19"/>
      <c r="I45" s="9">
        <f>August!I45+H45</f>
        <v>0</v>
      </c>
      <c r="J45" s="24"/>
      <c r="K45" s="9">
        <f>August!K45+J45</f>
        <v>0</v>
      </c>
    </row>
    <row r="46" spans="1:11" s="5" customFormat="1" ht="18" customHeight="1">
      <c r="A46" s="9" t="s">
        <v>48</v>
      </c>
      <c r="B46" s="32">
        <f>159+399</f>
        <v>558</v>
      </c>
      <c r="C46" s="9">
        <f>August!C46+B46</f>
        <v>11874</v>
      </c>
      <c r="D46" s="33"/>
      <c r="E46" s="9">
        <f>August!E46+D46</f>
        <v>18</v>
      </c>
      <c r="F46" s="35"/>
      <c r="G46" s="9">
        <f>August!G46+F46</f>
        <v>197</v>
      </c>
      <c r="H46" s="19"/>
      <c r="I46" s="9">
        <f>August!I46+H46</f>
        <v>0</v>
      </c>
      <c r="J46" s="24"/>
      <c r="K46" s="9">
        <f>August!K46+J46</f>
        <v>0</v>
      </c>
    </row>
    <row r="47" spans="1:11" s="5" customFormat="1" ht="18" customHeight="1">
      <c r="A47" s="9" t="s">
        <v>49</v>
      </c>
      <c r="B47" s="32">
        <f>819+730</f>
        <v>1549</v>
      </c>
      <c r="C47" s="9">
        <f>August!C47+B47</f>
        <v>18042</v>
      </c>
      <c r="D47" s="33">
        <f>3+13</f>
        <v>16</v>
      </c>
      <c r="E47" s="9">
        <f>August!E47+D47</f>
        <v>321</v>
      </c>
      <c r="F47" s="35">
        <v>166</v>
      </c>
      <c r="G47" s="9">
        <f>August!G47+F47</f>
        <v>2298</v>
      </c>
      <c r="H47" s="19"/>
      <c r="I47" s="9">
        <f>August!I47+H47</f>
        <v>0</v>
      </c>
      <c r="J47" s="24"/>
      <c r="K47" s="9">
        <f>August!K47+J47</f>
        <v>3</v>
      </c>
    </row>
    <row r="48" spans="1:11" s="5" customFormat="1" ht="18" customHeight="1">
      <c r="A48" s="9" t="s">
        <v>50</v>
      </c>
      <c r="B48" s="32"/>
      <c r="C48" s="9">
        <f>August!C48+B48</f>
        <v>689</v>
      </c>
      <c r="D48" s="33"/>
      <c r="E48" s="9">
        <f>August!E48+D48</f>
        <v>11</v>
      </c>
      <c r="F48" s="35"/>
      <c r="G48" s="9">
        <f>August!G48+F48</f>
        <v>1715</v>
      </c>
      <c r="H48" s="19"/>
      <c r="I48" s="9">
        <f>August!I48+H48</f>
        <v>0</v>
      </c>
      <c r="J48" s="24"/>
      <c r="K48" s="9">
        <f>August!K48+J48</f>
        <v>0</v>
      </c>
    </row>
    <row r="49" spans="1:11" s="5" customFormat="1" ht="18" customHeight="1">
      <c r="A49" s="9" t="s">
        <v>51</v>
      </c>
      <c r="B49" s="32"/>
      <c r="C49" s="9">
        <f>August!C49+B49</f>
        <v>0</v>
      </c>
      <c r="D49" s="33">
        <v>12</v>
      </c>
      <c r="E49" s="9">
        <f>August!E49+D49</f>
        <v>12</v>
      </c>
      <c r="F49" s="35"/>
      <c r="G49" s="9">
        <f>August!G49+F49</f>
        <v>189</v>
      </c>
      <c r="H49" s="19"/>
      <c r="I49" s="9">
        <f>August!I49+H49</f>
        <v>0</v>
      </c>
      <c r="J49" s="24"/>
      <c r="K49" s="9">
        <f>August!K49+J49</f>
        <v>0</v>
      </c>
    </row>
    <row r="50" spans="1:11" s="5" customFormat="1" ht="18" customHeight="1">
      <c r="A50" s="9" t="s">
        <v>52</v>
      </c>
      <c r="B50" s="32"/>
      <c r="C50" s="9">
        <f>August!C50+B50</f>
        <v>132</v>
      </c>
      <c r="D50" s="33"/>
      <c r="E50" s="9">
        <f>August!E50+D50</f>
        <v>2</v>
      </c>
      <c r="F50" s="35"/>
      <c r="G50" s="9">
        <f>August!G50+F50</f>
        <v>0</v>
      </c>
      <c r="H50" s="19"/>
      <c r="I50" s="9">
        <f>August!I50+H50</f>
        <v>0</v>
      </c>
      <c r="J50" s="24"/>
      <c r="K50" s="9">
        <f>August!K50+J50</f>
        <v>0</v>
      </c>
    </row>
    <row r="51" spans="1:11" s="5" customFormat="1" ht="18" customHeight="1">
      <c r="A51" s="9" t="s">
        <v>53</v>
      </c>
      <c r="B51" s="32">
        <v>71</v>
      </c>
      <c r="C51" s="9">
        <f>August!C51+B51</f>
        <v>71</v>
      </c>
      <c r="D51" s="33"/>
      <c r="E51" s="9">
        <f>August!E51+D51</f>
        <v>6</v>
      </c>
      <c r="F51" s="35"/>
      <c r="G51" s="9">
        <f>August!G51+F51</f>
        <v>1</v>
      </c>
      <c r="H51" s="19"/>
      <c r="I51" s="9">
        <f>August!I51+H51</f>
        <v>0</v>
      </c>
      <c r="J51" s="24"/>
      <c r="K51" s="9">
        <f>August!K51+J51</f>
        <v>0</v>
      </c>
    </row>
    <row r="52" spans="1:11" s="5" customFormat="1" ht="18" customHeight="1">
      <c r="A52" s="9" t="s">
        <v>54</v>
      </c>
      <c r="B52" s="32">
        <v>262</v>
      </c>
      <c r="C52" s="9">
        <f>August!C52+B52</f>
        <v>1460</v>
      </c>
      <c r="D52" s="33"/>
      <c r="E52" s="9">
        <f>August!E52+D52</f>
        <v>6</v>
      </c>
      <c r="F52" s="35"/>
      <c r="G52" s="9">
        <f>August!G52+F52</f>
        <v>0</v>
      </c>
      <c r="H52" s="19"/>
      <c r="I52" s="9">
        <f>August!I52+H52</f>
        <v>0</v>
      </c>
      <c r="J52" s="24"/>
      <c r="K52" s="9">
        <f>August!K52+J52</f>
        <v>0</v>
      </c>
    </row>
    <row r="53" spans="1:11" s="5" customFormat="1" ht="18" customHeight="1">
      <c r="A53" s="9" t="s">
        <v>55</v>
      </c>
      <c r="B53" s="32">
        <v>5370</v>
      </c>
      <c r="C53" s="9">
        <f>August!C53+B53</f>
        <v>46463</v>
      </c>
      <c r="D53" s="33">
        <v>87</v>
      </c>
      <c r="E53" s="9">
        <f>August!E53+D53</f>
        <v>1460</v>
      </c>
      <c r="F53" s="35">
        <v>810</v>
      </c>
      <c r="G53" s="9">
        <f>August!G53+F53</f>
        <v>8899</v>
      </c>
      <c r="H53" s="19"/>
      <c r="I53" s="9">
        <f>August!I53+H53</f>
        <v>0</v>
      </c>
      <c r="J53" s="24"/>
      <c r="K53" s="9">
        <f>August!K53+J53</f>
        <v>0</v>
      </c>
    </row>
    <row r="54" spans="1:11" s="5" customFormat="1" ht="18" customHeight="1" thickBot="1">
      <c r="A54" s="10" t="s">
        <v>56</v>
      </c>
      <c r="B54" s="32">
        <v>1985</v>
      </c>
      <c r="C54" s="9">
        <f>August!C54+B54</f>
        <v>7116</v>
      </c>
      <c r="D54" s="34">
        <f>534+11</f>
        <v>545</v>
      </c>
      <c r="E54" s="9">
        <f>August!E54+D54</f>
        <v>2051</v>
      </c>
      <c r="F54" s="35"/>
      <c r="G54" s="9">
        <f>August!G54+F54</f>
        <v>1094</v>
      </c>
      <c r="H54" s="19"/>
      <c r="I54" s="9">
        <f>August!I54+H54</f>
        <v>0</v>
      </c>
      <c r="J54" s="25"/>
      <c r="K54" s="9">
        <f>August!K54+J54</f>
        <v>0</v>
      </c>
    </row>
    <row r="55" spans="1:11" s="5" customFormat="1" ht="18" customHeight="1" thickBot="1" thickTop="1">
      <c r="A55" s="11" t="s">
        <v>57</v>
      </c>
      <c r="B55" s="11">
        <f>SUM(B5:B54)</f>
        <v>79868</v>
      </c>
      <c r="C55" s="11"/>
      <c r="D55" s="11">
        <f>SUM(D5:D54)</f>
        <v>1867</v>
      </c>
      <c r="E55" s="11"/>
      <c r="F55" s="11">
        <f>SUM(F5:F54)</f>
        <v>2496</v>
      </c>
      <c r="G55" s="11"/>
      <c r="H55" s="11">
        <f>SUM(H5:H54)</f>
        <v>0</v>
      </c>
      <c r="I55" s="11"/>
      <c r="J55" s="11">
        <f>SUM(J5:J54)</f>
        <v>0</v>
      </c>
      <c r="K55" s="23"/>
    </row>
    <row r="56" spans="1:9" s="5" customFormat="1" ht="18" customHeight="1" thickBot="1" thickTop="1">
      <c r="A56" s="8"/>
      <c r="B56" s="8"/>
      <c r="C56" s="8"/>
      <c r="D56" s="8"/>
      <c r="E56" s="8"/>
      <c r="F56" s="8"/>
      <c r="G56" s="8"/>
      <c r="H56" s="8"/>
      <c r="I56" s="8"/>
    </row>
    <row r="57" spans="1:11" s="5" customFormat="1" ht="18" customHeight="1" thickBot="1" thickTop="1">
      <c r="A57" s="12" t="s">
        <v>58</v>
      </c>
      <c r="B57" s="11"/>
      <c r="C57" s="11">
        <f>August!C57+B55</f>
        <v>704386</v>
      </c>
      <c r="D57" s="11"/>
      <c r="E57" s="11">
        <f>August!E57+D55</f>
        <v>32852</v>
      </c>
      <c r="F57" s="11"/>
      <c r="G57" s="11">
        <f>August!G57+F55</f>
        <v>39826</v>
      </c>
      <c r="H57" s="11"/>
      <c r="I57" s="11">
        <f>August!I57+H55</f>
        <v>0</v>
      </c>
      <c r="J57" s="11"/>
      <c r="K57" s="11">
        <f>August!K57+J55</f>
        <v>259</v>
      </c>
    </row>
    <row r="58" spans="1:13" s="5" customFormat="1" ht="18" customHeight="1" thickTop="1">
      <c r="A58" s="6" t="s">
        <v>75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6" t="s">
        <v>76</v>
      </c>
      <c r="M58" s="31">
        <f>B58+D58+F58</f>
        <v>0</v>
      </c>
    </row>
    <row r="59" s="5" customFormat="1" ht="18" customHeight="1">
      <c r="A59" s="5" t="s">
        <v>59</v>
      </c>
    </row>
    <row r="60" s="5" customFormat="1" ht="18" customHeight="1">
      <c r="A60" s="5" t="s">
        <v>12</v>
      </c>
    </row>
    <row r="61" s="5" customFormat="1" ht="18" customHeight="1"/>
    <row r="62" spans="1:7" s="4" customFormat="1" ht="18" customHeight="1">
      <c r="A62" s="4" t="s">
        <v>60</v>
      </c>
      <c r="E62" s="4">
        <f>August!E62+D60</f>
        <v>11215</v>
      </c>
      <c r="G62" s="4">
        <f>August!G62+F60</f>
        <v>26555</v>
      </c>
    </row>
    <row r="63" s="5" customFormat="1" ht="18" customHeight="1"/>
    <row r="64" s="5" customFormat="1" ht="18" customHeight="1"/>
  </sheetData>
  <sheetProtection/>
  <mergeCells count="5">
    <mergeCell ref="B3:C3"/>
    <mergeCell ref="D3:E3"/>
    <mergeCell ref="F3:G3"/>
    <mergeCell ref="H3:I3"/>
    <mergeCell ref="J3:K3"/>
  </mergeCells>
  <printOptions/>
  <pageMargins left="0.75" right="0.75" top="1" bottom="1" header="0.5" footer="0.5"/>
  <pageSetup fitToWidth="0" fitToHeight="1" horizontalDpi="600" verticalDpi="600" orientation="portrait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Karla Crawford</dc:creator>
  <cp:keywords/>
  <dc:description/>
  <cp:lastModifiedBy>staff</cp:lastModifiedBy>
  <cp:lastPrinted>2015-10-14T16:46:15Z</cp:lastPrinted>
  <dcterms:created xsi:type="dcterms:W3CDTF">2010-10-14T14:44:24Z</dcterms:created>
  <dcterms:modified xsi:type="dcterms:W3CDTF">2017-03-13T13:53:57Z</dcterms:modified>
  <cp:category/>
  <cp:version/>
  <cp:contentType/>
  <cp:contentStatus/>
</cp:coreProperties>
</file>