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40" windowWidth="14400" windowHeight="11040" tabRatio="768" firstSheet="2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<sst xmlns="http://schemas.openxmlformats.org/spreadsheetml/2006/main" count="1083" uniqueCount="129">
  <si>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</si>
  <si>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</si>
  <si>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</si>
  <si>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</si>
  <si>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</si>
  <si>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</si>
  <si>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</si>
  <si>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</si>
  <si>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</si>
  <si>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</si>
  <si>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</si>
  <si>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</si>
  <si>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</si>
  <si>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</si>
  <si>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</si>
  <si>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</si>
  <si>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</si>
  <si>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</si>
  <si>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</si>
  <si>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</si>
  <si>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</si>
  <si>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</si>
  <si>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</si>
  <si>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</si>
  <si>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</si>
  <si>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</si>
  <si>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</si>
  <si>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</si>
  <si>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</si>
  <si>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</si>
  <si>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</si>
  <si>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</si>
  <si>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</si>
  <si>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</si>
  <si>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</si>
  <si>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</si>
  <si>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</si>
  <si>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</si>
  <si>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</si>
  <si>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</si>
  <si>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</si>
  <si>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</si>
  <si>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</si>
  <si>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</si>
  <si>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</si>
  <si>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</si>
  <si>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</si>
  <si>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</si>
  <si>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</si>
  <si>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</si>
  <si>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</si>
  <si>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</si>
  <si>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</si>
  <si>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</si>
  <si>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</si>
  <si>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</si>
  <si>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</si>
  <si>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</si>
  <si>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</si>
  <si>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</si>
  <si>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</si>
  <si>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</si>
  <si>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</si>
  <si>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</si>
  <si>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</si>
  <si>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</si>
  <si>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</si>
  <si>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</si>
  <si>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</si>
  <si>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</si>
  <si>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</si>
  <si>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</si>
  <si>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</si>
  <si>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</si>
  <si>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</si>
  <si>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</si>
  <si>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</si>
  <si>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POULTRY</t>
  </si>
  <si>
    <t>2014 Other Livestock Imported to Iowa</t>
  </si>
  <si>
    <t>Karla Crawford and Ren Davenport</t>
  </si>
  <si>
    <t>POULTRY**</t>
  </si>
  <si>
    <t>**Types of Poultry</t>
  </si>
  <si>
    <t>HYB</t>
  </si>
  <si>
    <t>SPF</t>
  </si>
  <si>
    <t>SPF FERTILE</t>
  </si>
  <si>
    <t>DZ</t>
  </si>
  <si>
    <t>WHITE LEGHORN CHICKEN SPF FERTILE EGGS</t>
  </si>
  <si>
    <t>TURKEY, DAY OLD CHICK</t>
  </si>
  <si>
    <t>PIGEONS</t>
  </si>
  <si>
    <t>CHICKENS, DAY OLD CHICK</t>
  </si>
  <si>
    <t>SPF Fertile</t>
  </si>
  <si>
    <t>Turkey; Day old chicks</t>
  </si>
  <si>
    <t>Chickens Day Old Chicks</t>
  </si>
  <si>
    <t>Turkey hatching egg</t>
  </si>
  <si>
    <t>Turkey day old chick</t>
  </si>
  <si>
    <t>white leghorn chicken eggs</t>
  </si>
  <si>
    <t>Turkey Haching Egg</t>
  </si>
  <si>
    <t>chickens Hatching Egg</t>
  </si>
  <si>
    <t>Chickens Day Old Chick</t>
  </si>
  <si>
    <t>Turkey Day Old Chick</t>
  </si>
  <si>
    <t>White Leghorn chicken</t>
  </si>
  <si>
    <t>White Leghorn Chicken</t>
  </si>
  <si>
    <t>Chicken Day Old Chicks</t>
  </si>
  <si>
    <t>Turkey Hatching Eggs</t>
  </si>
  <si>
    <t>Turkey Hatching Egg</t>
  </si>
  <si>
    <t>Runners, Harlequins, Cayugas, Chinese, Embdens, Americans</t>
  </si>
  <si>
    <t>Runners</t>
  </si>
  <si>
    <t>Sweet Grass Turkey Eggs</t>
  </si>
  <si>
    <t>Quail Eggs</t>
  </si>
  <si>
    <t>Chickens Hatching Egg</t>
  </si>
  <si>
    <t>Turkey Day Old Chicks</t>
  </si>
  <si>
    <t>Live Turkeys</t>
  </si>
  <si>
    <t>Live Chickens</t>
  </si>
  <si>
    <t>White Leghorn Chickens</t>
  </si>
  <si>
    <t>Day Old Turkeys</t>
  </si>
  <si>
    <t>Day Old Chickens</t>
  </si>
  <si>
    <t xml:space="preserve">Chickens </t>
  </si>
  <si>
    <t>Day Old Chick</t>
  </si>
  <si>
    <t>Hatching Egg</t>
  </si>
  <si>
    <t>Pheasant</t>
  </si>
  <si>
    <t>1 duck</t>
  </si>
  <si>
    <t>1 goose</t>
  </si>
  <si>
    <t>Potbelly Pig-4, 1 Rabbit</t>
  </si>
  <si>
    <t>Partridge-75</t>
  </si>
  <si>
    <t>Pheasant-2065</t>
  </si>
  <si>
    <t>Partridge-60</t>
  </si>
  <si>
    <t>Pheasant-1425</t>
  </si>
  <si>
    <t>Partridge-300</t>
  </si>
  <si>
    <t>Pheasant-690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</si>
</sst>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39" borderId="11" xfId="0" applyNumberFormat="1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3" fontId="2" fillId="0" borderId="0" xfId="0" applyNumberFormat="1" applyFont="1" applyAlignment="1">
      <alignment wrapText="1"/>
    </xf>
    <xf numFmtId="0" fontId="27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11</xdr:col>
      <xdr:colOff>19050</xdr:colOff>
      <xdr:row>4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19050" y="1314450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8" width="9.00390625" style="2" customWidth="1"/>
    <col min="19" max="29" width="9.125" style="2" customWidth="1"/>
    <col min="30" max="16384" width="9.00390625" style="2" customWidth="1"/>
  </cols>
  <sheetData>
    <row r="1" spans="1:10" ht="23.25">
      <c r="A1" s="1" t="s">
        <v>78</v>
      </c>
      <c r="H1" s="2" t="s">
        <v>64</v>
      </c>
      <c r="J1" s="2" t="s">
        <v>79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39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47"/>
      <c r="N3" s="48" t="s">
        <v>76</v>
      </c>
      <c r="O3" s="49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 aca="true" t="shared" si="0" ref="C5:C36">B5</f>
        <v>0</v>
      </c>
      <c r="D5" s="15">
        <f>1</f>
        <v>1</v>
      </c>
      <c r="E5" s="9">
        <f aca="true" t="shared" si="1" ref="E5:E36">D5</f>
        <v>1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2"/>
      <c r="O5" s="9">
        <f aca="true" t="shared" si="6" ref="O5:O36">N5</f>
        <v>0</v>
      </c>
      <c r="P5" s="20"/>
      <c r="Q5" s="33"/>
      <c r="R5" s="9">
        <f aca="true" t="shared" si="7" ref="R5:R54">Q5</f>
        <v>0</v>
      </c>
    </row>
    <row r="6" spans="1:18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2"/>
      <c r="O6" s="9">
        <f t="shared" si="6"/>
        <v>0</v>
      </c>
      <c r="P6" s="20"/>
      <c r="Q6" s="33"/>
      <c r="R6" s="9">
        <f t="shared" si="7"/>
        <v>0</v>
      </c>
    </row>
    <row r="7" spans="1:18" ht="18" customHeight="1">
      <c r="A7" s="9" t="s">
        <v>11</v>
      </c>
      <c r="B7" s="14"/>
      <c r="C7" s="9">
        <f t="shared" si="0"/>
        <v>0</v>
      </c>
      <c r="D7" s="15">
        <f>2+1</f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2"/>
      <c r="O7" s="9">
        <f t="shared" si="6"/>
        <v>0</v>
      </c>
      <c r="P7" s="20"/>
      <c r="Q7" s="33"/>
      <c r="R7" s="9">
        <f t="shared" si="7"/>
        <v>0</v>
      </c>
    </row>
    <row r="8" spans="1:18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2"/>
      <c r="O8" s="9">
        <f t="shared" si="6"/>
        <v>0</v>
      </c>
      <c r="P8" s="20"/>
      <c r="Q8" s="33"/>
      <c r="R8" s="9">
        <f t="shared" si="7"/>
        <v>0</v>
      </c>
    </row>
    <row r="9" spans="1:18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2"/>
      <c r="O9" s="9">
        <f t="shared" si="6"/>
        <v>0</v>
      </c>
      <c r="P9" s="20"/>
      <c r="Q9" s="33"/>
      <c r="R9" s="9">
        <f t="shared" si="7"/>
        <v>0</v>
      </c>
    </row>
    <row r="10" spans="1:21" ht="18" customHeight="1">
      <c r="A10" s="9" t="s">
        <v>14</v>
      </c>
      <c r="B10" s="14"/>
      <c r="C10" s="9">
        <f t="shared" si="0"/>
        <v>0</v>
      </c>
      <c r="D10" s="15">
        <f>2+6</f>
        <v>8</v>
      </c>
      <c r="E10" s="9">
        <f t="shared" si="1"/>
        <v>8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2"/>
      <c r="O10" s="9">
        <f t="shared" si="6"/>
        <v>0</v>
      </c>
      <c r="P10" s="20"/>
      <c r="Q10" s="33">
        <f>114350+33+40212</f>
        <v>154595</v>
      </c>
      <c r="R10" s="9">
        <f t="shared" si="7"/>
        <v>154595</v>
      </c>
      <c r="S10" s="2" t="s">
        <v>87</v>
      </c>
      <c r="T10" s="2" t="s">
        <v>88</v>
      </c>
      <c r="U10" s="2" t="s">
        <v>89</v>
      </c>
    </row>
    <row r="11" spans="1:18" ht="18" customHeight="1">
      <c r="A11" s="9" t="s">
        <v>15</v>
      </c>
      <c r="B11" s="14"/>
      <c r="C11" s="9">
        <f t="shared" si="0"/>
        <v>0</v>
      </c>
      <c r="D11" s="15">
        <f>1+1</f>
        <v>2</v>
      </c>
      <c r="E11" s="9">
        <f t="shared" si="1"/>
        <v>2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2"/>
      <c r="O11" s="9">
        <f t="shared" si="6"/>
        <v>0</v>
      </c>
      <c r="P11" s="20"/>
      <c r="Q11" s="33"/>
      <c r="R11" s="9">
        <f t="shared" si="7"/>
        <v>0</v>
      </c>
    </row>
    <row r="12" spans="1:19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2"/>
      <c r="O12" s="9">
        <f t="shared" si="6"/>
        <v>0</v>
      </c>
      <c r="P12" s="20"/>
      <c r="Q12" s="33">
        <f>22</f>
        <v>22</v>
      </c>
      <c r="R12" s="9">
        <f t="shared" si="7"/>
        <v>22</v>
      </c>
      <c r="S12" s="2" t="s">
        <v>86</v>
      </c>
    </row>
    <row r="13" spans="1:18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2"/>
      <c r="O13" s="9">
        <f t="shared" si="6"/>
        <v>0</v>
      </c>
      <c r="P13" s="20"/>
      <c r="Q13" s="33"/>
      <c r="R13" s="9">
        <f t="shared" si="7"/>
        <v>0</v>
      </c>
    </row>
    <row r="14" spans="1:18" ht="18" customHeight="1">
      <c r="A14" s="9" t="s">
        <v>18</v>
      </c>
      <c r="B14" s="14"/>
      <c r="C14" s="9">
        <f t="shared" si="0"/>
        <v>0</v>
      </c>
      <c r="D14" s="15">
        <f>6+1</f>
        <v>7</v>
      </c>
      <c r="E14" s="9">
        <f t="shared" si="1"/>
        <v>7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2"/>
      <c r="O14" s="9">
        <f t="shared" si="6"/>
        <v>0</v>
      </c>
      <c r="P14" s="20"/>
      <c r="Q14" s="33"/>
      <c r="R14" s="9">
        <f t="shared" si="7"/>
        <v>0</v>
      </c>
    </row>
    <row r="15" spans="1:18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2"/>
      <c r="O15" s="9">
        <f t="shared" si="6"/>
        <v>0</v>
      </c>
      <c r="P15" s="20"/>
      <c r="Q15" s="33"/>
      <c r="R15" s="9">
        <f t="shared" si="7"/>
        <v>0</v>
      </c>
    </row>
    <row r="16" spans="1:23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2"/>
      <c r="O16" s="9">
        <f t="shared" si="6"/>
        <v>0</v>
      </c>
      <c r="P16" s="20"/>
      <c r="Q16" s="33"/>
      <c r="R16" s="9">
        <f t="shared" si="7"/>
        <v>0</v>
      </c>
      <c r="S16" s="40"/>
      <c r="T16" s="41"/>
      <c r="U16" s="41"/>
      <c r="V16" s="38"/>
      <c r="W16" s="39"/>
    </row>
    <row r="17" spans="1:23" ht="18" customHeight="1">
      <c r="A17" s="9" t="s">
        <v>21</v>
      </c>
      <c r="B17" s="14"/>
      <c r="C17" s="9">
        <f t="shared" si="0"/>
        <v>0</v>
      </c>
      <c r="D17" s="15">
        <f>1</f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2"/>
      <c r="O17" s="9">
        <f t="shared" si="6"/>
        <v>0</v>
      </c>
      <c r="P17" s="20"/>
      <c r="Q17" s="33"/>
      <c r="R17" s="9">
        <f t="shared" si="7"/>
        <v>0</v>
      </c>
      <c r="S17" s="40"/>
      <c r="T17" s="38"/>
      <c r="U17"/>
      <c r="V17"/>
      <c r="W17" s="37"/>
    </row>
    <row r="18" spans="1:23" ht="18" customHeight="1">
      <c r="A18" s="9" t="s">
        <v>22</v>
      </c>
      <c r="B18" s="14"/>
      <c r="C18" s="9">
        <f t="shared" si="0"/>
        <v>0</v>
      </c>
      <c r="D18" s="15">
        <f>2+2</f>
        <v>4</v>
      </c>
      <c r="E18" s="9">
        <f t="shared" si="1"/>
        <v>4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2"/>
      <c r="O18" s="9">
        <f t="shared" si="6"/>
        <v>0</v>
      </c>
      <c r="P18" s="20"/>
      <c r="Q18" s="33"/>
      <c r="R18" s="9">
        <f t="shared" si="7"/>
        <v>0</v>
      </c>
      <c r="S18" s="41"/>
      <c r="T18" s="41"/>
      <c r="U18"/>
      <c r="V18" s="36"/>
      <c r="W18" s="42"/>
    </row>
    <row r="19" spans="1:18" ht="18" customHeight="1">
      <c r="A19" s="9" t="s">
        <v>23</v>
      </c>
      <c r="B19" s="14">
        <f>1</f>
        <v>1</v>
      </c>
      <c r="C19" s="9">
        <f t="shared" si="0"/>
        <v>1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2"/>
      <c r="O19" s="9">
        <f t="shared" si="6"/>
        <v>0</v>
      </c>
      <c r="P19" s="20"/>
      <c r="Q19" s="33"/>
      <c r="R19" s="9">
        <f t="shared" si="7"/>
        <v>0</v>
      </c>
    </row>
    <row r="20" spans="1:18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2"/>
      <c r="O20" s="9">
        <f t="shared" si="6"/>
        <v>0</v>
      </c>
      <c r="P20" s="20"/>
      <c r="Q20" s="33"/>
      <c r="R20" s="9">
        <f t="shared" si="7"/>
        <v>0</v>
      </c>
    </row>
    <row r="21" spans="1:18" ht="18" customHeight="1">
      <c r="A21" s="9" t="s">
        <v>25</v>
      </c>
      <c r="B21" s="14"/>
      <c r="C21" s="9">
        <f t="shared" si="0"/>
        <v>0</v>
      </c>
      <c r="D21" s="15">
        <f>1</f>
        <v>1</v>
      </c>
      <c r="E21" s="9">
        <f t="shared" si="1"/>
        <v>1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2"/>
      <c r="O21" s="9">
        <f t="shared" si="6"/>
        <v>0</v>
      </c>
      <c r="P21" s="20"/>
      <c r="Q21" s="33"/>
      <c r="R21" s="9">
        <f t="shared" si="7"/>
        <v>0</v>
      </c>
    </row>
    <row r="22" spans="1:18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2"/>
      <c r="O22" s="9">
        <f t="shared" si="6"/>
        <v>0</v>
      </c>
      <c r="P22" s="20"/>
      <c r="Q22" s="33"/>
      <c r="R22" s="9">
        <f t="shared" si="7"/>
        <v>0</v>
      </c>
    </row>
    <row r="23" spans="1:18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2"/>
      <c r="O23" s="9">
        <f t="shared" si="6"/>
        <v>0</v>
      </c>
      <c r="P23" s="20"/>
      <c r="Q23" s="33"/>
      <c r="R23" s="9">
        <f t="shared" si="7"/>
        <v>0</v>
      </c>
    </row>
    <row r="24" spans="1:18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2"/>
      <c r="O24" s="9">
        <f t="shared" si="6"/>
        <v>0</v>
      </c>
      <c r="P24" s="20"/>
      <c r="Q24" s="33"/>
      <c r="R24" s="9">
        <f t="shared" si="7"/>
        <v>0</v>
      </c>
    </row>
    <row r="25" spans="1:18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2"/>
      <c r="O25" s="9">
        <f t="shared" si="6"/>
        <v>0</v>
      </c>
      <c r="P25" s="20"/>
      <c r="Q25" s="33"/>
      <c r="R25" s="9">
        <f t="shared" si="7"/>
        <v>0</v>
      </c>
    </row>
    <row r="26" spans="1:18" ht="18" customHeight="1">
      <c r="A26" s="9" t="s">
        <v>30</v>
      </c>
      <c r="B26" s="14"/>
      <c r="C26" s="9">
        <f t="shared" si="0"/>
        <v>0</v>
      </c>
      <c r="D26" s="15">
        <f>1+1</f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2"/>
      <c r="O26" s="9">
        <f t="shared" si="6"/>
        <v>0</v>
      </c>
      <c r="P26" s="20"/>
      <c r="Q26" s="33"/>
      <c r="R26" s="9">
        <f t="shared" si="7"/>
        <v>0</v>
      </c>
    </row>
    <row r="27" spans="1:18" ht="18" customHeight="1">
      <c r="A27" s="9" t="s">
        <v>31</v>
      </c>
      <c r="B27" s="14">
        <f>1+2</f>
        <v>3</v>
      </c>
      <c r="C27" s="9">
        <f t="shared" si="0"/>
        <v>3</v>
      </c>
      <c r="D27" s="15">
        <f>2</f>
        <v>2</v>
      </c>
      <c r="E27" s="9">
        <f t="shared" si="1"/>
        <v>2</v>
      </c>
      <c r="F27" s="16">
        <f>5</f>
        <v>5</v>
      </c>
      <c r="G27" s="9">
        <f t="shared" si="2"/>
        <v>5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2"/>
      <c r="O27" s="9">
        <f t="shared" si="6"/>
        <v>0</v>
      </c>
      <c r="P27" s="20"/>
      <c r="Q27" s="33"/>
      <c r="R27" s="9">
        <f t="shared" si="7"/>
        <v>0</v>
      </c>
    </row>
    <row r="28" spans="1:18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2"/>
      <c r="O28" s="9">
        <f t="shared" si="6"/>
        <v>0</v>
      </c>
      <c r="P28" s="20"/>
      <c r="Q28" s="33"/>
      <c r="R28" s="9">
        <f t="shared" si="7"/>
        <v>0</v>
      </c>
    </row>
    <row r="29" spans="1:18" ht="18" customHeight="1">
      <c r="A29" s="9" t="s">
        <v>33</v>
      </c>
      <c r="B29" s="14">
        <f>2+1+2</f>
        <v>5</v>
      </c>
      <c r="C29" s="9">
        <f t="shared" si="0"/>
        <v>5</v>
      </c>
      <c r="D29" s="15">
        <f>1+2+1</f>
        <v>4</v>
      </c>
      <c r="E29" s="9">
        <f t="shared" si="1"/>
        <v>4</v>
      </c>
      <c r="F29" s="16"/>
      <c r="G29" s="9">
        <f t="shared" si="2"/>
        <v>0</v>
      </c>
      <c r="H29" s="17"/>
      <c r="I29" s="9">
        <f t="shared" si="3"/>
        <v>0</v>
      </c>
      <c r="J29" s="18">
        <f>22</f>
        <v>22</v>
      </c>
      <c r="K29" s="9">
        <f t="shared" si="4"/>
        <v>22</v>
      </c>
      <c r="L29" s="19"/>
      <c r="M29" s="9">
        <f t="shared" si="5"/>
        <v>0</v>
      </c>
      <c r="N29" s="32"/>
      <c r="O29" s="9">
        <f t="shared" si="6"/>
        <v>0</v>
      </c>
      <c r="P29" s="20"/>
      <c r="Q29" s="33"/>
      <c r="R29" s="9">
        <f t="shared" si="7"/>
        <v>0</v>
      </c>
    </row>
    <row r="30" spans="1:18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2"/>
      <c r="O30" s="9">
        <f t="shared" si="6"/>
        <v>0</v>
      </c>
      <c r="P30" s="20"/>
      <c r="Q30" s="33"/>
      <c r="R30" s="9">
        <f t="shared" si="7"/>
        <v>0</v>
      </c>
    </row>
    <row r="31" spans="1:18" ht="18" customHeight="1">
      <c r="A31" s="9" t="s">
        <v>35</v>
      </c>
      <c r="B31" s="14"/>
      <c r="C31" s="9">
        <f t="shared" si="0"/>
        <v>0</v>
      </c>
      <c r="D31" s="15">
        <f>1+1+1+4+1</f>
        <v>8</v>
      </c>
      <c r="E31" s="9">
        <f t="shared" si="1"/>
        <v>8</v>
      </c>
      <c r="F31" s="16">
        <f>12+3</f>
        <v>15</v>
      </c>
      <c r="G31" s="9">
        <f t="shared" si="2"/>
        <v>15</v>
      </c>
      <c r="H31" s="17">
        <f>97</f>
        <v>97</v>
      </c>
      <c r="I31" s="9">
        <f t="shared" si="3"/>
        <v>97</v>
      </c>
      <c r="J31" s="18">
        <f>6</f>
        <v>6</v>
      </c>
      <c r="K31" s="9">
        <f t="shared" si="4"/>
        <v>6</v>
      </c>
      <c r="L31" s="19">
        <f>100</f>
        <v>100</v>
      </c>
      <c r="M31" s="9">
        <f t="shared" si="5"/>
        <v>100</v>
      </c>
      <c r="N31" s="32"/>
      <c r="O31" s="9">
        <f t="shared" si="6"/>
        <v>0</v>
      </c>
      <c r="P31" s="20"/>
      <c r="Q31" s="33"/>
      <c r="R31" s="9">
        <f t="shared" si="7"/>
        <v>0</v>
      </c>
    </row>
    <row r="32" spans="1:18" ht="18" customHeight="1">
      <c r="A32" s="9" t="s">
        <v>36</v>
      </c>
      <c r="B32" s="14"/>
      <c r="C32" s="9">
        <f t="shared" si="0"/>
        <v>0</v>
      </c>
      <c r="D32" s="15">
        <f>1</f>
        <v>1</v>
      </c>
      <c r="E32" s="9">
        <f t="shared" si="1"/>
        <v>1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2"/>
      <c r="O32" s="9">
        <f t="shared" si="6"/>
        <v>0</v>
      </c>
      <c r="P32" s="20"/>
      <c r="Q32" s="33"/>
      <c r="R32" s="9">
        <f t="shared" si="7"/>
        <v>0</v>
      </c>
    </row>
    <row r="33" spans="1:18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2"/>
      <c r="O33" s="9">
        <f t="shared" si="6"/>
        <v>0</v>
      </c>
      <c r="P33" s="20"/>
      <c r="Q33" s="33"/>
      <c r="R33" s="9">
        <f t="shared" si="7"/>
        <v>0</v>
      </c>
    </row>
    <row r="34" spans="1:18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2"/>
      <c r="O34" s="9">
        <f t="shared" si="6"/>
        <v>0</v>
      </c>
      <c r="P34" s="20"/>
      <c r="Q34" s="33"/>
      <c r="R34" s="9">
        <f t="shared" si="7"/>
        <v>0</v>
      </c>
    </row>
    <row r="35" spans="1:18" ht="18" customHeight="1">
      <c r="A35" s="9" t="s">
        <v>39</v>
      </c>
      <c r="B35" s="14"/>
      <c r="C35" s="9">
        <f t="shared" si="0"/>
        <v>0</v>
      </c>
      <c r="D35" s="15">
        <f>1</f>
        <v>1</v>
      </c>
      <c r="E35" s="9">
        <f t="shared" si="1"/>
        <v>1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2">
        <f>3</f>
        <v>3</v>
      </c>
      <c r="O35" s="9">
        <f t="shared" si="6"/>
        <v>3</v>
      </c>
      <c r="P35" s="20"/>
      <c r="Q35" s="33"/>
      <c r="R35" s="9">
        <f t="shared" si="7"/>
        <v>0</v>
      </c>
    </row>
    <row r="36" spans="1:23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2"/>
      <c r="O36" s="9">
        <f t="shared" si="6"/>
        <v>0</v>
      </c>
      <c r="P36" s="20"/>
      <c r="Q36" s="33">
        <f>18000+3000+2400+36000+28800</f>
        <v>88200</v>
      </c>
      <c r="R36" s="9">
        <f t="shared" si="7"/>
        <v>88200</v>
      </c>
      <c r="S36" s="2" t="s">
        <v>83</v>
      </c>
      <c r="T36" s="2" t="s">
        <v>84</v>
      </c>
      <c r="U36" s="2" t="s">
        <v>85</v>
      </c>
      <c r="V36" s="2" t="s">
        <v>83</v>
      </c>
      <c r="W36" s="2" t="s">
        <v>83</v>
      </c>
    </row>
    <row r="37" spans="1:19" ht="18" customHeight="1">
      <c r="A37" s="9" t="s">
        <v>41</v>
      </c>
      <c r="B37" s="14"/>
      <c r="C37" s="9">
        <f aca="true" t="shared" si="8" ref="C37:C54">B37</f>
        <v>0</v>
      </c>
      <c r="D37" s="15"/>
      <c r="E37" s="9">
        <f aca="true" t="shared" si="9" ref="E37:E54">D37</f>
        <v>0</v>
      </c>
      <c r="F37" s="16"/>
      <c r="G37" s="9">
        <f aca="true" t="shared" si="10" ref="G37:G54">F37</f>
        <v>0</v>
      </c>
      <c r="H37" s="17"/>
      <c r="I37" s="9">
        <f aca="true" t="shared" si="11" ref="I37:I54">H37</f>
        <v>0</v>
      </c>
      <c r="J37" s="18"/>
      <c r="K37" s="9">
        <f aca="true" t="shared" si="12" ref="K37:K54">J37</f>
        <v>0</v>
      </c>
      <c r="L37" s="19"/>
      <c r="M37" s="9">
        <f aca="true" t="shared" si="13" ref="M37:M54">L37</f>
        <v>0</v>
      </c>
      <c r="N37" s="32"/>
      <c r="O37" s="9">
        <f aca="true" t="shared" si="14" ref="O37:O54">N37</f>
        <v>0</v>
      </c>
      <c r="P37" s="20"/>
      <c r="Q37" s="33">
        <f>50000</f>
        <v>50000</v>
      </c>
      <c r="R37" s="9">
        <f t="shared" si="7"/>
        <v>50000</v>
      </c>
      <c r="S37" s="2" t="s">
        <v>82</v>
      </c>
    </row>
    <row r="38" spans="1:18" ht="18" customHeight="1">
      <c r="A38" s="9" t="s">
        <v>42</v>
      </c>
      <c r="B38" s="14"/>
      <c r="C38" s="9">
        <f t="shared" si="8"/>
        <v>0</v>
      </c>
      <c r="D38" s="15">
        <f>3</f>
        <v>3</v>
      </c>
      <c r="E38" s="9">
        <f t="shared" si="9"/>
        <v>3</v>
      </c>
      <c r="F38" s="16">
        <f>108</f>
        <v>108</v>
      </c>
      <c r="G38" s="9">
        <f t="shared" si="10"/>
        <v>108</v>
      </c>
      <c r="H38" s="17">
        <f>226</f>
        <v>226</v>
      </c>
      <c r="I38" s="9">
        <f t="shared" si="11"/>
        <v>226</v>
      </c>
      <c r="J38" s="18"/>
      <c r="K38" s="9">
        <f t="shared" si="12"/>
        <v>0</v>
      </c>
      <c r="L38" s="19"/>
      <c r="M38" s="9">
        <f t="shared" si="13"/>
        <v>0</v>
      </c>
      <c r="N38" s="32"/>
      <c r="O38" s="9">
        <f t="shared" si="14"/>
        <v>0</v>
      </c>
      <c r="P38" s="20"/>
      <c r="Q38" s="33"/>
      <c r="R38" s="9">
        <f t="shared" si="7"/>
        <v>0</v>
      </c>
    </row>
    <row r="39" spans="1:18" ht="18" customHeight="1">
      <c r="A39" s="9" t="s">
        <v>43</v>
      </c>
      <c r="B39" s="14"/>
      <c r="C39" s="9">
        <f t="shared" si="8"/>
        <v>0</v>
      </c>
      <c r="D39" s="15"/>
      <c r="E39" s="9">
        <f t="shared" si="9"/>
        <v>0</v>
      </c>
      <c r="F39" s="16"/>
      <c r="G39" s="9">
        <f t="shared" si="10"/>
        <v>0</v>
      </c>
      <c r="H39" s="17"/>
      <c r="I39" s="9">
        <f t="shared" si="11"/>
        <v>0</v>
      </c>
      <c r="J39" s="18"/>
      <c r="K39" s="9">
        <f t="shared" si="12"/>
        <v>0</v>
      </c>
      <c r="L39" s="19"/>
      <c r="M39" s="9">
        <f t="shared" si="13"/>
        <v>0</v>
      </c>
      <c r="N39" s="32"/>
      <c r="O39" s="9">
        <f t="shared" si="14"/>
        <v>0</v>
      </c>
      <c r="P39" s="20"/>
      <c r="Q39" s="33"/>
      <c r="R39" s="9">
        <f t="shared" si="7"/>
        <v>0</v>
      </c>
    </row>
    <row r="40" spans="1:18" ht="18" customHeight="1">
      <c r="A40" s="9" t="s">
        <v>44</v>
      </c>
      <c r="B40" s="14"/>
      <c r="C40" s="9">
        <f t="shared" si="8"/>
        <v>0</v>
      </c>
      <c r="D40" s="15">
        <f>3</f>
        <v>3</v>
      </c>
      <c r="E40" s="9">
        <f t="shared" si="9"/>
        <v>3</v>
      </c>
      <c r="F40" s="16"/>
      <c r="G40" s="9">
        <f t="shared" si="10"/>
        <v>0</v>
      </c>
      <c r="H40" s="17"/>
      <c r="I40" s="9">
        <f t="shared" si="11"/>
        <v>0</v>
      </c>
      <c r="J40" s="18"/>
      <c r="K40" s="9">
        <f t="shared" si="12"/>
        <v>0</v>
      </c>
      <c r="L40" s="19"/>
      <c r="M40" s="9">
        <f t="shared" si="13"/>
        <v>0</v>
      </c>
      <c r="N40" s="32"/>
      <c r="O40" s="9">
        <f t="shared" si="14"/>
        <v>0</v>
      </c>
      <c r="P40" s="20"/>
      <c r="Q40" s="33"/>
      <c r="R40" s="9">
        <f t="shared" si="7"/>
        <v>0</v>
      </c>
    </row>
    <row r="41" spans="1:24" ht="18" customHeight="1">
      <c r="A41" s="9" t="s">
        <v>45</v>
      </c>
      <c r="B41" s="14"/>
      <c r="C41" s="9">
        <f t="shared" si="8"/>
        <v>0</v>
      </c>
      <c r="D41" s="15">
        <f>1</f>
        <v>1</v>
      </c>
      <c r="E41" s="9">
        <f t="shared" si="9"/>
        <v>1</v>
      </c>
      <c r="F41" s="16"/>
      <c r="G41" s="9">
        <f t="shared" si="10"/>
        <v>0</v>
      </c>
      <c r="H41" s="17"/>
      <c r="I41" s="9">
        <f t="shared" si="11"/>
        <v>0</v>
      </c>
      <c r="J41" s="18"/>
      <c r="K41" s="9">
        <f t="shared" si="12"/>
        <v>0</v>
      </c>
      <c r="L41" s="19"/>
      <c r="M41" s="9">
        <f t="shared" si="13"/>
        <v>0</v>
      </c>
      <c r="N41" s="32"/>
      <c r="O41" s="9">
        <f t="shared" si="14"/>
        <v>0</v>
      </c>
      <c r="P41" s="20"/>
      <c r="Q41" s="33"/>
      <c r="R41" s="9">
        <f t="shared" si="7"/>
        <v>0</v>
      </c>
      <c r="X41" s="36"/>
    </row>
    <row r="42" spans="1:24" ht="18" customHeight="1">
      <c r="A42" s="9" t="s">
        <v>46</v>
      </c>
      <c r="B42" s="14"/>
      <c r="C42" s="9">
        <f t="shared" si="8"/>
        <v>0</v>
      </c>
      <c r="D42" s="15"/>
      <c r="E42" s="9">
        <f t="shared" si="9"/>
        <v>0</v>
      </c>
      <c r="F42" s="16"/>
      <c r="G42" s="9">
        <f t="shared" si="10"/>
        <v>0</v>
      </c>
      <c r="H42" s="17"/>
      <c r="I42" s="9">
        <f t="shared" si="11"/>
        <v>0</v>
      </c>
      <c r="J42" s="18"/>
      <c r="K42" s="9">
        <f t="shared" si="12"/>
        <v>0</v>
      </c>
      <c r="L42" s="19"/>
      <c r="M42" s="9">
        <f t="shared" si="13"/>
        <v>0</v>
      </c>
      <c r="N42" s="32"/>
      <c r="O42" s="9">
        <f t="shared" si="14"/>
        <v>0</v>
      </c>
      <c r="P42" s="20"/>
      <c r="Q42" s="33"/>
      <c r="R42" s="9">
        <f t="shared" si="7"/>
        <v>0</v>
      </c>
      <c r="X42" s="36"/>
    </row>
    <row r="43" spans="1:24" ht="18" customHeight="1">
      <c r="A43" s="9" t="s">
        <v>47</v>
      </c>
      <c r="B43" s="14"/>
      <c r="C43" s="9">
        <f t="shared" si="8"/>
        <v>0</v>
      </c>
      <c r="D43" s="15"/>
      <c r="E43" s="9">
        <f t="shared" si="9"/>
        <v>0</v>
      </c>
      <c r="F43" s="16"/>
      <c r="G43" s="9">
        <f t="shared" si="10"/>
        <v>0</v>
      </c>
      <c r="H43" s="17"/>
      <c r="I43" s="9">
        <f t="shared" si="11"/>
        <v>0</v>
      </c>
      <c r="J43" s="18"/>
      <c r="K43" s="9">
        <f t="shared" si="12"/>
        <v>0</v>
      </c>
      <c r="L43" s="19"/>
      <c r="M43" s="9">
        <f t="shared" si="13"/>
        <v>0</v>
      </c>
      <c r="N43" s="32"/>
      <c r="O43" s="9">
        <f t="shared" si="14"/>
        <v>0</v>
      </c>
      <c r="P43" s="20"/>
      <c r="Q43" s="33"/>
      <c r="R43" s="9">
        <f t="shared" si="7"/>
        <v>0</v>
      </c>
      <c r="X43" s="36"/>
    </row>
    <row r="44" spans="1:24" ht="18" customHeight="1">
      <c r="A44" s="9" t="s">
        <v>48</v>
      </c>
      <c r="B44" s="14"/>
      <c r="C44" s="9">
        <f t="shared" si="8"/>
        <v>0</v>
      </c>
      <c r="D44" s="15"/>
      <c r="E44" s="9">
        <f t="shared" si="9"/>
        <v>0</v>
      </c>
      <c r="F44" s="16"/>
      <c r="G44" s="9">
        <f t="shared" si="10"/>
        <v>0</v>
      </c>
      <c r="H44" s="17"/>
      <c r="I44" s="9">
        <f t="shared" si="11"/>
        <v>0</v>
      </c>
      <c r="J44" s="18"/>
      <c r="K44" s="9">
        <f t="shared" si="12"/>
        <v>0</v>
      </c>
      <c r="L44" s="19"/>
      <c r="M44" s="9">
        <f t="shared" si="13"/>
        <v>0</v>
      </c>
      <c r="N44" s="32"/>
      <c r="O44" s="9">
        <f t="shared" si="14"/>
        <v>0</v>
      </c>
      <c r="P44" s="20"/>
      <c r="Q44" s="33"/>
      <c r="R44" s="9">
        <f t="shared" si="7"/>
        <v>0</v>
      </c>
      <c r="X44" s="38"/>
    </row>
    <row r="45" spans="1:24" ht="18" customHeight="1">
      <c r="A45" s="9" t="s">
        <v>49</v>
      </c>
      <c r="B45" s="14"/>
      <c r="C45" s="9">
        <f t="shared" si="8"/>
        <v>0</v>
      </c>
      <c r="D45" s="15">
        <f>3+1</f>
        <v>4</v>
      </c>
      <c r="E45" s="9">
        <f t="shared" si="9"/>
        <v>4</v>
      </c>
      <c r="F45" s="16">
        <f>1+138+10+66+45+18+2+8+79+25+54+133+16+73+86+100+2</f>
        <v>856</v>
      </c>
      <c r="G45" s="9">
        <f t="shared" si="10"/>
        <v>856</v>
      </c>
      <c r="H45" s="17">
        <f>188+511+217+1102+246+135+493+156+7+189+197+33+196+85+13+23+109+76+173</f>
        <v>4149</v>
      </c>
      <c r="I45" s="9">
        <f t="shared" si="11"/>
        <v>4149</v>
      </c>
      <c r="J45" s="18">
        <f>125+35+2+10</f>
        <v>172</v>
      </c>
      <c r="K45" s="9">
        <f t="shared" si="12"/>
        <v>172</v>
      </c>
      <c r="L45" s="19">
        <f>1133+59+236+423+177+61+48+18+21+8+127+127+31+176+4+25+19+33</f>
        <v>2726</v>
      </c>
      <c r="M45" s="9">
        <f t="shared" si="13"/>
        <v>2726</v>
      </c>
      <c r="N45" s="32"/>
      <c r="O45" s="9">
        <f t="shared" si="14"/>
        <v>0</v>
      </c>
      <c r="P45" s="20"/>
      <c r="Q45" s="33"/>
      <c r="R45" s="9">
        <f t="shared" si="7"/>
        <v>0</v>
      </c>
      <c r="X45" s="36"/>
    </row>
    <row r="46" spans="1:24" ht="18" customHeight="1">
      <c r="A46" s="9" t="s">
        <v>50</v>
      </c>
      <c r="B46" s="14"/>
      <c r="C46" s="9">
        <f t="shared" si="8"/>
        <v>0</v>
      </c>
      <c r="D46" s="15">
        <f>1</f>
        <v>1</v>
      </c>
      <c r="E46" s="9">
        <f t="shared" si="9"/>
        <v>1</v>
      </c>
      <c r="F46" s="16"/>
      <c r="G46" s="9">
        <f t="shared" si="10"/>
        <v>0</v>
      </c>
      <c r="H46" s="17"/>
      <c r="I46" s="9">
        <f t="shared" si="11"/>
        <v>0</v>
      </c>
      <c r="J46" s="18"/>
      <c r="K46" s="9">
        <f t="shared" si="12"/>
        <v>0</v>
      </c>
      <c r="L46" s="19"/>
      <c r="M46" s="9">
        <f t="shared" si="13"/>
        <v>0</v>
      </c>
      <c r="N46" s="32"/>
      <c r="O46" s="9">
        <f t="shared" si="14"/>
        <v>0</v>
      </c>
      <c r="P46" s="20"/>
      <c r="Q46" s="33"/>
      <c r="R46" s="9">
        <f t="shared" si="7"/>
        <v>0</v>
      </c>
      <c r="X46" s="36"/>
    </row>
    <row r="47" spans="1:24" ht="18" customHeight="1">
      <c r="A47" s="9" t="s">
        <v>51</v>
      </c>
      <c r="B47" s="14"/>
      <c r="C47" s="9">
        <f t="shared" si="8"/>
        <v>0</v>
      </c>
      <c r="D47" s="15"/>
      <c r="E47" s="9">
        <f t="shared" si="9"/>
        <v>0</v>
      </c>
      <c r="F47" s="16"/>
      <c r="G47" s="9">
        <f t="shared" si="10"/>
        <v>0</v>
      </c>
      <c r="H47" s="17"/>
      <c r="I47" s="9">
        <f t="shared" si="11"/>
        <v>0</v>
      </c>
      <c r="J47" s="18"/>
      <c r="K47" s="9">
        <f t="shared" si="12"/>
        <v>0</v>
      </c>
      <c r="L47" s="19"/>
      <c r="M47" s="9">
        <f t="shared" si="13"/>
        <v>0</v>
      </c>
      <c r="N47" s="32"/>
      <c r="O47" s="9">
        <f t="shared" si="14"/>
        <v>0</v>
      </c>
      <c r="P47" s="20"/>
      <c r="Q47" s="33"/>
      <c r="R47" s="9">
        <f t="shared" si="7"/>
        <v>0</v>
      </c>
      <c r="X47" s="36"/>
    </row>
    <row r="48" spans="1:24" ht="18" customHeight="1">
      <c r="A48" s="9" t="s">
        <v>52</v>
      </c>
      <c r="B48" s="14"/>
      <c r="C48" s="9">
        <f t="shared" si="8"/>
        <v>0</v>
      </c>
      <c r="D48" s="15">
        <f>3</f>
        <v>3</v>
      </c>
      <c r="E48" s="9">
        <f t="shared" si="9"/>
        <v>3</v>
      </c>
      <c r="F48" s="16"/>
      <c r="G48" s="9">
        <f t="shared" si="10"/>
        <v>0</v>
      </c>
      <c r="H48" s="17"/>
      <c r="I48" s="9">
        <f t="shared" si="11"/>
        <v>0</v>
      </c>
      <c r="J48" s="18"/>
      <c r="K48" s="9">
        <f t="shared" si="12"/>
        <v>0</v>
      </c>
      <c r="L48" s="19"/>
      <c r="M48" s="9">
        <f t="shared" si="13"/>
        <v>0</v>
      </c>
      <c r="N48" s="32"/>
      <c r="O48" s="9">
        <f t="shared" si="14"/>
        <v>0</v>
      </c>
      <c r="P48" s="20"/>
      <c r="Q48" s="33"/>
      <c r="R48" s="9">
        <f t="shared" si="7"/>
        <v>0</v>
      </c>
      <c r="X48" s="36"/>
    </row>
    <row r="49" spans="1:24" ht="18" customHeight="1">
      <c r="A49" s="9" t="s">
        <v>53</v>
      </c>
      <c r="B49" s="14"/>
      <c r="C49" s="9">
        <f t="shared" si="8"/>
        <v>0</v>
      </c>
      <c r="D49" s="15"/>
      <c r="E49" s="9">
        <f t="shared" si="9"/>
        <v>0</v>
      </c>
      <c r="F49" s="16"/>
      <c r="G49" s="9">
        <f t="shared" si="10"/>
        <v>0</v>
      </c>
      <c r="H49" s="17"/>
      <c r="I49" s="9">
        <f t="shared" si="11"/>
        <v>0</v>
      </c>
      <c r="J49" s="18"/>
      <c r="K49" s="9">
        <f t="shared" si="12"/>
        <v>0</v>
      </c>
      <c r="L49" s="19"/>
      <c r="M49" s="9">
        <f t="shared" si="13"/>
        <v>0</v>
      </c>
      <c r="N49" s="32"/>
      <c r="O49" s="9">
        <f t="shared" si="14"/>
        <v>0</v>
      </c>
      <c r="P49" s="20"/>
      <c r="Q49" s="33"/>
      <c r="R49" s="9">
        <f t="shared" si="7"/>
        <v>0</v>
      </c>
      <c r="X49" s="36"/>
    </row>
    <row r="50" spans="1:24" ht="18" customHeight="1">
      <c r="A50" s="9" t="s">
        <v>54</v>
      </c>
      <c r="B50" s="14"/>
      <c r="C50" s="9">
        <f t="shared" si="8"/>
        <v>0</v>
      </c>
      <c r="D50" s="15"/>
      <c r="E50" s="9">
        <f t="shared" si="9"/>
        <v>0</v>
      </c>
      <c r="F50" s="16"/>
      <c r="G50" s="9">
        <f t="shared" si="10"/>
        <v>0</v>
      </c>
      <c r="H50" s="17"/>
      <c r="I50" s="9">
        <f t="shared" si="11"/>
        <v>0</v>
      </c>
      <c r="J50" s="18"/>
      <c r="K50" s="9">
        <f t="shared" si="12"/>
        <v>0</v>
      </c>
      <c r="L50" s="19"/>
      <c r="M50" s="9">
        <f t="shared" si="13"/>
        <v>0</v>
      </c>
      <c r="N50" s="32"/>
      <c r="O50" s="9">
        <f t="shared" si="14"/>
        <v>0</v>
      </c>
      <c r="P50" s="20"/>
      <c r="Q50" s="33"/>
      <c r="R50" s="9">
        <f t="shared" si="7"/>
        <v>0</v>
      </c>
      <c r="X50" s="36"/>
    </row>
    <row r="51" spans="1:24" ht="18" customHeight="1">
      <c r="A51" s="9" t="s">
        <v>55</v>
      </c>
      <c r="B51" s="14"/>
      <c r="C51" s="9">
        <f t="shared" si="8"/>
        <v>0</v>
      </c>
      <c r="D51" s="15">
        <f>1</f>
        <v>1</v>
      </c>
      <c r="E51" s="9">
        <f t="shared" si="9"/>
        <v>1</v>
      </c>
      <c r="F51" s="16"/>
      <c r="G51" s="9">
        <f t="shared" si="10"/>
        <v>0</v>
      </c>
      <c r="H51" s="17"/>
      <c r="I51" s="9">
        <f t="shared" si="11"/>
        <v>0</v>
      </c>
      <c r="J51" s="18"/>
      <c r="K51" s="9">
        <f t="shared" si="12"/>
        <v>0</v>
      </c>
      <c r="L51" s="19"/>
      <c r="M51" s="9">
        <f t="shared" si="13"/>
        <v>0</v>
      </c>
      <c r="N51" s="32"/>
      <c r="O51" s="9">
        <f t="shared" si="14"/>
        <v>0</v>
      </c>
      <c r="P51" s="20"/>
      <c r="Q51" s="33"/>
      <c r="R51" s="9">
        <f t="shared" si="7"/>
        <v>0</v>
      </c>
      <c r="X51" s="36"/>
    </row>
    <row r="52" spans="1:24" ht="18" customHeight="1">
      <c r="A52" s="9" t="s">
        <v>56</v>
      </c>
      <c r="B52" s="14"/>
      <c r="C52" s="9">
        <f t="shared" si="8"/>
        <v>0</v>
      </c>
      <c r="D52" s="15"/>
      <c r="E52" s="9">
        <f t="shared" si="9"/>
        <v>0</v>
      </c>
      <c r="F52" s="16"/>
      <c r="G52" s="9">
        <f t="shared" si="10"/>
        <v>0</v>
      </c>
      <c r="H52" s="17"/>
      <c r="I52" s="9">
        <f t="shared" si="11"/>
        <v>0</v>
      </c>
      <c r="J52" s="18"/>
      <c r="K52" s="9">
        <f t="shared" si="12"/>
        <v>0</v>
      </c>
      <c r="L52" s="19"/>
      <c r="M52" s="9">
        <f t="shared" si="13"/>
        <v>0</v>
      </c>
      <c r="N52" s="32"/>
      <c r="O52" s="9">
        <f t="shared" si="14"/>
        <v>0</v>
      </c>
      <c r="P52" s="20"/>
      <c r="Q52" s="33"/>
      <c r="R52" s="9">
        <f t="shared" si="7"/>
        <v>0</v>
      </c>
      <c r="X52" s="36"/>
    </row>
    <row r="53" spans="1:24" ht="18" customHeight="1">
      <c r="A53" s="9" t="s">
        <v>57</v>
      </c>
      <c r="B53" s="14"/>
      <c r="C53" s="9">
        <f t="shared" si="8"/>
        <v>0</v>
      </c>
      <c r="D53" s="15">
        <f>4</f>
        <v>4</v>
      </c>
      <c r="E53" s="9">
        <f t="shared" si="9"/>
        <v>4</v>
      </c>
      <c r="F53" s="16"/>
      <c r="G53" s="9">
        <f t="shared" si="10"/>
        <v>0</v>
      </c>
      <c r="H53" s="17"/>
      <c r="I53" s="9">
        <f t="shared" si="11"/>
        <v>0</v>
      </c>
      <c r="J53" s="18"/>
      <c r="K53" s="9">
        <f t="shared" si="12"/>
        <v>0</v>
      </c>
      <c r="L53" s="19"/>
      <c r="M53" s="9">
        <f t="shared" si="13"/>
        <v>0</v>
      </c>
      <c r="N53" s="32">
        <f>3</f>
        <v>3</v>
      </c>
      <c r="O53" s="9">
        <f t="shared" si="14"/>
        <v>3</v>
      </c>
      <c r="P53" s="20"/>
      <c r="Q53" s="33">
        <v>160</v>
      </c>
      <c r="R53" s="9">
        <f t="shared" si="7"/>
        <v>160</v>
      </c>
      <c r="S53" s="2" t="s">
        <v>119</v>
      </c>
      <c r="X53" s="36"/>
    </row>
    <row r="54" spans="1:24" ht="18" customHeight="1" thickBot="1">
      <c r="A54" s="10" t="s">
        <v>58</v>
      </c>
      <c r="B54" s="14"/>
      <c r="C54" s="9">
        <f t="shared" si="8"/>
        <v>0</v>
      </c>
      <c r="D54" s="15"/>
      <c r="E54" s="9">
        <f t="shared" si="9"/>
        <v>0</v>
      </c>
      <c r="F54" s="16"/>
      <c r="G54" s="9">
        <f t="shared" si="10"/>
        <v>0</v>
      </c>
      <c r="H54" s="17"/>
      <c r="I54" s="9">
        <f t="shared" si="11"/>
        <v>0</v>
      </c>
      <c r="J54" s="18"/>
      <c r="K54" s="9">
        <f t="shared" si="12"/>
        <v>0</v>
      </c>
      <c r="L54" s="19"/>
      <c r="M54" s="9">
        <f t="shared" si="13"/>
        <v>0</v>
      </c>
      <c r="N54" s="32"/>
      <c r="O54" s="9">
        <f t="shared" si="14"/>
        <v>0</v>
      </c>
      <c r="P54" s="22"/>
      <c r="Q54" s="34"/>
      <c r="R54" s="9">
        <f t="shared" si="7"/>
        <v>0</v>
      </c>
      <c r="X54" s="36"/>
    </row>
    <row r="55" spans="1:24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67</v>
      </c>
      <c r="E55" s="11"/>
      <c r="F55" s="11">
        <f>SUM(F5:F54)</f>
        <v>984</v>
      </c>
      <c r="G55" s="11"/>
      <c r="H55" s="11">
        <f>SUM(H5:H54)</f>
        <v>4472</v>
      </c>
      <c r="I55" s="11"/>
      <c r="J55" s="11">
        <f>SUM(J5:J54)</f>
        <v>200</v>
      </c>
      <c r="K55" s="11"/>
      <c r="L55" s="11">
        <f>SUM(L5:L54)</f>
        <v>2826</v>
      </c>
      <c r="M55" s="11"/>
      <c r="N55" s="11">
        <f>SUM(N5:N54)</f>
        <v>6</v>
      </c>
      <c r="O55" s="21"/>
      <c r="P55" s="23"/>
      <c r="Q55" s="11">
        <f>SUM(Q5:Q54)</f>
        <v>292977</v>
      </c>
      <c r="R55" s="23"/>
      <c r="X55" s="36"/>
    </row>
    <row r="56" spans="1:24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X56" s="36"/>
    </row>
    <row r="57" spans="1:24" ht="18" customHeight="1" thickBot="1" thickTop="1">
      <c r="A57" s="13" t="s">
        <v>60</v>
      </c>
      <c r="B57" s="11"/>
      <c r="C57" s="11">
        <f>B55</f>
        <v>9</v>
      </c>
      <c r="D57" s="11"/>
      <c r="E57" s="11">
        <f>D55</f>
        <v>67</v>
      </c>
      <c r="F57" s="11"/>
      <c r="G57" s="11">
        <f>F55</f>
        <v>984</v>
      </c>
      <c r="H57" s="11"/>
      <c r="I57" s="11">
        <f>H55</f>
        <v>4472</v>
      </c>
      <c r="J57" s="11"/>
      <c r="K57" s="11">
        <f>J55</f>
        <v>200</v>
      </c>
      <c r="L57" s="11"/>
      <c r="M57" s="11">
        <f>L55</f>
        <v>2826</v>
      </c>
      <c r="N57" s="11"/>
      <c r="O57" s="21">
        <f>N55</f>
        <v>6</v>
      </c>
      <c r="P57" s="23"/>
      <c r="Q57" s="31"/>
      <c r="R57" s="21">
        <f>Q55</f>
        <v>292977</v>
      </c>
      <c r="X57" s="36"/>
    </row>
    <row r="58" spans="1:24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X58" s="36"/>
    </row>
    <row r="59" spans="1:24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  <c r="S59" s="43"/>
      <c r="T59" s="43"/>
      <c r="U59" s="43"/>
      <c r="W59" s="43"/>
      <c r="X59" s="36"/>
    </row>
    <row r="60" spans="1:24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  <c r="X60" s="36"/>
    </row>
    <row r="61" ht="18" customHeight="1">
      <c r="X61" s="36"/>
    </row>
    <row r="62" spans="1:24" s="4" customFormat="1" ht="18" customHeight="1">
      <c r="A62" s="4" t="s">
        <v>62</v>
      </c>
      <c r="X62" s="36"/>
    </row>
    <row r="63" ht="18" customHeight="1">
      <c r="X63" s="38"/>
    </row>
    <row r="64" ht="18" customHeight="1">
      <c r="X64" s="36"/>
    </row>
    <row r="65" ht="18" customHeight="1">
      <c r="X65" s="38"/>
    </row>
    <row r="66" ht="18" customHeight="1">
      <c r="X66" s="36"/>
    </row>
    <row r="67" ht="18" customHeight="1">
      <c r="X67" s="36"/>
    </row>
    <row r="68" ht="18" customHeight="1">
      <c r="X68" s="36"/>
    </row>
    <row r="69" ht="18" customHeight="1">
      <c r="X69" s="38"/>
    </row>
    <row r="70" ht="18" customHeight="1">
      <c r="X70" s="38"/>
    </row>
    <row r="71" ht="18" customHeight="1">
      <c r="X71" s="38"/>
    </row>
    <row r="72" ht="18" customHeight="1">
      <c r="X72" s="38"/>
    </row>
    <row r="73" ht="18" customHeight="1">
      <c r="X73" s="38"/>
    </row>
    <row r="74" ht="18" customHeight="1">
      <c r="X74" s="38"/>
    </row>
    <row r="75" ht="18" customHeight="1">
      <c r="X75" s="38"/>
    </row>
    <row r="76" ht="18" customHeight="1">
      <c r="X76" s="38"/>
    </row>
    <row r="77" ht="18" customHeight="1">
      <c r="X77" s="36"/>
    </row>
    <row r="78" ht="18" customHeight="1">
      <c r="X78" s="38"/>
    </row>
    <row r="79" ht="18" customHeight="1">
      <c r="X79" s="38"/>
    </row>
    <row r="80" ht="18" customHeight="1">
      <c r="X80" s="38"/>
    </row>
    <row r="81" ht="18" customHeight="1">
      <c r="X81" s="38"/>
    </row>
    <row r="82" ht="18" customHeight="1">
      <c r="X82" s="36"/>
    </row>
    <row r="83" ht="18" customHeight="1">
      <c r="X83" s="38"/>
    </row>
    <row r="84" ht="18" customHeight="1">
      <c r="X84" s="36"/>
    </row>
    <row r="85" ht="18" customHeight="1">
      <c r="X85" s="36"/>
    </row>
    <row r="86" ht="18" customHeight="1">
      <c r="X86" s="38"/>
    </row>
    <row r="87" ht="18" customHeight="1">
      <c r="X87" s="38"/>
    </row>
    <row r="88" ht="15.75">
      <c r="X88" s="36"/>
    </row>
    <row r="89" ht="15.75">
      <c r="X89" s="36"/>
    </row>
    <row r="90" ht="15.75">
      <c r="X90" s="36"/>
    </row>
    <row r="91" ht="15.75">
      <c r="X91" s="36"/>
    </row>
    <row r="92" ht="15.75">
      <c r="X92" s="36"/>
    </row>
    <row r="93" ht="15.75">
      <c r="X93" s="36"/>
    </row>
    <row r="94" ht="15.75">
      <c r="X94" s="36"/>
    </row>
    <row r="95" ht="15.75">
      <c r="X95" s="36"/>
    </row>
    <row r="96" ht="15.75">
      <c r="X96" s="36"/>
    </row>
    <row r="97" ht="15.75">
      <c r="X97" s="36"/>
    </row>
    <row r="98" ht="15.75">
      <c r="X98" s="36"/>
    </row>
    <row r="99" ht="15.75">
      <c r="X99" s="36"/>
    </row>
    <row r="100" ht="15.75">
      <c r="X100" s="38"/>
    </row>
    <row r="101" ht="15.75">
      <c r="X101" s="36"/>
    </row>
    <row r="102" ht="15.75">
      <c r="X102" s="36"/>
    </row>
    <row r="103" ht="15.75">
      <c r="X103" s="36"/>
    </row>
    <row r="104" ht="15.75">
      <c r="X104" s="36"/>
    </row>
    <row r="105" ht="15.75">
      <c r="X105" s="36"/>
    </row>
    <row r="106" ht="15.75">
      <c r="X106" s="36"/>
    </row>
    <row r="107" ht="15.75">
      <c r="X107" s="36"/>
    </row>
    <row r="108" ht="15.75">
      <c r="X108" s="36"/>
    </row>
    <row r="109" ht="15.75">
      <c r="X109" s="36"/>
    </row>
    <row r="110" ht="15.75">
      <c r="X110" s="36"/>
    </row>
    <row r="111" ht="15.75">
      <c r="X111" s="36"/>
    </row>
    <row r="112" ht="15.75">
      <c r="X112" s="36"/>
    </row>
    <row r="113" ht="15.75">
      <c r="X113" s="36"/>
    </row>
    <row r="114" ht="15.75">
      <c r="X114" s="36"/>
    </row>
    <row r="115" ht="15.75">
      <c r="X115" s="36"/>
    </row>
    <row r="116" ht="15.75">
      <c r="X116" s="36"/>
    </row>
    <row r="117" ht="15.75">
      <c r="X117" s="36"/>
    </row>
    <row r="118" ht="15.75">
      <c r="X118" s="36"/>
    </row>
    <row r="119" ht="15.75">
      <c r="X119" s="40"/>
    </row>
    <row r="120" ht="15.75">
      <c r="X120" s="36"/>
    </row>
    <row r="121" ht="15.75">
      <c r="X121" s="36"/>
    </row>
    <row r="122" ht="15.75">
      <c r="X122" s="36"/>
    </row>
    <row r="123" ht="15.75">
      <c r="X123" s="36"/>
    </row>
    <row r="124" ht="15.75">
      <c r="X124" s="36"/>
    </row>
    <row r="125" ht="15.75">
      <c r="X125" s="36"/>
    </row>
    <row r="126" ht="15.75">
      <c r="X126" s="38"/>
    </row>
    <row r="127" ht="15.75">
      <c r="X127" s="38"/>
    </row>
    <row r="128" ht="15.75">
      <c r="X128" s="38"/>
    </row>
    <row r="129" ht="15.75">
      <c r="X129" s="38"/>
    </row>
    <row r="130" ht="15.75">
      <c r="X130" s="38"/>
    </row>
    <row r="131" ht="15.75">
      <c r="X131" s="38"/>
    </row>
    <row r="132" ht="15.75">
      <c r="X132" s="38"/>
    </row>
    <row r="133" ht="15.75">
      <c r="X133" s="38"/>
    </row>
    <row r="134" ht="15.75">
      <c r="X134" s="38"/>
    </row>
    <row r="135" ht="15.75">
      <c r="X135" s="38"/>
    </row>
    <row r="136" ht="15.75">
      <c r="X136" s="38"/>
    </row>
    <row r="137" ht="15.75">
      <c r="X137" s="38"/>
    </row>
    <row r="138" ht="15.75">
      <c r="X138" s="38"/>
    </row>
    <row r="139" ht="15.75">
      <c r="X139" s="38"/>
    </row>
    <row r="140" ht="15.75">
      <c r="X140" s="38"/>
    </row>
    <row r="141" ht="15.75">
      <c r="X141" s="38"/>
    </row>
    <row r="142" ht="15.75">
      <c r="X142" s="38"/>
    </row>
    <row r="143" ht="15.75">
      <c r="X143" s="38"/>
    </row>
    <row r="144" ht="15.75">
      <c r="X144" s="38"/>
    </row>
    <row r="145" ht="15.75">
      <c r="X145" s="38"/>
    </row>
    <row r="146" ht="15.75">
      <c r="X146" s="38"/>
    </row>
    <row r="147" ht="15.75">
      <c r="X147" s="38"/>
    </row>
    <row r="148" ht="15.75">
      <c r="X148" s="38"/>
    </row>
    <row r="149" ht="15.75">
      <c r="X149" s="38"/>
    </row>
    <row r="150" ht="15.75">
      <c r="X150" s="38"/>
    </row>
    <row r="151" ht="15.75">
      <c r="X151" s="36"/>
    </row>
    <row r="152" ht="15.75">
      <c r="X152" s="36"/>
    </row>
    <row r="153" ht="15.75">
      <c r="X153" s="36"/>
    </row>
    <row r="154" ht="15.75">
      <c r="X154" s="36"/>
    </row>
    <row r="155" ht="15.75">
      <c r="X155" s="36"/>
    </row>
    <row r="156" ht="15.75">
      <c r="X156" s="36"/>
    </row>
    <row r="157" ht="15.75">
      <c r="X157" s="36"/>
    </row>
    <row r="158" ht="15.75">
      <c r="X158" s="36"/>
    </row>
    <row r="159" ht="15.75">
      <c r="X159" s="36"/>
    </row>
    <row r="160" ht="15.75">
      <c r="X160" s="36"/>
    </row>
    <row r="161" ht="15.75">
      <c r="X161" s="36"/>
    </row>
    <row r="162" ht="15.75">
      <c r="X162" s="36"/>
    </row>
    <row r="163" ht="15.75">
      <c r="X163" s="36"/>
    </row>
    <row r="164" ht="15.75">
      <c r="X164" s="38"/>
    </row>
    <row r="165" ht="15.75">
      <c r="X165" s="38"/>
    </row>
    <row r="166" ht="15.75">
      <c r="X166" s="38"/>
    </row>
    <row r="167" ht="15.75">
      <c r="X167" s="38"/>
    </row>
    <row r="168" ht="15.75">
      <c r="X168" s="36"/>
    </row>
    <row r="169" ht="15.75">
      <c r="X169" s="36"/>
    </row>
    <row r="170" ht="15.75">
      <c r="X170" s="36"/>
    </row>
    <row r="171" ht="15.75">
      <c r="X171" s="36"/>
    </row>
    <row r="172" ht="15.75">
      <c r="X172" s="36"/>
    </row>
  </sheetData>
  <sheetProtection/>
  <mergeCells count="8">
    <mergeCell ref="Q3:R3"/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2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8" width="9.00390625" style="2" customWidth="1"/>
    <col min="19" max="22" width="7.75390625" style="2" customWidth="1"/>
    <col min="23" max="23" width="9.125" style="2" bestFit="1" customWidth="1"/>
    <col min="24" max="25" width="7.75390625" style="2" customWidth="1"/>
    <col min="26" max="16384" width="9.00390625" style="2" customWidth="1"/>
  </cols>
  <sheetData>
    <row r="1" spans="1:10" ht="23.25">
      <c r="A1" s="1" t="s">
        <v>78</v>
      </c>
      <c r="H1" s="2" t="s">
        <v>73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0.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September!C5+B5</f>
        <v>0</v>
      </c>
      <c r="D5" s="15">
        <f>1</f>
        <v>1</v>
      </c>
      <c r="E5" s="9">
        <f>September!E5+D5</f>
        <v>17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2"/>
      <c r="O5" s="9">
        <f>September!O5+N5</f>
        <v>0</v>
      </c>
      <c r="P5" s="20"/>
      <c r="Q5" s="33"/>
      <c r="R5" s="9">
        <f>September!R5+Q5</f>
        <v>0</v>
      </c>
    </row>
    <row r="6" spans="1:18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1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2"/>
      <c r="O6" s="9">
        <f>September!O6+N6</f>
        <v>0</v>
      </c>
      <c r="P6" s="20"/>
      <c r="Q6" s="33"/>
      <c r="R6" s="9">
        <f>September!R6+Q6</f>
        <v>0</v>
      </c>
    </row>
    <row r="7" spans="1:18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143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2</v>
      </c>
      <c r="L7" s="19"/>
      <c r="M7" s="9">
        <f>September!M7+L7</f>
        <v>0</v>
      </c>
      <c r="N7" s="32"/>
      <c r="O7" s="9">
        <f>September!O7+N7</f>
        <v>0</v>
      </c>
      <c r="P7" s="20"/>
      <c r="Q7" s="33"/>
      <c r="R7" s="9">
        <f>September!R7+Q7</f>
        <v>0</v>
      </c>
    </row>
    <row r="8" spans="1:18" ht="18" customHeight="1">
      <c r="A8" s="9" t="s">
        <v>12</v>
      </c>
      <c r="B8" s="14"/>
      <c r="C8" s="9">
        <f>September!C8+B8</f>
        <v>0</v>
      </c>
      <c r="D8" s="15">
        <f>1+1+1</f>
        <v>3</v>
      </c>
      <c r="E8" s="9">
        <f>September!E8+D8</f>
        <v>76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19</v>
      </c>
      <c r="L8" s="19"/>
      <c r="M8" s="9">
        <f>September!M8+L8</f>
        <v>0</v>
      </c>
      <c r="N8" s="32"/>
      <c r="O8" s="9">
        <f>September!O8+N8</f>
        <v>0</v>
      </c>
      <c r="P8" s="20"/>
      <c r="Q8" s="33"/>
      <c r="R8" s="9">
        <f>September!R8+Q8</f>
        <v>0</v>
      </c>
    </row>
    <row r="9" spans="1:18" ht="18" customHeight="1">
      <c r="A9" s="9" t="s">
        <v>13</v>
      </c>
      <c r="B9" s="14"/>
      <c r="C9" s="9">
        <f>September!C9+B9</f>
        <v>0</v>
      </c>
      <c r="D9" s="15">
        <f>1+1</f>
        <v>2</v>
      </c>
      <c r="E9" s="9">
        <f>September!E9+D9</f>
        <v>65</v>
      </c>
      <c r="F9" s="16"/>
      <c r="G9" s="9">
        <f>September!G9+F9</f>
        <v>2</v>
      </c>
      <c r="H9" s="17"/>
      <c r="I9" s="9">
        <f>September!I9+H9</f>
        <v>0</v>
      </c>
      <c r="J9" s="18"/>
      <c r="K9" s="9">
        <f>September!K9+J9</f>
        <v>33</v>
      </c>
      <c r="L9" s="19"/>
      <c r="M9" s="9">
        <f>September!M9+L9</f>
        <v>0</v>
      </c>
      <c r="N9" s="32"/>
      <c r="O9" s="9">
        <f>September!O9+N9</f>
        <v>0</v>
      </c>
      <c r="P9" s="20"/>
      <c r="Q9" s="33"/>
      <c r="R9" s="9">
        <f>September!R9+Q9</f>
        <v>0</v>
      </c>
    </row>
    <row r="10" spans="1:20" ht="18" customHeight="1">
      <c r="A10" s="9" t="s">
        <v>14</v>
      </c>
      <c r="B10" s="14"/>
      <c r="C10" s="9">
        <f>September!C10+B10</f>
        <v>0</v>
      </c>
      <c r="D10" s="15">
        <f>2+1+14</f>
        <v>17</v>
      </c>
      <c r="E10" s="9">
        <f>September!E10+D10</f>
        <v>58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2"/>
      <c r="O10" s="9">
        <f>September!O10+N10</f>
        <v>0</v>
      </c>
      <c r="P10" s="20"/>
      <c r="Q10" s="33">
        <f>29800+17700+19200+18200+16815+18200+1440</f>
        <v>121355</v>
      </c>
      <c r="R10" s="9">
        <f>September!R10+Q10</f>
        <v>2560241</v>
      </c>
      <c r="S10" s="2" t="s">
        <v>114</v>
      </c>
      <c r="T10" s="2" t="s">
        <v>115</v>
      </c>
    </row>
    <row r="11" spans="1:18" ht="18" customHeight="1">
      <c r="A11" s="9" t="s">
        <v>15</v>
      </c>
      <c r="B11" s="14"/>
      <c r="C11" s="9">
        <f>September!C11+B11</f>
        <v>0</v>
      </c>
      <c r="D11" s="15">
        <f>4+1+1+1+2</f>
        <v>9</v>
      </c>
      <c r="E11" s="9">
        <f>September!E11+D11</f>
        <v>207</v>
      </c>
      <c r="F11" s="16"/>
      <c r="G11" s="9">
        <f>September!G11+F11</f>
        <v>8</v>
      </c>
      <c r="H11" s="17"/>
      <c r="I11" s="9">
        <f>September!I11+H11</f>
        <v>0</v>
      </c>
      <c r="J11" s="18"/>
      <c r="K11" s="9">
        <f>September!K11+J11</f>
        <v>8</v>
      </c>
      <c r="L11" s="19"/>
      <c r="M11" s="9">
        <f>September!M11+L11</f>
        <v>0</v>
      </c>
      <c r="N11" s="32">
        <f>22+8+1+9+8</f>
        <v>48</v>
      </c>
      <c r="O11" s="9">
        <f>September!O11+N11</f>
        <v>50</v>
      </c>
      <c r="P11" s="20"/>
      <c r="Q11" s="33"/>
      <c r="R11" s="9">
        <f>September!R11+Q11</f>
        <v>0</v>
      </c>
    </row>
    <row r="12" spans="1:19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1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32"/>
      <c r="O12" s="9">
        <f>September!O12+N12</f>
        <v>2</v>
      </c>
      <c r="P12" s="20"/>
      <c r="Q12" s="33">
        <f>12600+1080+6840+1080</f>
        <v>21600</v>
      </c>
      <c r="R12" s="9">
        <f>September!R12+Q12</f>
        <v>352662</v>
      </c>
      <c r="S12" s="2" t="s">
        <v>113</v>
      </c>
    </row>
    <row r="13" spans="1:18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5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2"/>
      <c r="O13" s="9">
        <f>September!O13+N13</f>
        <v>0</v>
      </c>
      <c r="P13" s="20"/>
      <c r="Q13" s="33"/>
      <c r="R13" s="9">
        <f>September!R13+Q13</f>
        <v>0</v>
      </c>
    </row>
    <row r="14" spans="1:18" ht="18" customHeight="1">
      <c r="A14" s="9" t="s">
        <v>18</v>
      </c>
      <c r="B14" s="14"/>
      <c r="C14" s="9">
        <f>September!C14+B14</f>
        <v>0</v>
      </c>
      <c r="D14" s="15">
        <f>2</f>
        <v>2</v>
      </c>
      <c r="E14" s="9">
        <f>September!E14+D14</f>
        <v>130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2</v>
      </c>
      <c r="L14" s="19"/>
      <c r="M14" s="9">
        <f>September!M14+L14</f>
        <v>0</v>
      </c>
      <c r="N14" s="32"/>
      <c r="O14" s="9">
        <f>September!O14+N14</f>
        <v>9</v>
      </c>
      <c r="P14" s="20"/>
      <c r="Q14" s="33"/>
      <c r="R14" s="9">
        <f>September!R14+Q14</f>
        <v>0</v>
      </c>
    </row>
    <row r="15" spans="1:18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26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2"/>
      <c r="O15" s="9">
        <f>September!O15+N15</f>
        <v>9</v>
      </c>
      <c r="P15" s="20"/>
      <c r="Q15" s="33"/>
      <c r="R15" s="9">
        <f>September!R15+Q15</f>
        <v>0</v>
      </c>
    </row>
    <row r="16" spans="1:18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2"/>
      <c r="O16" s="9">
        <f>September!O16+N16</f>
        <v>0</v>
      </c>
      <c r="P16" s="20"/>
      <c r="Q16" s="33"/>
      <c r="R16" s="9">
        <f>September!R16+Q16</f>
        <v>0</v>
      </c>
    </row>
    <row r="17" spans="1:18" ht="18" customHeight="1">
      <c r="A17" s="9" t="s">
        <v>21</v>
      </c>
      <c r="B17" s="14"/>
      <c r="C17" s="9">
        <f>September!C17+B17</f>
        <v>0</v>
      </c>
      <c r="D17" s="15">
        <f>1+2+2+1</f>
        <v>6</v>
      </c>
      <c r="E17" s="9">
        <f>September!E17+D17</f>
        <v>76</v>
      </c>
      <c r="F17" s="16"/>
      <c r="G17" s="9">
        <f>September!G17+F17</f>
        <v>1278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2"/>
      <c r="O17" s="9">
        <f>September!O17+N17</f>
        <v>1</v>
      </c>
      <c r="P17" s="20"/>
      <c r="Q17" s="33"/>
      <c r="R17" s="9">
        <f>September!R17+Q17</f>
        <v>0</v>
      </c>
    </row>
    <row r="18" spans="1:18" ht="18" customHeight="1">
      <c r="A18" s="9" t="s">
        <v>22</v>
      </c>
      <c r="B18" s="14">
        <f>3+1</f>
        <v>4</v>
      </c>
      <c r="C18" s="9">
        <f>September!C18+B18</f>
        <v>37</v>
      </c>
      <c r="D18" s="15">
        <f>1+1+3+1+3+2+1+1+4+3+2+2+2+1+1+1+1+1+2+2+2+1+2+7</f>
        <v>47</v>
      </c>
      <c r="E18" s="9">
        <f>September!E18+D18</f>
        <v>428</v>
      </c>
      <c r="F18" s="16"/>
      <c r="G18" s="9">
        <f>September!G18+F18</f>
        <v>650</v>
      </c>
      <c r="H18" s="17"/>
      <c r="I18" s="9">
        <f>September!I18+H18</f>
        <v>0</v>
      </c>
      <c r="J18" s="18"/>
      <c r="K18" s="9">
        <f>September!K18+J18</f>
        <v>117</v>
      </c>
      <c r="L18" s="19"/>
      <c r="M18" s="9">
        <f>September!M18+L18</f>
        <v>0</v>
      </c>
      <c r="N18" s="32">
        <f>3+4+10+5</f>
        <v>22</v>
      </c>
      <c r="O18" s="9">
        <f>September!O18+N18</f>
        <v>27</v>
      </c>
      <c r="P18" s="20"/>
      <c r="Q18" s="33"/>
      <c r="R18" s="9">
        <f>September!R18+Q18</f>
        <v>2</v>
      </c>
    </row>
    <row r="19" spans="1:18" ht="18" customHeight="1">
      <c r="A19" s="9" t="s">
        <v>23</v>
      </c>
      <c r="B19" s="14"/>
      <c r="C19" s="9">
        <f>September!C19+B19</f>
        <v>4</v>
      </c>
      <c r="D19" s="15">
        <f>1+2</f>
        <v>3</v>
      </c>
      <c r="E19" s="9">
        <f>September!E19+D19</f>
        <v>95</v>
      </c>
      <c r="F19" s="16">
        <f>5+12+7</f>
        <v>24</v>
      </c>
      <c r="G19" s="9">
        <f>September!G19+F19</f>
        <v>45</v>
      </c>
      <c r="H19" s="17"/>
      <c r="I19" s="9">
        <f>September!I19+H19</f>
        <v>0</v>
      </c>
      <c r="J19" s="18"/>
      <c r="K19" s="9">
        <f>September!K19+J19</f>
        <v>78</v>
      </c>
      <c r="L19" s="19"/>
      <c r="M19" s="9">
        <f>September!M19+L19</f>
        <v>0</v>
      </c>
      <c r="N19" s="32"/>
      <c r="O19" s="9">
        <f>September!O19+N19</f>
        <v>7</v>
      </c>
      <c r="P19" s="20"/>
      <c r="Q19" s="33"/>
      <c r="R19" s="9">
        <f>September!R19+Q19</f>
        <v>0</v>
      </c>
    </row>
    <row r="20" spans="1:18" ht="18" customHeight="1">
      <c r="A20" s="9" t="s">
        <v>24</v>
      </c>
      <c r="B20" s="14"/>
      <c r="C20" s="9">
        <f>September!C20+B20</f>
        <v>0</v>
      </c>
      <c r="D20" s="15">
        <f>1+1+1+2+1+1+2+8</f>
        <v>17</v>
      </c>
      <c r="E20" s="9">
        <f>September!E20+D20</f>
        <v>308</v>
      </c>
      <c r="F20" s="16"/>
      <c r="G20" s="9">
        <f>September!G20+F20</f>
        <v>15</v>
      </c>
      <c r="H20" s="17"/>
      <c r="I20" s="9">
        <f>September!I20+H20</f>
        <v>0</v>
      </c>
      <c r="J20" s="18">
        <f>23</f>
        <v>23</v>
      </c>
      <c r="K20" s="9">
        <f>September!K20+J20</f>
        <v>27</v>
      </c>
      <c r="L20" s="19"/>
      <c r="M20" s="9">
        <f>September!M20+L20</f>
        <v>0</v>
      </c>
      <c r="N20" s="32">
        <v>3</v>
      </c>
      <c r="O20" s="9">
        <f>September!O20+N20</f>
        <v>5</v>
      </c>
      <c r="P20" s="20"/>
      <c r="Q20" s="33"/>
      <c r="R20" s="9">
        <f>September!R20+Q20</f>
        <v>0</v>
      </c>
    </row>
    <row r="21" spans="1:18" ht="18" customHeight="1">
      <c r="A21" s="9" t="s">
        <v>25</v>
      </c>
      <c r="B21" s="14"/>
      <c r="C21" s="9">
        <f>September!C21+B21</f>
        <v>0</v>
      </c>
      <c r="D21" s="15">
        <f>2+2+1+1</f>
        <v>6</v>
      </c>
      <c r="E21" s="9">
        <f>September!E21+D21</f>
        <v>145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32"/>
      <c r="O21" s="9">
        <f>September!O21+N21</f>
        <v>4</v>
      </c>
      <c r="P21" s="20"/>
      <c r="Q21" s="33"/>
      <c r="R21" s="9">
        <f>September!R21+Q21</f>
        <v>0</v>
      </c>
    </row>
    <row r="22" spans="1:18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31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32"/>
      <c r="O22" s="9">
        <f>September!O22+N22</f>
        <v>0</v>
      </c>
      <c r="P22" s="20"/>
      <c r="Q22" s="33"/>
      <c r="R22" s="9">
        <f>September!R22+Q22</f>
        <v>0</v>
      </c>
    </row>
    <row r="23" spans="1:18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0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32"/>
      <c r="O23" s="9">
        <f>September!O23+N23</f>
        <v>0</v>
      </c>
      <c r="P23" s="20"/>
      <c r="Q23" s="33"/>
      <c r="R23" s="9">
        <f>September!R23+Q23</f>
        <v>0</v>
      </c>
    </row>
    <row r="24" spans="1:18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2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32"/>
      <c r="O24" s="9">
        <f>September!O24+N24</f>
        <v>0</v>
      </c>
      <c r="P24" s="20"/>
      <c r="Q24" s="33"/>
      <c r="R24" s="9">
        <f>September!R24+Q24</f>
        <v>0</v>
      </c>
    </row>
    <row r="25" spans="1:18" ht="18" customHeight="1">
      <c r="A25" s="9" t="s">
        <v>29</v>
      </c>
      <c r="B25" s="14"/>
      <c r="C25" s="9">
        <f>September!C25+B25</f>
        <v>0</v>
      </c>
      <c r="D25" s="15">
        <f>1+1+1+2</f>
        <v>5</v>
      </c>
      <c r="E25" s="9">
        <f>September!E25+D25</f>
        <v>5</v>
      </c>
      <c r="F25" s="16"/>
      <c r="G25" s="9">
        <f>September!G25+F25</f>
        <v>12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32"/>
      <c r="O25" s="9">
        <f>September!O25+N25</f>
        <v>1</v>
      </c>
      <c r="P25" s="20"/>
      <c r="Q25" s="33"/>
      <c r="R25" s="9">
        <f>September!R25+Q25</f>
        <v>0</v>
      </c>
    </row>
    <row r="26" spans="1:18" ht="18" customHeight="1">
      <c r="A26" s="9" t="s">
        <v>30</v>
      </c>
      <c r="B26" s="14">
        <f>1</f>
        <v>1</v>
      </c>
      <c r="C26" s="9">
        <f>September!C26+B26</f>
        <v>4</v>
      </c>
      <c r="D26" s="15">
        <f>2+8+1+2</f>
        <v>13</v>
      </c>
      <c r="E26" s="9">
        <f>September!E26+D26</f>
        <v>83</v>
      </c>
      <c r="F26" s="16"/>
      <c r="G26" s="9">
        <f>September!G26+F26</f>
        <v>65</v>
      </c>
      <c r="H26" s="17"/>
      <c r="I26" s="9">
        <f>September!I26+H26</f>
        <v>0</v>
      </c>
      <c r="J26" s="18"/>
      <c r="K26" s="9">
        <f>September!K26+J26</f>
        <v>2</v>
      </c>
      <c r="L26" s="19"/>
      <c r="M26" s="9">
        <f>September!M26+L26</f>
        <v>0</v>
      </c>
      <c r="N26" s="32">
        <f>3+1+3</f>
        <v>7</v>
      </c>
      <c r="O26" s="9">
        <f>September!O26+N26</f>
        <v>13</v>
      </c>
      <c r="P26" s="20"/>
      <c r="Q26" s="33"/>
      <c r="R26" s="9">
        <f>September!R26+Q26</f>
        <v>0</v>
      </c>
    </row>
    <row r="27" spans="1:18" ht="18" customHeight="1">
      <c r="A27" s="9" t="s">
        <v>31</v>
      </c>
      <c r="B27" s="14">
        <f>6+1</f>
        <v>7</v>
      </c>
      <c r="C27" s="9">
        <f>September!C27+B27</f>
        <v>142</v>
      </c>
      <c r="D27" s="15">
        <f>3+3+2+1+2+2+2+2+2+3+3+4+4+3+1+2+1+3+2+1+4+3+1+1+5+1+2+2+1+3+2+7</f>
        <v>78</v>
      </c>
      <c r="E27" s="9">
        <f>September!E27+D27</f>
        <v>1436</v>
      </c>
      <c r="F27" s="16">
        <f>1+12+3+97+60+79+6+6+40+45+2+138+57+56+32+10+11+11+2+3</f>
        <v>671</v>
      </c>
      <c r="G27" s="9">
        <f>September!G27+F27</f>
        <v>1675</v>
      </c>
      <c r="H27" s="17"/>
      <c r="I27" s="9">
        <f>September!I27+H27</f>
        <v>172</v>
      </c>
      <c r="J27" s="18">
        <f>12+8+1+1</f>
        <v>22</v>
      </c>
      <c r="K27" s="9">
        <f>September!K27+J27</f>
        <v>495</v>
      </c>
      <c r="L27" s="19"/>
      <c r="M27" s="9">
        <f>September!M27+L27</f>
        <v>0</v>
      </c>
      <c r="N27" s="32">
        <f>2+2+2</f>
        <v>6</v>
      </c>
      <c r="O27" s="9">
        <f>September!O27+N27</f>
        <v>38</v>
      </c>
      <c r="P27" s="20"/>
      <c r="Q27" s="33"/>
      <c r="R27" s="9">
        <f>September!R27+Q27</f>
        <v>0</v>
      </c>
    </row>
    <row r="28" spans="1:18" ht="18" customHeight="1">
      <c r="A28" s="9" t="s">
        <v>32</v>
      </c>
      <c r="B28" s="14"/>
      <c r="C28" s="9">
        <f>September!C28+B28</f>
        <v>0</v>
      </c>
      <c r="D28" s="15">
        <f>1+3</f>
        <v>4</v>
      </c>
      <c r="E28" s="9">
        <f>September!E28+D28</f>
        <v>59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32"/>
      <c r="O28" s="9">
        <f>September!O28+N28</f>
        <v>0</v>
      </c>
      <c r="P28" s="20"/>
      <c r="Q28" s="33"/>
      <c r="R28" s="9">
        <f>September!R28+Q28</f>
        <v>0</v>
      </c>
    </row>
    <row r="29" spans="1:18" ht="18" customHeight="1">
      <c r="A29" s="9" t="s">
        <v>33</v>
      </c>
      <c r="B29" s="14">
        <f>10+1</f>
        <v>11</v>
      </c>
      <c r="C29" s="9">
        <f>September!C29+B29</f>
        <v>22</v>
      </c>
      <c r="D29" s="15">
        <f>6+1+3+3+1+1+1+2+1+1+1+1+1+1+1+1+1+1+1+1+1+1+2+1+1+1+1+1+1+2+3+5</f>
        <v>50</v>
      </c>
      <c r="E29" s="9">
        <f>September!E29+D29</f>
        <v>683</v>
      </c>
      <c r="F29" s="16">
        <f>2</f>
        <v>2</v>
      </c>
      <c r="G29" s="9">
        <f>September!G29+F29</f>
        <v>768</v>
      </c>
      <c r="H29" s="17"/>
      <c r="I29" s="9">
        <f>September!I29+H29</f>
        <v>0</v>
      </c>
      <c r="J29" s="18">
        <f>44</f>
        <v>44</v>
      </c>
      <c r="K29" s="9">
        <f>September!K29+J29</f>
        <v>103</v>
      </c>
      <c r="L29" s="19"/>
      <c r="M29" s="9">
        <f>September!M29+L29</f>
        <v>0</v>
      </c>
      <c r="N29" s="32">
        <f>2+1+9+5</f>
        <v>17</v>
      </c>
      <c r="O29" s="9">
        <f>September!O29+N29</f>
        <v>57</v>
      </c>
      <c r="P29" s="20"/>
      <c r="Q29" s="33"/>
      <c r="R29" s="9">
        <f>September!R29+Q29</f>
        <v>0</v>
      </c>
    </row>
    <row r="30" spans="1:18" ht="18" customHeight="1">
      <c r="A30" s="9" t="s">
        <v>34</v>
      </c>
      <c r="B30" s="14"/>
      <c r="C30" s="9">
        <f>September!C30+B30</f>
        <v>0</v>
      </c>
      <c r="D30" s="15">
        <f>1+1+10+1+4+2+1</f>
        <v>20</v>
      </c>
      <c r="E30" s="9">
        <f>September!E30+D30</f>
        <v>210</v>
      </c>
      <c r="F30" s="16">
        <f>430+410+535+386+547+600</f>
        <v>2908</v>
      </c>
      <c r="G30" s="9">
        <f>September!G30+F30</f>
        <v>4667</v>
      </c>
      <c r="H30" s="17">
        <f>600</f>
        <v>600</v>
      </c>
      <c r="I30" s="9">
        <f>September!I30+H30</f>
        <v>797</v>
      </c>
      <c r="J30" s="18"/>
      <c r="K30" s="9">
        <f>September!K30+J30</f>
        <v>4</v>
      </c>
      <c r="L30" s="19"/>
      <c r="M30" s="9">
        <f>September!M30+L30</f>
        <v>3</v>
      </c>
      <c r="N30" s="32"/>
      <c r="O30" s="9">
        <f>September!O30+N30</f>
        <v>6</v>
      </c>
      <c r="P30" s="20"/>
      <c r="Q30" s="33"/>
      <c r="R30" s="9">
        <f>September!R30+Q30</f>
        <v>0</v>
      </c>
    </row>
    <row r="31" spans="1:18" ht="18" customHeight="1">
      <c r="A31" s="9" t="s">
        <v>35</v>
      </c>
      <c r="B31" s="14"/>
      <c r="C31" s="9">
        <f>September!C31+B31</f>
        <v>2</v>
      </c>
      <c r="D31" s="15">
        <f>1+2+1+2+2+3+20+20+1+5+3+2+3+1+1+3+3+1+1+1+3+2+1+1+1+1+2+12+1+1+2+2+1+1+1+1+1+1+1+1+7+2+1+1+1+1+1+1+1+1+1+1+1+2+1+1+1+6+2</f>
        <v>146</v>
      </c>
      <c r="E31" s="9">
        <f>September!E31+D31</f>
        <v>842</v>
      </c>
      <c r="F31" s="16">
        <f>7+2+13+10+135+88+86+34+3+63+160</f>
        <v>601</v>
      </c>
      <c r="G31" s="9">
        <f>September!G31+F31</f>
        <v>2514</v>
      </c>
      <c r="H31" s="17"/>
      <c r="I31" s="9">
        <f>September!I31+H31</f>
        <v>1028</v>
      </c>
      <c r="J31" s="18">
        <f>6+17+1+23+9+7+3+26+4+1+3+9+3</f>
        <v>112</v>
      </c>
      <c r="K31" s="9">
        <f>September!K31+J31</f>
        <v>663</v>
      </c>
      <c r="L31" s="19"/>
      <c r="M31" s="9">
        <f>September!M31+L31</f>
        <v>201</v>
      </c>
      <c r="N31" s="32">
        <f>11+5+4+1</f>
        <v>21</v>
      </c>
      <c r="O31" s="9">
        <f>September!O31+N31</f>
        <v>40</v>
      </c>
      <c r="P31" s="20"/>
      <c r="Q31" s="33"/>
      <c r="R31" s="9">
        <f>September!R31+Q31</f>
        <v>0</v>
      </c>
    </row>
    <row r="32" spans="1:18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33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5</v>
      </c>
      <c r="L32" s="19"/>
      <c r="M32" s="9">
        <f>September!M32+L32</f>
        <v>0</v>
      </c>
      <c r="N32" s="32"/>
      <c r="O32" s="9">
        <f>September!O32+N32</f>
        <v>0</v>
      </c>
      <c r="P32" s="20"/>
      <c r="Q32" s="33"/>
      <c r="R32" s="9">
        <f>September!R32+Q32</f>
        <v>0</v>
      </c>
    </row>
    <row r="33" spans="1:18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32"/>
      <c r="O33" s="9">
        <f>September!O33+N33</f>
        <v>0</v>
      </c>
      <c r="P33" s="20"/>
      <c r="Q33" s="33"/>
      <c r="R33" s="9">
        <f>September!R33+Q33</f>
        <v>0</v>
      </c>
    </row>
    <row r="34" spans="1:18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4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32"/>
      <c r="O34" s="9">
        <f>September!O34+N34</f>
        <v>0</v>
      </c>
      <c r="P34" s="20"/>
      <c r="Q34" s="33"/>
      <c r="R34" s="9">
        <f>September!R34+Q34</f>
        <v>0</v>
      </c>
    </row>
    <row r="35" spans="1:18" ht="18" customHeight="1">
      <c r="A35" s="9" t="s">
        <v>39</v>
      </c>
      <c r="B35" s="14"/>
      <c r="C35" s="9">
        <f>September!C35+B35</f>
        <v>0</v>
      </c>
      <c r="D35" s="15">
        <f>1</f>
        <v>1</v>
      </c>
      <c r="E35" s="9">
        <f>September!E35+D35</f>
        <v>29</v>
      </c>
      <c r="F35" s="16"/>
      <c r="G35" s="9">
        <f>September!G35+F35</f>
        <v>8</v>
      </c>
      <c r="H35" s="17"/>
      <c r="I35" s="9">
        <f>September!I35+H35</f>
        <v>477</v>
      </c>
      <c r="J35" s="18">
        <f>2</f>
        <v>2</v>
      </c>
      <c r="K35" s="9">
        <f>September!K35+J35</f>
        <v>2</v>
      </c>
      <c r="L35" s="19"/>
      <c r="M35" s="9">
        <f>September!M35+L35</f>
        <v>0</v>
      </c>
      <c r="N35" s="32"/>
      <c r="O35" s="9">
        <f>September!O35+N35</f>
        <v>3</v>
      </c>
      <c r="P35" s="20"/>
      <c r="Q35" s="33"/>
      <c r="R35" s="9">
        <f>September!R35+Q35</f>
        <v>0</v>
      </c>
    </row>
    <row r="36" spans="1:18" ht="18" customHeight="1">
      <c r="A36" s="9" t="s">
        <v>40</v>
      </c>
      <c r="B36" s="14"/>
      <c r="C36" s="9">
        <f>September!C36+B36</f>
        <v>0</v>
      </c>
      <c r="D36" s="15">
        <f>1+1+1</f>
        <v>3</v>
      </c>
      <c r="E36" s="9">
        <f>September!E36+D36</f>
        <v>15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32"/>
      <c r="O36" s="9">
        <f>September!O36+N36</f>
        <v>1</v>
      </c>
      <c r="P36" s="20"/>
      <c r="Q36" s="33"/>
      <c r="R36" s="9">
        <f>September!R36+Q36</f>
        <v>129960</v>
      </c>
    </row>
    <row r="37" spans="1:18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12</v>
      </c>
      <c r="F37" s="16"/>
      <c r="G37" s="9">
        <f>September!G37+F37</f>
        <v>1</v>
      </c>
      <c r="H37" s="17"/>
      <c r="I37" s="9">
        <f>September!I37+H37</f>
        <v>0</v>
      </c>
      <c r="J37" s="18"/>
      <c r="K37" s="9">
        <f>September!K37+J37</f>
        <v>3</v>
      </c>
      <c r="L37" s="19"/>
      <c r="M37" s="9">
        <f>September!M37+L37</f>
        <v>0</v>
      </c>
      <c r="N37" s="32"/>
      <c r="O37" s="9">
        <f>September!O37+N37</f>
        <v>3</v>
      </c>
      <c r="P37" s="20"/>
      <c r="Q37" s="33"/>
      <c r="R37" s="9">
        <f>September!R37+Q37</f>
        <v>99290</v>
      </c>
    </row>
    <row r="38" spans="1:18" ht="18" customHeight="1">
      <c r="A38" s="9" t="s">
        <v>42</v>
      </c>
      <c r="B38" s="14">
        <f>8</f>
        <v>8</v>
      </c>
      <c r="C38" s="9">
        <f>September!C38+B38</f>
        <v>8</v>
      </c>
      <c r="D38" s="15">
        <f>1+1+6+3+10+8+2+4+1+1+4+3+1+1+2+15+15+1+2</f>
        <v>81</v>
      </c>
      <c r="E38" s="9">
        <f>September!E38+D38</f>
        <v>177</v>
      </c>
      <c r="F38" s="16"/>
      <c r="G38" s="9">
        <f>September!G38+F38</f>
        <v>29</v>
      </c>
      <c r="H38" s="17"/>
      <c r="I38" s="9">
        <f>September!I38+H38</f>
        <v>226</v>
      </c>
      <c r="J38" s="18"/>
      <c r="K38" s="9">
        <f>September!K38+J38</f>
        <v>12</v>
      </c>
      <c r="L38" s="19"/>
      <c r="M38" s="9">
        <f>September!M38+L38</f>
        <v>0</v>
      </c>
      <c r="N38" s="32"/>
      <c r="O38" s="9">
        <f>September!O38+N38</f>
        <v>0</v>
      </c>
      <c r="P38" s="20"/>
      <c r="Q38" s="33"/>
      <c r="R38" s="9">
        <f>September!R38+Q38</f>
        <v>0</v>
      </c>
    </row>
    <row r="39" spans="1:18" ht="18" customHeight="1">
      <c r="A39" s="9" t="s">
        <v>43</v>
      </c>
      <c r="B39" s="14">
        <f>2+1+1</f>
        <v>4</v>
      </c>
      <c r="C39" s="9">
        <f>September!C39+B39</f>
        <v>23</v>
      </c>
      <c r="D39" s="15">
        <f>1+1+1</f>
        <v>3</v>
      </c>
      <c r="E39" s="9">
        <f>September!E39+D39</f>
        <v>85</v>
      </c>
      <c r="F39" s="16"/>
      <c r="G39" s="9">
        <f>September!G39+F39</f>
        <v>162</v>
      </c>
      <c r="H39" s="17"/>
      <c r="I39" s="9">
        <f>September!I39+H39</f>
        <v>0</v>
      </c>
      <c r="J39" s="18"/>
      <c r="K39" s="9">
        <f>September!K39+J39</f>
        <v>1</v>
      </c>
      <c r="L39" s="19"/>
      <c r="M39" s="9">
        <f>September!M39+L39</f>
        <v>0</v>
      </c>
      <c r="N39" s="32">
        <f>5+4+4+4</f>
        <v>17</v>
      </c>
      <c r="O39" s="9">
        <f>September!O39+N39</f>
        <v>29</v>
      </c>
      <c r="P39" s="20"/>
      <c r="Q39" s="33"/>
      <c r="R39" s="9">
        <f>September!R39+Q39</f>
        <v>0</v>
      </c>
    </row>
    <row r="40" spans="1:18" ht="18" customHeight="1">
      <c r="A40" s="9" t="s">
        <v>44</v>
      </c>
      <c r="B40" s="14"/>
      <c r="C40" s="9">
        <f>September!C40+B40</f>
        <v>0</v>
      </c>
      <c r="D40" s="15">
        <f>3+1+1+1+3</f>
        <v>9</v>
      </c>
      <c r="E40" s="9">
        <f>September!E40+D40</f>
        <v>458</v>
      </c>
      <c r="F40" s="16"/>
      <c r="G40" s="9">
        <f>September!G40+F40</f>
        <v>84</v>
      </c>
      <c r="H40" s="17"/>
      <c r="I40" s="9">
        <f>September!I40+H40</f>
        <v>0</v>
      </c>
      <c r="J40" s="18"/>
      <c r="K40" s="9">
        <f>September!K40+J40</f>
        <v>5</v>
      </c>
      <c r="L40" s="19"/>
      <c r="M40" s="9">
        <f>September!M40+L40</f>
        <v>0</v>
      </c>
      <c r="N40" s="32"/>
      <c r="O40" s="9">
        <f>September!O40+N40</f>
        <v>4</v>
      </c>
      <c r="P40" s="20"/>
      <c r="Q40" s="33"/>
      <c r="R40" s="9">
        <f>September!R40+Q40</f>
        <v>0</v>
      </c>
    </row>
    <row r="41" spans="1:18" ht="18" customHeight="1">
      <c r="A41" s="9" t="s">
        <v>45</v>
      </c>
      <c r="B41" s="14"/>
      <c r="C41" s="9">
        <f>September!C41+B41</f>
        <v>0</v>
      </c>
      <c r="D41" s="15"/>
      <c r="E41" s="9">
        <f>September!E41+D41</f>
        <v>36</v>
      </c>
      <c r="F41" s="16"/>
      <c r="G41" s="9">
        <f>September!G41+F41</f>
        <v>3</v>
      </c>
      <c r="H41" s="17"/>
      <c r="I41" s="9">
        <f>September!I41+H41</f>
        <v>0</v>
      </c>
      <c r="J41" s="18"/>
      <c r="K41" s="9">
        <f>September!K41+J41</f>
        <v>5</v>
      </c>
      <c r="L41" s="19"/>
      <c r="M41" s="9">
        <f>September!M41+L41</f>
        <v>0</v>
      </c>
      <c r="N41" s="32"/>
      <c r="O41" s="9">
        <f>September!O41+N41</f>
        <v>19</v>
      </c>
      <c r="P41" s="20"/>
      <c r="Q41" s="33"/>
      <c r="R41" s="9">
        <f>September!R41+Q41</f>
        <v>57</v>
      </c>
    </row>
    <row r="42" spans="1:18" ht="18" customHeight="1">
      <c r="A42" s="9" t="s">
        <v>46</v>
      </c>
      <c r="B42" s="14">
        <f>1+8+1</f>
        <v>10</v>
      </c>
      <c r="C42" s="9">
        <f>September!C42+B42</f>
        <v>17</v>
      </c>
      <c r="D42" s="15"/>
      <c r="E42" s="9">
        <f>September!E42+D42</f>
        <v>60</v>
      </c>
      <c r="F42" s="16"/>
      <c r="G42" s="9">
        <f>September!G42+F42</f>
        <v>15</v>
      </c>
      <c r="H42" s="17"/>
      <c r="I42" s="9">
        <f>September!I42+H42</f>
        <v>0</v>
      </c>
      <c r="J42" s="18"/>
      <c r="K42" s="9">
        <f>September!K42+J42</f>
        <v>9</v>
      </c>
      <c r="L42" s="19"/>
      <c r="M42" s="9">
        <f>September!M42+L42</f>
        <v>0</v>
      </c>
      <c r="N42" s="32"/>
      <c r="O42" s="9">
        <f>September!O42+N42</f>
        <v>1</v>
      </c>
      <c r="P42" s="20"/>
      <c r="Q42" s="33"/>
      <c r="R42" s="9">
        <f>September!R42+Q42</f>
        <v>0</v>
      </c>
    </row>
    <row r="43" spans="1:18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32"/>
      <c r="O43" s="9">
        <f>September!O43+N43</f>
        <v>0</v>
      </c>
      <c r="P43" s="20"/>
      <c r="Q43" s="33"/>
      <c r="R43" s="9">
        <f>September!R43+Q43</f>
        <v>0</v>
      </c>
    </row>
    <row r="44" spans="1:18" ht="18" customHeight="1">
      <c r="A44" s="9" t="s">
        <v>48</v>
      </c>
      <c r="B44" s="14"/>
      <c r="C44" s="9">
        <v>0</v>
      </c>
      <c r="D44" s="15">
        <v>1</v>
      </c>
      <c r="E44" s="9">
        <f>September!E44+D44</f>
        <v>33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32"/>
      <c r="O44" s="9">
        <f>September!O44+N44</f>
        <v>0</v>
      </c>
      <c r="P44" s="20"/>
      <c r="Q44" s="33"/>
      <c r="R44" s="9">
        <f>September!R44+Q44</f>
        <v>0</v>
      </c>
    </row>
    <row r="45" spans="1:18" ht="18" customHeight="1">
      <c r="A45" s="9" t="s">
        <v>49</v>
      </c>
      <c r="B45" s="14"/>
      <c r="C45" s="9">
        <f>September!C45+B45</f>
        <v>0</v>
      </c>
      <c r="D45" s="15">
        <f>3+1+1+1+2+6+2+3+3+2+1+1+2+2+1+2+43+43+1+2+2+1+1+3+2+1+1+1+2+1+2+5+1</f>
        <v>145</v>
      </c>
      <c r="E45" s="9">
        <f>September!E45+D45</f>
        <v>725</v>
      </c>
      <c r="F45" s="16">
        <f>1+1+401+76+22+20+30+5+27+1+76+8+94+158+222+300+290+293+212</f>
        <v>2237</v>
      </c>
      <c r="G45" s="9">
        <f>September!G45+F45</f>
        <v>8457</v>
      </c>
      <c r="H45" s="17">
        <f>433+32+125+350</f>
        <v>940</v>
      </c>
      <c r="I45" s="9">
        <f>September!I45+H45</f>
        <v>14231</v>
      </c>
      <c r="J45" s="18">
        <f>21+18+33</f>
        <v>72</v>
      </c>
      <c r="K45" s="9">
        <f>September!K45+J45</f>
        <v>484</v>
      </c>
      <c r="L45" s="19">
        <f>2+11+5+17</f>
        <v>35</v>
      </c>
      <c r="M45" s="9">
        <f>September!M45+L45</f>
        <v>4242</v>
      </c>
      <c r="N45" s="32"/>
      <c r="O45" s="9">
        <f>September!O45+N45</f>
        <v>0</v>
      </c>
      <c r="P45" s="20"/>
      <c r="Q45" s="33"/>
      <c r="R45" s="9">
        <f>September!R45+Q45</f>
        <v>0</v>
      </c>
    </row>
    <row r="46" spans="1:18" ht="18" customHeight="1">
      <c r="A46" s="9" t="s">
        <v>50</v>
      </c>
      <c r="B46" s="14">
        <f>1</f>
        <v>1</v>
      </c>
      <c r="C46" s="9">
        <f>September!C46+B46</f>
        <v>1</v>
      </c>
      <c r="D46" s="15"/>
      <c r="E46" s="9">
        <f>September!E46+D46</f>
        <v>72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32">
        <f>2</f>
        <v>2</v>
      </c>
      <c r="O46" s="9">
        <f>September!O46+N46</f>
        <v>2</v>
      </c>
      <c r="P46" s="20"/>
      <c r="Q46" s="33"/>
      <c r="R46" s="9">
        <f>September!R46+Q46</f>
        <v>0</v>
      </c>
    </row>
    <row r="47" spans="1:18" ht="18" customHeight="1">
      <c r="A47" s="9" t="s">
        <v>51</v>
      </c>
      <c r="B47" s="14"/>
      <c r="C47" s="9">
        <f>September!C47+B47</f>
        <v>8</v>
      </c>
      <c r="D47" s="15">
        <f>4+2+3+1+2+3+1+1+1</f>
        <v>18</v>
      </c>
      <c r="E47" s="9">
        <f>September!E47+D47</f>
        <v>361</v>
      </c>
      <c r="F47" s="16">
        <f>6</f>
        <v>6</v>
      </c>
      <c r="G47" s="9">
        <f>September!G47+F47</f>
        <v>33</v>
      </c>
      <c r="H47" s="17"/>
      <c r="I47" s="9">
        <f>September!I47+H47</f>
        <v>1753</v>
      </c>
      <c r="J47" s="18"/>
      <c r="K47" s="9">
        <f>September!K47+J47</f>
        <v>210</v>
      </c>
      <c r="L47" s="19"/>
      <c r="M47" s="9">
        <f>September!M47+L47</f>
        <v>0</v>
      </c>
      <c r="N47" s="32"/>
      <c r="O47" s="9">
        <f>September!O47+N47</f>
        <v>29</v>
      </c>
      <c r="P47" s="20"/>
      <c r="Q47" s="33"/>
      <c r="R47" s="9">
        <f>September!R47+Q47</f>
        <v>0</v>
      </c>
    </row>
    <row r="48" spans="1:18" ht="18" customHeight="1">
      <c r="A48" s="9" t="s">
        <v>52</v>
      </c>
      <c r="B48" s="14">
        <f>1+2</f>
        <v>3</v>
      </c>
      <c r="C48" s="9">
        <f>September!C48+B48</f>
        <v>3</v>
      </c>
      <c r="D48" s="15"/>
      <c r="E48" s="9">
        <f>September!E48+D48</f>
        <v>34</v>
      </c>
      <c r="F48" s="16"/>
      <c r="G48" s="9">
        <f>September!G48+F48</f>
        <v>8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32"/>
      <c r="O48" s="9">
        <f>September!O48+N48</f>
        <v>0</v>
      </c>
      <c r="P48" s="20"/>
      <c r="Q48" s="33"/>
      <c r="R48" s="9">
        <f>September!R48+Q48</f>
        <v>0</v>
      </c>
    </row>
    <row r="49" spans="1:18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32"/>
      <c r="O49" s="9">
        <f>September!O49+N49</f>
        <v>0</v>
      </c>
      <c r="P49" s="20"/>
      <c r="Q49" s="33"/>
      <c r="R49" s="9">
        <f>September!R49+Q49</f>
        <v>0</v>
      </c>
    </row>
    <row r="50" spans="1:18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5</v>
      </c>
      <c r="F50" s="16"/>
      <c r="G50" s="9">
        <f>September!G50+F50</f>
        <v>5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32"/>
      <c r="O50" s="9">
        <f>September!O50+N50</f>
        <v>6</v>
      </c>
      <c r="P50" s="20"/>
      <c r="Q50" s="33"/>
      <c r="R50" s="9">
        <f>September!R50+Q50</f>
        <v>0</v>
      </c>
    </row>
    <row r="51" spans="1:18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37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32">
        <f>2</f>
        <v>2</v>
      </c>
      <c r="O51" s="9">
        <f>September!O51+N51</f>
        <v>2</v>
      </c>
      <c r="P51" s="20"/>
      <c r="Q51" s="33"/>
      <c r="R51" s="9">
        <f>September!R51+Q51</f>
        <v>0</v>
      </c>
    </row>
    <row r="52" spans="1:18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5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32"/>
      <c r="O52" s="9">
        <f>September!O52+N52</f>
        <v>0</v>
      </c>
      <c r="P52" s="20"/>
      <c r="Q52" s="33"/>
      <c r="R52" s="9">
        <f>September!R52+Q52</f>
        <v>0</v>
      </c>
    </row>
    <row r="53" spans="1:20" ht="18" customHeight="1">
      <c r="A53" s="9" t="s">
        <v>57</v>
      </c>
      <c r="B53" s="14"/>
      <c r="C53" s="9">
        <f>September!C53+B53</f>
        <v>14</v>
      </c>
      <c r="D53" s="15">
        <f>3+2+2+2+1+10+6+1+6+6+1+1+1+4+3+1+3+4+3+10+2+3+2+1+1+1+4+4+8+2+2+1+2+2+3+1+1+2+2+3+5+21</f>
        <v>143</v>
      </c>
      <c r="E53" s="9">
        <f>September!E53+D53</f>
        <v>1248</v>
      </c>
      <c r="F53" s="16">
        <f>16+2+1+4</f>
        <v>23</v>
      </c>
      <c r="G53" s="9">
        <f>September!G53+F53</f>
        <v>170</v>
      </c>
      <c r="H53" s="17"/>
      <c r="I53" s="9">
        <f>September!I53+H53</f>
        <v>0</v>
      </c>
      <c r="J53" s="18">
        <f>5</f>
        <v>5</v>
      </c>
      <c r="K53" s="9">
        <f>September!K53+J53</f>
        <v>136</v>
      </c>
      <c r="L53" s="19"/>
      <c r="M53" s="9">
        <f>September!M53+L53</f>
        <v>0</v>
      </c>
      <c r="N53" s="32">
        <f>5+9+9</f>
        <v>23</v>
      </c>
      <c r="O53" s="9">
        <f>September!O53+N53</f>
        <v>162</v>
      </c>
      <c r="P53" s="20"/>
      <c r="Q53" s="33">
        <v>2140</v>
      </c>
      <c r="R53" s="9">
        <f>September!R53+Q53</f>
        <v>2300</v>
      </c>
      <c r="S53" s="2" t="s">
        <v>123</v>
      </c>
      <c r="T53" s="2" t="s">
        <v>124</v>
      </c>
    </row>
    <row r="54" spans="1:18" ht="18" customHeight="1" thickBot="1">
      <c r="A54" s="10" t="s">
        <v>58</v>
      </c>
      <c r="B54" s="14"/>
      <c r="C54" s="9">
        <f>September!C54+B54</f>
        <v>0</v>
      </c>
      <c r="D54" s="15">
        <f>1+4+2+1+1+1+1</f>
        <v>11</v>
      </c>
      <c r="E54" s="9">
        <f>September!E54+D54</f>
        <v>139</v>
      </c>
      <c r="F54" s="16">
        <f>1100+82+91+991</f>
        <v>2264</v>
      </c>
      <c r="G54" s="9">
        <f>September!G54+F54</f>
        <v>2503</v>
      </c>
      <c r="H54" s="17"/>
      <c r="I54" s="9">
        <f>September!I54+H54</f>
        <v>0</v>
      </c>
      <c r="J54" s="18"/>
      <c r="K54" s="9">
        <f>September!K54+J54</f>
        <v>2</v>
      </c>
      <c r="L54" s="19"/>
      <c r="M54" s="9">
        <f>September!M54+L54</f>
        <v>0</v>
      </c>
      <c r="N54" s="32"/>
      <c r="O54" s="9">
        <f>September!O54+N54</f>
        <v>0</v>
      </c>
      <c r="P54" s="20"/>
      <c r="Q54" s="34"/>
      <c r="R54" s="9">
        <f>September!R54+Q54</f>
        <v>0</v>
      </c>
    </row>
    <row r="55" spans="1:23" ht="18" customHeight="1" thickBot="1" thickTop="1">
      <c r="A55" s="11" t="s">
        <v>59</v>
      </c>
      <c r="B55" s="11">
        <f>SUM(B5:B54)</f>
        <v>49</v>
      </c>
      <c r="C55" s="11"/>
      <c r="D55" s="11">
        <f>SUM(D5:D54)</f>
        <v>844</v>
      </c>
      <c r="E55" s="11"/>
      <c r="F55" s="11">
        <f>SUM(F5:F54)</f>
        <v>8736</v>
      </c>
      <c r="G55" s="11"/>
      <c r="H55" s="11">
        <f>SUM(H5:H54)</f>
        <v>1540</v>
      </c>
      <c r="I55" s="11"/>
      <c r="J55" s="11">
        <f>SUM(J5:J54)</f>
        <v>280</v>
      </c>
      <c r="K55" s="11"/>
      <c r="L55" s="11">
        <f>SUM(L5:L54)</f>
        <v>35</v>
      </c>
      <c r="M55" s="11"/>
      <c r="N55" s="11">
        <f>SUM(N5:N54)</f>
        <v>168</v>
      </c>
      <c r="O55" s="11"/>
      <c r="Q55" s="11">
        <f>SUM(Q5:Q54)</f>
        <v>145095</v>
      </c>
      <c r="R55" s="23"/>
      <c r="S55" s="4"/>
      <c r="T55" s="4"/>
      <c r="U55" s="4"/>
      <c r="V55" s="4"/>
      <c r="W55" s="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September!C57+B55</f>
        <v>285</v>
      </c>
      <c r="D57" s="11"/>
      <c r="E57" s="11">
        <f>September!E57+D55</f>
        <v>8700</v>
      </c>
      <c r="F57" s="11"/>
      <c r="G57" s="11">
        <f>September!G57+F55</f>
        <v>25547</v>
      </c>
      <c r="H57" s="11"/>
      <c r="I57" s="11">
        <f>September!I57+H55</f>
        <v>18684</v>
      </c>
      <c r="J57" s="11"/>
      <c r="K57" s="11">
        <f>September!K57+J55</f>
        <v>2427</v>
      </c>
      <c r="L57" s="11"/>
      <c r="M57" s="11">
        <f>September!M57+L55</f>
        <v>4481</v>
      </c>
      <c r="N57" s="11"/>
      <c r="O57" s="11">
        <f>September!O57+N55</f>
        <v>530</v>
      </c>
      <c r="Q57" s="23"/>
      <c r="R57" s="11">
        <f>September!R57+Q55</f>
        <v>3144512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3" s="4" customFormat="1" ht="18" customHeight="1">
      <c r="A62" s="4" t="s">
        <v>62</v>
      </c>
      <c r="S62" s="2"/>
      <c r="T62" s="2"/>
      <c r="U62" s="2"/>
      <c r="V62" s="2"/>
      <c r="W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2"/>
  <sheetViews>
    <sheetView zoomScale="90" zoomScaleNormal="90" zoomScalePageLayoutView="0" workbookViewId="0" topLeftCell="L1">
      <pane ySplit="4" topLeftCell="A5" activePane="bottomLeft" state="frozen"/>
      <selection pane="topLeft" activeCell="A1" sqref="A1"/>
      <selection pane="bottomLeft" activeCell="R5" sqref="R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8" width="9.00390625" style="2" customWidth="1"/>
    <col min="19" max="19" width="19.50390625" style="2" customWidth="1"/>
    <col min="20" max="16384" width="9.00390625" style="2" customWidth="1"/>
  </cols>
  <sheetData>
    <row r="1" spans="1:10" ht="23.25">
      <c r="A1" s="1" t="s">
        <v>78</v>
      </c>
      <c r="H1" s="2" t="s">
        <v>74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0.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October!C5+B5</f>
        <v>0</v>
      </c>
      <c r="D5" s="15"/>
      <c r="E5" s="9">
        <f>October!E5+D5</f>
        <v>17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2"/>
      <c r="O5" s="9">
        <f>October!O5+N5</f>
        <v>0</v>
      </c>
      <c r="P5" s="20"/>
      <c r="Q5" s="33"/>
      <c r="R5" s="9">
        <f>October!R5+Q5</f>
        <v>0</v>
      </c>
    </row>
    <row r="6" spans="1:18" ht="18" customHeight="1">
      <c r="A6" s="9" t="s">
        <v>10</v>
      </c>
      <c r="B6" s="14"/>
      <c r="C6" s="9">
        <f>October!C6+B6</f>
        <v>0</v>
      </c>
      <c r="D6" s="15"/>
      <c r="E6" s="9">
        <f>October!E6+D6</f>
        <v>1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2"/>
      <c r="O6" s="9">
        <f>October!O6+N6</f>
        <v>0</v>
      </c>
      <c r="P6" s="20"/>
      <c r="Q6" s="33"/>
      <c r="R6" s="9">
        <f>October!R6+Q6</f>
        <v>0</v>
      </c>
    </row>
    <row r="7" spans="1:18" ht="18" customHeight="1">
      <c r="A7" s="9" t="s">
        <v>11</v>
      </c>
      <c r="B7" s="14"/>
      <c r="C7" s="9">
        <f>October!C7+B7</f>
        <v>0</v>
      </c>
      <c r="D7" s="15">
        <f>2</f>
        <v>2</v>
      </c>
      <c r="E7" s="9">
        <f>October!E7+D7</f>
        <v>145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2</v>
      </c>
      <c r="L7" s="19"/>
      <c r="M7" s="9">
        <f>October!M7+L7</f>
        <v>0</v>
      </c>
      <c r="N7" s="32"/>
      <c r="O7" s="9">
        <f>October!O7+N7</f>
        <v>0</v>
      </c>
      <c r="P7" s="20"/>
      <c r="Q7" s="33"/>
      <c r="R7" s="9">
        <f>October!R7+Q7</f>
        <v>0</v>
      </c>
    </row>
    <row r="8" spans="1:18" ht="18" customHeight="1">
      <c r="A8" s="9" t="s">
        <v>12</v>
      </c>
      <c r="B8" s="14"/>
      <c r="C8" s="9">
        <f>October!C8+B8</f>
        <v>0</v>
      </c>
      <c r="D8" s="15">
        <f>1+3</f>
        <v>4</v>
      </c>
      <c r="E8" s="9">
        <f>October!E8+D8</f>
        <v>80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19</v>
      </c>
      <c r="L8" s="19"/>
      <c r="M8" s="9">
        <f>October!M8+L8</f>
        <v>0</v>
      </c>
      <c r="N8" s="32"/>
      <c r="O8" s="9">
        <f>October!O8+N8</f>
        <v>0</v>
      </c>
      <c r="P8" s="20"/>
      <c r="Q8" s="33"/>
      <c r="R8" s="9">
        <f>October!R8+Q8</f>
        <v>0</v>
      </c>
    </row>
    <row r="9" spans="1:18" ht="18" customHeight="1">
      <c r="A9" s="9" t="s">
        <v>13</v>
      </c>
      <c r="B9" s="14"/>
      <c r="C9" s="9">
        <f>October!C9+B9</f>
        <v>0</v>
      </c>
      <c r="D9" s="15">
        <f>1+2</f>
        <v>3</v>
      </c>
      <c r="E9" s="9">
        <f>October!E9+D9</f>
        <v>68</v>
      </c>
      <c r="F9" s="16"/>
      <c r="G9" s="9">
        <f>October!G9+F9</f>
        <v>2</v>
      </c>
      <c r="H9" s="17"/>
      <c r="I9" s="9">
        <f>October!I9+H9</f>
        <v>0</v>
      </c>
      <c r="J9" s="18"/>
      <c r="K9" s="9">
        <f>October!K9+J9</f>
        <v>33</v>
      </c>
      <c r="L9" s="19"/>
      <c r="M9" s="9">
        <f>October!M9+L9</f>
        <v>0</v>
      </c>
      <c r="N9" s="32"/>
      <c r="O9" s="9">
        <f>October!O9+N9</f>
        <v>0</v>
      </c>
      <c r="P9" s="20"/>
      <c r="Q9" s="33"/>
      <c r="R9" s="9">
        <f>October!R9+Q9</f>
        <v>0</v>
      </c>
    </row>
    <row r="10" spans="1:20" ht="18" customHeight="1">
      <c r="A10" s="9" t="s">
        <v>14</v>
      </c>
      <c r="B10" s="14"/>
      <c r="C10" s="9">
        <f>October!C10+B10</f>
        <v>0</v>
      </c>
      <c r="D10" s="15">
        <f>9+3</f>
        <v>12</v>
      </c>
      <c r="E10" s="9">
        <f>October!E10+D10</f>
        <v>70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2"/>
      <c r="O10" s="9">
        <f>October!O10+N10</f>
        <v>0</v>
      </c>
      <c r="P10" s="20"/>
      <c r="Q10" s="33">
        <f>19200+19500+29400+16600+131000</f>
        <v>215700</v>
      </c>
      <c r="R10" s="9">
        <f>October!R10+Q10</f>
        <v>2775941</v>
      </c>
      <c r="S10" s="2" t="s">
        <v>99</v>
      </c>
      <c r="T10" s="2" t="s">
        <v>104</v>
      </c>
    </row>
    <row r="11" spans="1:18" ht="18" customHeight="1">
      <c r="A11" s="9" t="s">
        <v>15</v>
      </c>
      <c r="B11" s="14"/>
      <c r="C11" s="9">
        <f>October!C11+B11</f>
        <v>0</v>
      </c>
      <c r="D11" s="15">
        <f>1+1+3</f>
        <v>5</v>
      </c>
      <c r="E11" s="9">
        <f>October!E11+D11</f>
        <v>212</v>
      </c>
      <c r="F11" s="16">
        <f>16</f>
        <v>16</v>
      </c>
      <c r="G11" s="9">
        <f>October!G11+F11</f>
        <v>24</v>
      </c>
      <c r="H11" s="17"/>
      <c r="I11" s="9">
        <f>October!I11+H11</f>
        <v>0</v>
      </c>
      <c r="J11" s="18"/>
      <c r="K11" s="9">
        <f>October!K11+J11</f>
        <v>8</v>
      </c>
      <c r="L11" s="19"/>
      <c r="M11" s="9">
        <f>October!M11+L11</f>
        <v>0</v>
      </c>
      <c r="N11" s="32"/>
      <c r="O11" s="9">
        <f>October!O11+N11</f>
        <v>50</v>
      </c>
      <c r="P11" s="20"/>
      <c r="Q11" s="33"/>
      <c r="R11" s="9">
        <f>October!R11+Q11</f>
        <v>0</v>
      </c>
    </row>
    <row r="12" spans="1:19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1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32"/>
      <c r="O12" s="9">
        <f>October!O12+N12</f>
        <v>2</v>
      </c>
      <c r="P12" s="20"/>
      <c r="Q12" s="33">
        <f>5400+1080+1080+1080</f>
        <v>8640</v>
      </c>
      <c r="R12" s="9">
        <f>October!R12+Q12</f>
        <v>361302</v>
      </c>
      <c r="S12" s="2" t="s">
        <v>101</v>
      </c>
    </row>
    <row r="13" spans="1:18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5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32"/>
      <c r="O13" s="9">
        <f>October!O13+N13</f>
        <v>0</v>
      </c>
      <c r="P13" s="20"/>
      <c r="Q13" s="33"/>
      <c r="R13" s="9">
        <f>October!R13+Q13</f>
        <v>0</v>
      </c>
    </row>
    <row r="14" spans="1:18" ht="18" customHeight="1">
      <c r="A14" s="9" t="s">
        <v>18</v>
      </c>
      <c r="B14" s="14"/>
      <c r="C14" s="9">
        <f>October!C14+B14</f>
        <v>0</v>
      </c>
      <c r="D14" s="15">
        <f>3+4</f>
        <v>7</v>
      </c>
      <c r="E14" s="9">
        <f>October!E14+D14</f>
        <v>137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2</v>
      </c>
      <c r="L14" s="19"/>
      <c r="M14" s="9">
        <f>October!M14+L14</f>
        <v>0</v>
      </c>
      <c r="N14" s="32"/>
      <c r="O14" s="9">
        <f>October!O14+N14</f>
        <v>9</v>
      </c>
      <c r="P14" s="20"/>
      <c r="Q14" s="33"/>
      <c r="R14" s="9">
        <f>October!R14+Q14</f>
        <v>0</v>
      </c>
    </row>
    <row r="15" spans="1:18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26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32"/>
      <c r="O15" s="9">
        <f>October!O15+N15</f>
        <v>9</v>
      </c>
      <c r="P15" s="20"/>
      <c r="Q15" s="33"/>
      <c r="R15" s="9">
        <f>October!R15+Q15</f>
        <v>0</v>
      </c>
    </row>
    <row r="16" spans="1:18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32"/>
      <c r="O16" s="9">
        <f>October!O16+N16</f>
        <v>0</v>
      </c>
      <c r="P16" s="20"/>
      <c r="Q16" s="33"/>
      <c r="R16" s="9">
        <f>October!R16+Q16</f>
        <v>0</v>
      </c>
    </row>
    <row r="17" spans="1:18" ht="18" customHeight="1">
      <c r="A17" s="9" t="s">
        <v>21</v>
      </c>
      <c r="B17" s="14"/>
      <c r="C17" s="9">
        <f>October!C17+B17</f>
        <v>0</v>
      </c>
      <c r="D17" s="15">
        <f>5+2+1</f>
        <v>8</v>
      </c>
      <c r="E17" s="9">
        <f>October!E17+D17</f>
        <v>84</v>
      </c>
      <c r="F17" s="16"/>
      <c r="G17" s="9">
        <f>October!G17+F17</f>
        <v>1278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32">
        <f>1</f>
        <v>1</v>
      </c>
      <c r="O17" s="9">
        <f>October!O17+N17</f>
        <v>2</v>
      </c>
      <c r="P17" s="20"/>
      <c r="Q17" s="33"/>
      <c r="R17" s="9">
        <f>October!R17+Q17</f>
        <v>0</v>
      </c>
    </row>
    <row r="18" spans="1:18" ht="18" customHeight="1">
      <c r="A18" s="9" t="s">
        <v>22</v>
      </c>
      <c r="B18" s="14"/>
      <c r="C18" s="9">
        <f>October!C18+B18</f>
        <v>37</v>
      </c>
      <c r="D18" s="15">
        <f>1+1+2+1+5+1+1+2+1+1+5+1+1+3+5</f>
        <v>31</v>
      </c>
      <c r="E18" s="9">
        <f>October!E18+D18</f>
        <v>459</v>
      </c>
      <c r="F18" s="16">
        <f>6+15+15</f>
        <v>36</v>
      </c>
      <c r="G18" s="9">
        <f>October!G18+F18</f>
        <v>686</v>
      </c>
      <c r="H18" s="17"/>
      <c r="I18" s="9">
        <f>October!I18+H18</f>
        <v>0</v>
      </c>
      <c r="J18" s="18"/>
      <c r="K18" s="9">
        <f>October!K18+J18</f>
        <v>117</v>
      </c>
      <c r="L18" s="19"/>
      <c r="M18" s="9">
        <f>October!M18+L18</f>
        <v>0</v>
      </c>
      <c r="N18" s="32">
        <f>4</f>
        <v>4</v>
      </c>
      <c r="O18" s="9">
        <f>October!O18+N18</f>
        <v>31</v>
      </c>
      <c r="P18" s="20"/>
      <c r="Q18" s="33"/>
      <c r="R18" s="9">
        <f>October!R18+Q18</f>
        <v>2</v>
      </c>
    </row>
    <row r="19" spans="1:18" ht="18" customHeight="1">
      <c r="A19" s="9" t="s">
        <v>23</v>
      </c>
      <c r="B19" s="14">
        <f>4+4</f>
        <v>8</v>
      </c>
      <c r="C19" s="9">
        <f>October!C19+B19</f>
        <v>12</v>
      </c>
      <c r="D19" s="15">
        <f>1+1</f>
        <v>2</v>
      </c>
      <c r="E19" s="9">
        <f>October!E19+D19</f>
        <v>97</v>
      </c>
      <c r="F19" s="16"/>
      <c r="G19" s="9">
        <f>October!G19+F19</f>
        <v>45</v>
      </c>
      <c r="H19" s="17"/>
      <c r="I19" s="9">
        <f>October!I19+H19</f>
        <v>0</v>
      </c>
      <c r="J19" s="18"/>
      <c r="K19" s="9">
        <f>October!K19+J19</f>
        <v>78</v>
      </c>
      <c r="L19" s="19"/>
      <c r="M19" s="9">
        <f>October!M19+L19</f>
        <v>0</v>
      </c>
      <c r="N19" s="32"/>
      <c r="O19" s="9">
        <f>October!O19+N19</f>
        <v>7</v>
      </c>
      <c r="P19" s="20"/>
      <c r="Q19" s="33"/>
      <c r="R19" s="9">
        <f>October!R19+Q19</f>
        <v>0</v>
      </c>
    </row>
    <row r="20" spans="1:18" ht="18" customHeight="1">
      <c r="A20" s="9" t="s">
        <v>24</v>
      </c>
      <c r="B20" s="14"/>
      <c r="C20" s="9">
        <f>October!C20+B20</f>
        <v>0</v>
      </c>
      <c r="D20" s="15">
        <f>2+2+2+1+1+1+1+3+1+1</f>
        <v>15</v>
      </c>
      <c r="E20" s="9">
        <f>October!E20+D20</f>
        <v>323</v>
      </c>
      <c r="F20" s="16">
        <f>9+117</f>
        <v>126</v>
      </c>
      <c r="G20" s="9">
        <f>October!G20+F20</f>
        <v>141</v>
      </c>
      <c r="H20" s="17"/>
      <c r="I20" s="9">
        <f>October!I20+H20</f>
        <v>0</v>
      </c>
      <c r="J20" s="18"/>
      <c r="K20" s="9">
        <f>October!K20+J20</f>
        <v>27</v>
      </c>
      <c r="L20" s="19"/>
      <c r="M20" s="9">
        <f>October!M20+L20</f>
        <v>0</v>
      </c>
      <c r="N20" s="32"/>
      <c r="O20" s="9">
        <f>October!O20+N20</f>
        <v>5</v>
      </c>
      <c r="P20" s="20"/>
      <c r="Q20" s="33"/>
      <c r="R20" s="9">
        <f>October!R20+Q20</f>
        <v>0</v>
      </c>
    </row>
    <row r="21" spans="1:18" ht="18" customHeight="1">
      <c r="A21" s="9" t="s">
        <v>25</v>
      </c>
      <c r="B21" s="14"/>
      <c r="C21" s="9">
        <f>October!C21+B21</f>
        <v>0</v>
      </c>
      <c r="D21" s="15">
        <f>1+2+1+2+1</f>
        <v>7</v>
      </c>
      <c r="E21" s="9">
        <f>October!E21+D21</f>
        <v>152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32"/>
      <c r="O21" s="9">
        <f>October!O21+N21</f>
        <v>4</v>
      </c>
      <c r="P21" s="20"/>
      <c r="Q21" s="33"/>
      <c r="R21" s="9">
        <f>October!R21+Q21</f>
        <v>0</v>
      </c>
    </row>
    <row r="22" spans="1:18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31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32"/>
      <c r="O22" s="9">
        <f>October!O22+N22</f>
        <v>0</v>
      </c>
      <c r="P22" s="20"/>
      <c r="Q22" s="33"/>
      <c r="R22" s="9">
        <f>October!R22+Q22</f>
        <v>0</v>
      </c>
    </row>
    <row r="23" spans="1:18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32"/>
      <c r="O23" s="9">
        <f>October!O23+N23</f>
        <v>0</v>
      </c>
      <c r="P23" s="20"/>
      <c r="Q23" s="33"/>
      <c r="R23" s="9">
        <f>October!R23+Q23</f>
        <v>0</v>
      </c>
    </row>
    <row r="24" spans="1:18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2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32"/>
      <c r="O24" s="9">
        <f>October!O24+N24</f>
        <v>0</v>
      </c>
      <c r="P24" s="20"/>
      <c r="Q24" s="33"/>
      <c r="R24" s="9">
        <f>October!R24+Q24</f>
        <v>0</v>
      </c>
    </row>
    <row r="25" spans="1:18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12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32"/>
      <c r="O25" s="9">
        <f>October!O25+N25</f>
        <v>1</v>
      </c>
      <c r="P25" s="20"/>
      <c r="Q25" s="33"/>
      <c r="R25" s="9">
        <f>October!R25+Q25</f>
        <v>0</v>
      </c>
    </row>
    <row r="26" spans="1:18" ht="18" customHeight="1">
      <c r="A26" s="9" t="s">
        <v>30</v>
      </c>
      <c r="B26" s="14"/>
      <c r="C26" s="9">
        <f>October!C26+B26</f>
        <v>4</v>
      </c>
      <c r="D26" s="15">
        <v>3</v>
      </c>
      <c r="E26" s="9">
        <f>October!E26+D26</f>
        <v>86</v>
      </c>
      <c r="F26" s="16"/>
      <c r="G26" s="9">
        <f>October!G26+F26</f>
        <v>65</v>
      </c>
      <c r="H26" s="17"/>
      <c r="I26" s="9">
        <f>October!I26+H26</f>
        <v>0</v>
      </c>
      <c r="J26" s="18"/>
      <c r="K26" s="9">
        <f>October!K26+J26</f>
        <v>2</v>
      </c>
      <c r="L26" s="19"/>
      <c r="M26" s="9">
        <f>October!M26+L26</f>
        <v>0</v>
      </c>
      <c r="N26" s="32"/>
      <c r="O26" s="9">
        <f>October!O26+N26</f>
        <v>13</v>
      </c>
      <c r="P26" s="20"/>
      <c r="Q26" s="33"/>
      <c r="R26" s="9">
        <f>October!R26+Q26</f>
        <v>0</v>
      </c>
    </row>
    <row r="27" spans="1:18" ht="18" customHeight="1">
      <c r="A27" s="9" t="s">
        <v>31</v>
      </c>
      <c r="B27" s="14">
        <f>5+8+3+4</f>
        <v>20</v>
      </c>
      <c r="C27" s="9">
        <f>October!C27+B27</f>
        <v>162</v>
      </c>
      <c r="D27" s="15">
        <f>7+3+1+2+3+2+1+1+1+2+4+1+1+1+33+5</f>
        <v>68</v>
      </c>
      <c r="E27" s="9">
        <f>October!E27+D27</f>
        <v>1504</v>
      </c>
      <c r="F27" s="16">
        <f>83+119+94+1+1</f>
        <v>298</v>
      </c>
      <c r="G27" s="9">
        <f>October!G27+F27</f>
        <v>1973</v>
      </c>
      <c r="H27" s="17"/>
      <c r="I27" s="9">
        <f>October!I27+H27</f>
        <v>172</v>
      </c>
      <c r="J27" s="18"/>
      <c r="K27" s="9">
        <f>October!K27+J27</f>
        <v>495</v>
      </c>
      <c r="L27" s="19"/>
      <c r="M27" s="9">
        <f>October!M27+L27</f>
        <v>0</v>
      </c>
      <c r="N27" s="32">
        <f>4+2</f>
        <v>6</v>
      </c>
      <c r="O27" s="9">
        <f>October!O27+N27</f>
        <v>44</v>
      </c>
      <c r="P27" s="20"/>
      <c r="Q27" s="33"/>
      <c r="R27" s="9">
        <f>October!R27+Q27</f>
        <v>0</v>
      </c>
    </row>
    <row r="28" spans="1:18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59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32"/>
      <c r="O28" s="9">
        <f>October!O28+N28</f>
        <v>0</v>
      </c>
      <c r="P28" s="20"/>
      <c r="Q28" s="33"/>
      <c r="R28" s="9">
        <f>October!R28+Q28</f>
        <v>0</v>
      </c>
    </row>
    <row r="29" spans="1:19" ht="18" customHeight="1">
      <c r="A29" s="9" t="s">
        <v>33</v>
      </c>
      <c r="B29" s="14">
        <f>2+1+1</f>
        <v>4</v>
      </c>
      <c r="C29" s="9">
        <f>October!C29+B29</f>
        <v>26</v>
      </c>
      <c r="D29" s="15">
        <f>1+1+3+1+1+2</f>
        <v>9</v>
      </c>
      <c r="E29" s="9">
        <f>October!E29+D29</f>
        <v>692</v>
      </c>
      <c r="F29" s="16"/>
      <c r="G29" s="9">
        <f>October!G29+F29</f>
        <v>768</v>
      </c>
      <c r="H29" s="17"/>
      <c r="I29" s="9">
        <f>October!I29+H29</f>
        <v>0</v>
      </c>
      <c r="J29" s="18">
        <f>7+7+6</f>
        <v>20</v>
      </c>
      <c r="K29" s="9">
        <f>October!K29+J29</f>
        <v>123</v>
      </c>
      <c r="L29" s="19"/>
      <c r="M29" s="9">
        <f>October!M29+L29</f>
        <v>0</v>
      </c>
      <c r="N29" s="32"/>
      <c r="O29" s="9">
        <f>October!O29+N29</f>
        <v>57</v>
      </c>
      <c r="P29" s="20"/>
      <c r="Q29" s="33">
        <f>55+3</f>
        <v>58</v>
      </c>
      <c r="R29" s="9">
        <f>October!R29+Q29</f>
        <v>58</v>
      </c>
      <c r="S29" s="2" t="s">
        <v>116</v>
      </c>
    </row>
    <row r="30" spans="1:18" ht="18" customHeight="1">
      <c r="A30" s="9" t="s">
        <v>34</v>
      </c>
      <c r="B30" s="14"/>
      <c r="C30" s="9">
        <f>October!C30+B30</f>
        <v>0</v>
      </c>
      <c r="D30" s="15">
        <f>1</f>
        <v>1</v>
      </c>
      <c r="E30" s="9">
        <f>October!E30+D30</f>
        <v>211</v>
      </c>
      <c r="F30" s="16">
        <f>1300+559+34+61+1100</f>
        <v>3054</v>
      </c>
      <c r="G30" s="9">
        <f>October!G30+F30</f>
        <v>7721</v>
      </c>
      <c r="H30" s="17"/>
      <c r="I30" s="9">
        <f>October!I30+H30</f>
        <v>797</v>
      </c>
      <c r="J30" s="18"/>
      <c r="K30" s="9">
        <f>October!K30+J30</f>
        <v>4</v>
      </c>
      <c r="L30" s="19"/>
      <c r="M30" s="9">
        <f>October!M30+L30</f>
        <v>3</v>
      </c>
      <c r="N30" s="32"/>
      <c r="O30" s="9">
        <f>October!O30+N30</f>
        <v>6</v>
      </c>
      <c r="P30" s="20"/>
      <c r="Q30" s="33"/>
      <c r="R30" s="9">
        <f>October!R30+Q30</f>
        <v>0</v>
      </c>
    </row>
    <row r="31" spans="1:18" ht="18" customHeight="1">
      <c r="A31" s="9" t="s">
        <v>35</v>
      </c>
      <c r="B31" s="14"/>
      <c r="C31" s="9">
        <f>October!C31+B31</f>
        <v>2</v>
      </c>
      <c r="D31" s="15">
        <f>1+1+1</f>
        <v>3</v>
      </c>
      <c r="E31" s="9">
        <f>October!E31+D31</f>
        <v>845</v>
      </c>
      <c r="F31" s="16">
        <f>29+12+1+1</f>
        <v>43</v>
      </c>
      <c r="G31" s="9">
        <f>October!G31+F31</f>
        <v>2557</v>
      </c>
      <c r="H31" s="17">
        <f>22</f>
        <v>22</v>
      </c>
      <c r="I31" s="9">
        <f>October!I31+H31</f>
        <v>1050</v>
      </c>
      <c r="J31" s="18">
        <f>106+14+3+5</f>
        <v>128</v>
      </c>
      <c r="K31" s="9">
        <f>October!K31+J31</f>
        <v>791</v>
      </c>
      <c r="L31" s="19"/>
      <c r="M31" s="9">
        <f>October!M31+L31</f>
        <v>201</v>
      </c>
      <c r="N31" s="32"/>
      <c r="O31" s="9">
        <f>October!O31+N31</f>
        <v>40</v>
      </c>
      <c r="P31" s="20"/>
      <c r="Q31" s="33"/>
      <c r="R31" s="9">
        <f>October!R31+Q31</f>
        <v>0</v>
      </c>
    </row>
    <row r="32" spans="1:18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33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5</v>
      </c>
      <c r="L32" s="19"/>
      <c r="M32" s="9">
        <f>October!M32+L32</f>
        <v>0</v>
      </c>
      <c r="N32" s="32"/>
      <c r="O32" s="9">
        <f>October!O32+N32</f>
        <v>0</v>
      </c>
      <c r="P32" s="20"/>
      <c r="Q32" s="33"/>
      <c r="R32" s="9">
        <f>October!R32+Q32</f>
        <v>0</v>
      </c>
    </row>
    <row r="33" spans="1:18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32"/>
      <c r="O33" s="9">
        <f>October!O33+N33</f>
        <v>0</v>
      </c>
      <c r="P33" s="20"/>
      <c r="Q33" s="33"/>
      <c r="R33" s="9">
        <f>October!R33+Q33</f>
        <v>0</v>
      </c>
    </row>
    <row r="34" spans="1:18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4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32"/>
      <c r="O34" s="9">
        <f>October!O34+N34</f>
        <v>0</v>
      </c>
      <c r="P34" s="20"/>
      <c r="Q34" s="33"/>
      <c r="R34" s="9">
        <f>October!R34+Q34</f>
        <v>0</v>
      </c>
    </row>
    <row r="35" spans="1:23" ht="18" customHeight="1">
      <c r="A35" s="9" t="s">
        <v>39</v>
      </c>
      <c r="B35" s="14"/>
      <c r="C35" s="9">
        <f>October!C35+B35</f>
        <v>0</v>
      </c>
      <c r="D35" s="15">
        <f>2</f>
        <v>2</v>
      </c>
      <c r="E35" s="9">
        <f>October!E35+D35</f>
        <v>31</v>
      </c>
      <c r="F35" s="16">
        <f>2</f>
        <v>2</v>
      </c>
      <c r="G35" s="9">
        <f>October!G35+F35</f>
        <v>10</v>
      </c>
      <c r="H35" s="17"/>
      <c r="I35" s="9">
        <f>October!I35+H35</f>
        <v>477</v>
      </c>
      <c r="J35" s="18"/>
      <c r="K35" s="9">
        <f>October!K35+J35</f>
        <v>2</v>
      </c>
      <c r="L35" s="19"/>
      <c r="M35" s="9">
        <f>October!M35+L35</f>
        <v>0</v>
      </c>
      <c r="N35" s="32"/>
      <c r="O35" s="9">
        <f>October!O35+N35</f>
        <v>3</v>
      </c>
      <c r="P35" s="20"/>
      <c r="Q35" s="33"/>
      <c r="R35" s="9">
        <f>October!R35+Q35</f>
        <v>0</v>
      </c>
      <c r="S35" s="44"/>
      <c r="T35" s="44"/>
      <c r="U35" s="36"/>
      <c r="V35" s="43"/>
      <c r="W35" s="45"/>
    </row>
    <row r="36" spans="1:23" ht="18" customHeight="1">
      <c r="A36" s="9" t="s">
        <v>40</v>
      </c>
      <c r="B36" s="14"/>
      <c r="C36" s="9">
        <f>October!C36+B36</f>
        <v>0</v>
      </c>
      <c r="D36" s="15">
        <f>1</f>
        <v>1</v>
      </c>
      <c r="E36" s="9">
        <f>October!E36+D36</f>
        <v>16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32"/>
      <c r="O36" s="9">
        <f>October!O36+N36</f>
        <v>1</v>
      </c>
      <c r="P36" s="20"/>
      <c r="Q36" s="33"/>
      <c r="R36" s="9">
        <f>October!R36+Q36</f>
        <v>129960</v>
      </c>
      <c r="S36" s="40"/>
      <c r="T36" s="41"/>
      <c r="U36" s="41"/>
      <c r="V36" s="41"/>
      <c r="W36" s="37"/>
    </row>
    <row r="37" spans="1:23" ht="18" customHeight="1">
      <c r="A37" s="9" t="s">
        <v>41</v>
      </c>
      <c r="B37" s="14"/>
      <c r="C37" s="9">
        <f>October!C37+B37</f>
        <v>0</v>
      </c>
      <c r="D37" s="15">
        <f>1</f>
        <v>1</v>
      </c>
      <c r="E37" s="9">
        <f>October!E37+D37</f>
        <v>13</v>
      </c>
      <c r="F37" s="16">
        <f>15</f>
        <v>15</v>
      </c>
      <c r="G37" s="9">
        <f>October!G37+F37</f>
        <v>16</v>
      </c>
      <c r="H37" s="17"/>
      <c r="I37" s="9">
        <f>October!I37+H37</f>
        <v>0</v>
      </c>
      <c r="J37" s="18"/>
      <c r="K37" s="9">
        <f>October!K37+J37</f>
        <v>3</v>
      </c>
      <c r="L37" s="19"/>
      <c r="M37" s="9">
        <f>October!M37+L37</f>
        <v>0</v>
      </c>
      <c r="N37" s="32"/>
      <c r="O37" s="9">
        <f>October!O37+N37</f>
        <v>3</v>
      </c>
      <c r="P37" s="20"/>
      <c r="Q37" s="33"/>
      <c r="R37" s="9">
        <f>October!R37+Q37</f>
        <v>99290</v>
      </c>
      <c r="S37" s="38"/>
      <c r="T37" s="38"/>
      <c r="U37" s="38"/>
      <c r="V37" s="38"/>
      <c r="W37" s="37"/>
    </row>
    <row r="38" spans="1:23" ht="18" customHeight="1">
      <c r="A38" s="9" t="s">
        <v>42</v>
      </c>
      <c r="B38" s="14">
        <f>7</f>
        <v>7</v>
      </c>
      <c r="C38" s="9">
        <f>October!C38+B38</f>
        <v>15</v>
      </c>
      <c r="D38" s="15">
        <f>1+1</f>
        <v>2</v>
      </c>
      <c r="E38" s="9">
        <f>October!E38+D38</f>
        <v>179</v>
      </c>
      <c r="F38" s="16">
        <f>670</f>
        <v>670</v>
      </c>
      <c r="G38" s="9">
        <f>October!G38+F38</f>
        <v>699</v>
      </c>
      <c r="H38" s="17"/>
      <c r="I38" s="9">
        <f>October!I38+H38</f>
        <v>226</v>
      </c>
      <c r="J38" s="18"/>
      <c r="K38" s="9">
        <f>October!K38+J38</f>
        <v>12</v>
      </c>
      <c r="L38" s="19"/>
      <c r="M38" s="9">
        <f>October!M38+L38</f>
        <v>0</v>
      </c>
      <c r="N38" s="32"/>
      <c r="O38" s="9">
        <f>October!O38+N38</f>
        <v>0</v>
      </c>
      <c r="P38" s="20"/>
      <c r="Q38" s="33"/>
      <c r="R38" s="9">
        <f>October!R38+Q38</f>
        <v>0</v>
      </c>
      <c r="S38" s="38"/>
      <c r="T38" s="38"/>
      <c r="U38" s="38"/>
      <c r="V38" s="38"/>
      <c r="W38" s="37"/>
    </row>
    <row r="39" spans="1:23" ht="18" customHeight="1">
      <c r="A39" s="9" t="s">
        <v>43</v>
      </c>
      <c r="B39" s="14"/>
      <c r="C39" s="9">
        <f>October!C39+B39</f>
        <v>23</v>
      </c>
      <c r="D39" s="15">
        <f>2</f>
        <v>2</v>
      </c>
      <c r="E39" s="9">
        <f>October!E39+D39</f>
        <v>87</v>
      </c>
      <c r="F39" s="16"/>
      <c r="G39" s="9">
        <f>October!G39+F39</f>
        <v>162</v>
      </c>
      <c r="H39" s="17"/>
      <c r="I39" s="9">
        <f>October!I39+H39</f>
        <v>0</v>
      </c>
      <c r="J39" s="18">
        <f>1</f>
        <v>1</v>
      </c>
      <c r="K39" s="9">
        <f>October!K39+J39</f>
        <v>2</v>
      </c>
      <c r="L39" s="19"/>
      <c r="M39" s="9">
        <f>October!M39+L39</f>
        <v>0</v>
      </c>
      <c r="N39" s="32"/>
      <c r="O39" s="9">
        <f>October!O39+N39</f>
        <v>29</v>
      </c>
      <c r="P39" s="20"/>
      <c r="Q39" s="33"/>
      <c r="R39" s="9">
        <f>October!R39+Q39</f>
        <v>0</v>
      </c>
      <c r="S39" s="38"/>
      <c r="T39" s="38"/>
      <c r="U39" s="38"/>
      <c r="V39" s="38"/>
      <c r="W39" s="37"/>
    </row>
    <row r="40" spans="1:23" ht="18" customHeight="1">
      <c r="A40" s="9" t="s">
        <v>44</v>
      </c>
      <c r="B40" s="14"/>
      <c r="C40" s="9">
        <f>October!C40+B40</f>
        <v>0</v>
      </c>
      <c r="D40" s="15">
        <f>1+1+2</f>
        <v>4</v>
      </c>
      <c r="E40" s="9">
        <f>October!E40+D40</f>
        <v>462</v>
      </c>
      <c r="F40" s="16"/>
      <c r="G40" s="9">
        <f>October!G40+F40</f>
        <v>84</v>
      </c>
      <c r="H40" s="17"/>
      <c r="I40" s="9">
        <f>October!I40+H40</f>
        <v>0</v>
      </c>
      <c r="J40" s="18"/>
      <c r="K40" s="9">
        <f>October!K40+J40</f>
        <v>5</v>
      </c>
      <c r="L40" s="19"/>
      <c r="M40" s="9">
        <f>October!M40+L40</f>
        <v>0</v>
      </c>
      <c r="N40" s="32"/>
      <c r="O40" s="9">
        <f>October!O40+N40</f>
        <v>4</v>
      </c>
      <c r="P40" s="20"/>
      <c r="Q40" s="33"/>
      <c r="R40" s="9">
        <f>October!R40+Q40</f>
        <v>0</v>
      </c>
      <c r="S40" s="38"/>
      <c r="T40" s="38"/>
      <c r="U40" s="38"/>
      <c r="V40" s="38"/>
      <c r="W40" s="37"/>
    </row>
    <row r="41" spans="1:18" ht="18" customHeight="1">
      <c r="A41" s="9" t="s">
        <v>45</v>
      </c>
      <c r="B41" s="14"/>
      <c r="C41" s="9">
        <f>October!C41+B41</f>
        <v>0</v>
      </c>
      <c r="D41" s="15">
        <f>1+1</f>
        <v>2</v>
      </c>
      <c r="E41" s="9">
        <f>October!E41+D41</f>
        <v>38</v>
      </c>
      <c r="F41" s="16"/>
      <c r="G41" s="9">
        <f>October!G41+F41</f>
        <v>3</v>
      </c>
      <c r="H41" s="17"/>
      <c r="I41" s="9">
        <f>October!I41+H41</f>
        <v>0</v>
      </c>
      <c r="J41" s="18"/>
      <c r="K41" s="9">
        <f>October!K41+J41</f>
        <v>5</v>
      </c>
      <c r="L41" s="19"/>
      <c r="M41" s="9">
        <f>October!M41+L41</f>
        <v>0</v>
      </c>
      <c r="N41" s="32">
        <f>1</f>
        <v>1</v>
      </c>
      <c r="O41" s="9">
        <f>October!O41+N41</f>
        <v>20</v>
      </c>
      <c r="P41" s="20"/>
      <c r="Q41" s="33"/>
      <c r="R41" s="9">
        <f>October!R41+Q41</f>
        <v>57</v>
      </c>
    </row>
    <row r="42" spans="1:18" ht="18" customHeight="1">
      <c r="A42" s="9" t="s">
        <v>46</v>
      </c>
      <c r="B42" s="14">
        <f>2</f>
        <v>2</v>
      </c>
      <c r="C42" s="9">
        <f>October!C42+B42</f>
        <v>19</v>
      </c>
      <c r="D42" s="15">
        <f>1+1</f>
        <v>2</v>
      </c>
      <c r="E42" s="9">
        <f>October!E42+D42</f>
        <v>62</v>
      </c>
      <c r="F42" s="16"/>
      <c r="G42" s="9">
        <f>October!G42+F42</f>
        <v>15</v>
      </c>
      <c r="H42" s="17"/>
      <c r="I42" s="9">
        <f>October!I42+H42</f>
        <v>0</v>
      </c>
      <c r="J42" s="18"/>
      <c r="K42" s="9">
        <f>October!K42+J42</f>
        <v>9</v>
      </c>
      <c r="L42" s="19"/>
      <c r="M42" s="9">
        <f>October!M42+L42</f>
        <v>0</v>
      </c>
      <c r="N42" s="32">
        <f>12+3</f>
        <v>15</v>
      </c>
      <c r="O42" s="9">
        <f>October!O42+N42</f>
        <v>16</v>
      </c>
      <c r="P42" s="20"/>
      <c r="Q42" s="33"/>
      <c r="R42" s="9">
        <f>October!R42+Q42</f>
        <v>0</v>
      </c>
    </row>
    <row r="43" spans="1:18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32"/>
      <c r="O43" s="9">
        <f>October!O43+N43</f>
        <v>0</v>
      </c>
      <c r="P43" s="20"/>
      <c r="Q43" s="33"/>
      <c r="R43" s="9">
        <f>October!R43+Q43</f>
        <v>0</v>
      </c>
    </row>
    <row r="44" spans="1:18" ht="18" customHeight="1">
      <c r="A44" s="9" t="s">
        <v>48</v>
      </c>
      <c r="B44" s="14"/>
      <c r="C44" s="9">
        <f>October!C44+B44</f>
        <v>0</v>
      </c>
      <c r="D44" s="15">
        <v>1</v>
      </c>
      <c r="E44" s="9">
        <f>October!E44+D44</f>
        <v>34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32"/>
      <c r="O44" s="9">
        <f>October!O44+N44</f>
        <v>0</v>
      </c>
      <c r="P44" s="20"/>
      <c r="Q44" s="33"/>
      <c r="R44" s="9">
        <f>October!R44+Q44</f>
        <v>0</v>
      </c>
    </row>
    <row r="45" spans="1:18" ht="18" customHeight="1">
      <c r="A45" s="9" t="s">
        <v>49</v>
      </c>
      <c r="B45" s="14">
        <f>2</f>
        <v>2</v>
      </c>
      <c r="C45" s="9">
        <f>October!C45+B45</f>
        <v>2</v>
      </c>
      <c r="D45" s="15">
        <f>2+4+1+1</f>
        <v>8</v>
      </c>
      <c r="E45" s="9">
        <f>October!E45+D45</f>
        <v>733</v>
      </c>
      <c r="F45" s="16">
        <f>177+249+14+27+6+24+16+19+376+8+49+7+19+3+138+3+4+8+13+3</f>
        <v>1163</v>
      </c>
      <c r="G45" s="9">
        <f>October!G45+F45</f>
        <v>9620</v>
      </c>
      <c r="H45" s="17">
        <f>153+230+30+65+116+25+27</f>
        <v>646</v>
      </c>
      <c r="I45" s="9">
        <f>October!I45+H45</f>
        <v>14877</v>
      </c>
      <c r="J45" s="18">
        <f>17+24+18+18</f>
        <v>77</v>
      </c>
      <c r="K45" s="9">
        <f>October!K45+J45</f>
        <v>561</v>
      </c>
      <c r="L45" s="19">
        <f>41+6+1+11+17+109</f>
        <v>185</v>
      </c>
      <c r="M45" s="9">
        <f>October!M45+L45</f>
        <v>4427</v>
      </c>
      <c r="N45" s="32"/>
      <c r="O45" s="9">
        <f>October!O45+N45</f>
        <v>0</v>
      </c>
      <c r="P45" s="20"/>
      <c r="Q45" s="33"/>
      <c r="R45" s="9">
        <f>October!R45+Q45</f>
        <v>0</v>
      </c>
    </row>
    <row r="46" spans="1:18" ht="18" customHeight="1">
      <c r="A46" s="9" t="s">
        <v>50</v>
      </c>
      <c r="B46" s="14"/>
      <c r="C46" s="9">
        <f>October!C46+B46</f>
        <v>1</v>
      </c>
      <c r="D46" s="15"/>
      <c r="E46" s="9">
        <f>October!E46+D46</f>
        <v>72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32"/>
      <c r="O46" s="9">
        <f>October!O46+N46</f>
        <v>2</v>
      </c>
      <c r="P46" s="20"/>
      <c r="Q46" s="33"/>
      <c r="R46" s="9">
        <f>October!R46+Q46</f>
        <v>0</v>
      </c>
    </row>
    <row r="47" spans="1:18" ht="18" customHeight="1">
      <c r="A47" s="9" t="s">
        <v>51</v>
      </c>
      <c r="B47" s="14"/>
      <c r="C47" s="9">
        <f>October!C47+B47</f>
        <v>8</v>
      </c>
      <c r="D47" s="15">
        <f>2+2+1</f>
        <v>5</v>
      </c>
      <c r="E47" s="9">
        <f>October!E47+D47</f>
        <v>366</v>
      </c>
      <c r="F47" s="16"/>
      <c r="G47" s="9">
        <f>October!G47+F47</f>
        <v>33</v>
      </c>
      <c r="H47" s="17"/>
      <c r="I47" s="9">
        <f>October!I47+H47</f>
        <v>1753</v>
      </c>
      <c r="J47" s="18">
        <f>11+1</f>
        <v>12</v>
      </c>
      <c r="K47" s="9">
        <f>October!K47+J47</f>
        <v>222</v>
      </c>
      <c r="L47" s="19"/>
      <c r="M47" s="9">
        <f>October!M47+L47</f>
        <v>0</v>
      </c>
      <c r="N47" s="32">
        <f>12</f>
        <v>12</v>
      </c>
      <c r="O47" s="9">
        <f>October!O47+N47</f>
        <v>41</v>
      </c>
      <c r="P47" s="20"/>
      <c r="Q47" s="33"/>
      <c r="R47" s="9">
        <f>October!R47+Q47</f>
        <v>0</v>
      </c>
    </row>
    <row r="48" spans="1:18" ht="18" customHeight="1">
      <c r="A48" s="9" t="s">
        <v>52</v>
      </c>
      <c r="B48" s="14"/>
      <c r="C48" s="9">
        <f>October!C48+B48</f>
        <v>3</v>
      </c>
      <c r="D48" s="15">
        <f>2</f>
        <v>2</v>
      </c>
      <c r="E48" s="9">
        <f>October!E48+D48</f>
        <v>36</v>
      </c>
      <c r="F48" s="16"/>
      <c r="G48" s="9">
        <f>October!G48+F48</f>
        <v>8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32"/>
      <c r="O48" s="9">
        <f>October!O48+N48</f>
        <v>0</v>
      </c>
      <c r="P48" s="20"/>
      <c r="Q48" s="33"/>
      <c r="R48" s="9">
        <f>October!R48+Q48</f>
        <v>0</v>
      </c>
    </row>
    <row r="49" spans="1:18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32"/>
      <c r="O49" s="9">
        <f>October!O49+N49</f>
        <v>0</v>
      </c>
      <c r="P49" s="20"/>
      <c r="Q49" s="33"/>
      <c r="R49" s="9">
        <f>October!R49+Q49</f>
        <v>0</v>
      </c>
    </row>
    <row r="50" spans="1:18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5</v>
      </c>
      <c r="F50" s="16"/>
      <c r="G50" s="9">
        <f>October!G50+F50</f>
        <v>5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32"/>
      <c r="O50" s="9">
        <f>October!O50+N50</f>
        <v>6</v>
      </c>
      <c r="P50" s="20"/>
      <c r="Q50" s="33"/>
      <c r="R50" s="9">
        <f>October!R50+Q50</f>
        <v>0</v>
      </c>
    </row>
    <row r="51" spans="1:18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37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32"/>
      <c r="O51" s="9">
        <f>October!O51+N51</f>
        <v>2</v>
      </c>
      <c r="P51" s="20"/>
      <c r="Q51" s="33"/>
      <c r="R51" s="9">
        <f>October!R51+Q51</f>
        <v>0</v>
      </c>
    </row>
    <row r="52" spans="1:18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5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32"/>
      <c r="O52" s="9">
        <f>October!O52+N52</f>
        <v>0</v>
      </c>
      <c r="P52" s="20"/>
      <c r="Q52" s="33"/>
      <c r="R52" s="9">
        <f>October!R52+Q52</f>
        <v>0</v>
      </c>
    </row>
    <row r="53" spans="1:20" ht="18" customHeight="1">
      <c r="A53" s="9" t="s">
        <v>57</v>
      </c>
      <c r="B53" s="14">
        <v>4</v>
      </c>
      <c r="C53" s="9">
        <f>October!C53+B53</f>
        <v>18</v>
      </c>
      <c r="D53" s="15">
        <f>1+1+1+1+1+1+1+1+7+1+1+3+2+1+4+4</f>
        <v>31</v>
      </c>
      <c r="E53" s="9">
        <f>October!E53+D53</f>
        <v>1279</v>
      </c>
      <c r="F53" s="16">
        <v>69</v>
      </c>
      <c r="G53" s="9">
        <f>October!G53+F53</f>
        <v>239</v>
      </c>
      <c r="H53" s="17"/>
      <c r="I53" s="9">
        <f>October!I53+H53</f>
        <v>0</v>
      </c>
      <c r="J53" s="18">
        <f>6</f>
        <v>6</v>
      </c>
      <c r="K53" s="9">
        <f>October!K53+J53</f>
        <v>142</v>
      </c>
      <c r="L53" s="19"/>
      <c r="M53" s="9">
        <f>October!M53+L53</f>
        <v>0</v>
      </c>
      <c r="N53" s="32"/>
      <c r="O53" s="9">
        <f>October!O53+N53</f>
        <v>162</v>
      </c>
      <c r="P53" s="20"/>
      <c r="Q53" s="33">
        <v>1485</v>
      </c>
      <c r="R53" s="9">
        <f>October!R53+Q53</f>
        <v>3785</v>
      </c>
      <c r="S53" s="2" t="s">
        <v>125</v>
      </c>
      <c r="T53" s="2" t="s">
        <v>126</v>
      </c>
    </row>
    <row r="54" spans="1:18" ht="18" customHeight="1" thickBot="1">
      <c r="A54" s="10" t="s">
        <v>58</v>
      </c>
      <c r="B54" s="14"/>
      <c r="C54" s="9">
        <f>October!C54+B54</f>
        <v>0</v>
      </c>
      <c r="D54" s="15">
        <f>4+3</f>
        <v>7</v>
      </c>
      <c r="E54" s="9">
        <f>October!E54+D54</f>
        <v>146</v>
      </c>
      <c r="F54" s="16"/>
      <c r="G54" s="9">
        <f>October!G54+F54</f>
        <v>2503</v>
      </c>
      <c r="H54" s="17"/>
      <c r="I54" s="9">
        <f>October!I54+H54</f>
        <v>0</v>
      </c>
      <c r="J54" s="18"/>
      <c r="K54" s="9">
        <f>October!K54+J54</f>
        <v>2</v>
      </c>
      <c r="L54" s="19"/>
      <c r="M54" s="9">
        <f>October!M54+L54</f>
        <v>0</v>
      </c>
      <c r="N54" s="32"/>
      <c r="O54" s="9">
        <f>October!O54+N54</f>
        <v>0</v>
      </c>
      <c r="P54" s="20"/>
      <c r="Q54" s="34"/>
      <c r="R54" s="9">
        <f>October!R54+Q54</f>
        <v>0</v>
      </c>
    </row>
    <row r="55" spans="1:18" ht="18" customHeight="1" thickBot="1" thickTop="1">
      <c r="A55" s="11" t="s">
        <v>59</v>
      </c>
      <c r="B55" s="11">
        <f>SUM(B5:B54)</f>
        <v>47</v>
      </c>
      <c r="C55" s="11"/>
      <c r="D55" s="11">
        <f>SUM(D5:D54)</f>
        <v>250</v>
      </c>
      <c r="E55" s="11"/>
      <c r="F55" s="11">
        <f>SUM(F5:F54)</f>
        <v>5492</v>
      </c>
      <c r="G55" s="11"/>
      <c r="H55" s="11">
        <f>SUM(H5:H54)</f>
        <v>668</v>
      </c>
      <c r="I55" s="11"/>
      <c r="J55" s="11">
        <f>SUM(J5:J54)</f>
        <v>244</v>
      </c>
      <c r="K55" s="11"/>
      <c r="L55" s="11">
        <f>SUM(L5:L54)</f>
        <v>185</v>
      </c>
      <c r="M55" s="11"/>
      <c r="N55" s="11">
        <f>SUM(N5:N54)</f>
        <v>39</v>
      </c>
      <c r="O55" s="11"/>
      <c r="Q55" s="11">
        <f>SUM(Q5:Q54)</f>
        <v>225883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October!C57+B55</f>
        <v>332</v>
      </c>
      <c r="D57" s="11"/>
      <c r="E57" s="11">
        <f>October!E57+D55</f>
        <v>8950</v>
      </c>
      <c r="F57" s="11"/>
      <c r="G57" s="11">
        <f>October!G57+F55</f>
        <v>31039</v>
      </c>
      <c r="H57" s="11"/>
      <c r="I57" s="11">
        <f>October!I57+H55</f>
        <v>19352</v>
      </c>
      <c r="J57" s="11"/>
      <c r="K57" s="11">
        <f>October!K57+J55</f>
        <v>2671</v>
      </c>
      <c r="L57" s="11"/>
      <c r="M57" s="11">
        <f>October!M57+L55</f>
        <v>4666</v>
      </c>
      <c r="N57" s="11"/>
      <c r="O57" s="11">
        <f>October!O57+N55</f>
        <v>569</v>
      </c>
      <c r="Q57" s="23"/>
      <c r="R57" s="11">
        <f>October!R57+Q55</f>
        <v>3370395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252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78</v>
      </c>
      <c r="H1" s="2" t="s">
        <v>75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3.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54" t="s">
        <v>5</v>
      </c>
      <c r="I3" s="55"/>
      <c r="J3" s="50" t="s">
        <v>4</v>
      </c>
      <c r="K3" s="53"/>
      <c r="L3" s="25" t="s">
        <v>63</v>
      </c>
      <c r="M3" s="30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November!C5+B5</f>
        <v>0</v>
      </c>
      <c r="D5" s="15">
        <f>1+2</f>
        <v>3</v>
      </c>
      <c r="E5" s="9">
        <f>November!E5+D5</f>
        <v>20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2"/>
      <c r="O5" s="9">
        <f>November!O5+N5</f>
        <v>0</v>
      </c>
      <c r="P5" s="20"/>
      <c r="Q5" s="33"/>
      <c r="R5" s="9">
        <f>November!R5+Q5</f>
        <v>0</v>
      </c>
    </row>
    <row r="6" spans="1:18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1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2"/>
      <c r="O6" s="9">
        <f>November!O6+N6</f>
        <v>0</v>
      </c>
      <c r="P6" s="20"/>
      <c r="Q6" s="33"/>
      <c r="R6" s="9">
        <f>November!R6+Q6</f>
        <v>0</v>
      </c>
    </row>
    <row r="7" spans="1:18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145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2</v>
      </c>
      <c r="L7" s="19"/>
      <c r="M7" s="9">
        <f>November!M7+L7</f>
        <v>0</v>
      </c>
      <c r="N7" s="32"/>
      <c r="O7" s="9">
        <f>November!O7+N7</f>
        <v>0</v>
      </c>
      <c r="P7" s="20"/>
      <c r="Q7" s="33"/>
      <c r="R7" s="9">
        <f>November!R7+Q7</f>
        <v>0</v>
      </c>
    </row>
    <row r="8" spans="1:18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80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19</v>
      </c>
      <c r="L8" s="19"/>
      <c r="M8" s="9">
        <f>November!M8+L8</f>
        <v>0</v>
      </c>
      <c r="N8" s="32"/>
      <c r="O8" s="9">
        <f>November!O8+N8</f>
        <v>0</v>
      </c>
      <c r="P8" s="20"/>
      <c r="Q8" s="33"/>
      <c r="R8" s="9">
        <f>November!R8+Q8</f>
        <v>0</v>
      </c>
    </row>
    <row r="9" spans="1:18" ht="18" customHeight="1">
      <c r="A9" s="9" t="s">
        <v>13</v>
      </c>
      <c r="B9" s="14"/>
      <c r="C9" s="9">
        <f>November!C9+B9</f>
        <v>0</v>
      </c>
      <c r="D9" s="15">
        <f>1</f>
        <v>1</v>
      </c>
      <c r="E9" s="9">
        <f>November!E9+D9</f>
        <v>69</v>
      </c>
      <c r="F9" s="16">
        <f>1</f>
        <v>1</v>
      </c>
      <c r="G9" s="9">
        <f>November!G9+F9</f>
        <v>3</v>
      </c>
      <c r="H9" s="17"/>
      <c r="I9" s="9">
        <f>November!I9+H9</f>
        <v>0</v>
      </c>
      <c r="J9" s="18"/>
      <c r="K9" s="9">
        <f>November!K9+J9</f>
        <v>33</v>
      </c>
      <c r="L9" s="19"/>
      <c r="M9" s="9">
        <f>November!M9+L9</f>
        <v>0</v>
      </c>
      <c r="N9" s="32"/>
      <c r="O9" s="9">
        <f>November!O9+N9</f>
        <v>0</v>
      </c>
      <c r="P9" s="20"/>
      <c r="Q9" s="33"/>
      <c r="R9" s="9">
        <f>November!R9+Q9</f>
        <v>0</v>
      </c>
    </row>
    <row r="10" spans="1:20" ht="18" customHeight="1">
      <c r="A10" s="9" t="s">
        <v>14</v>
      </c>
      <c r="B10" s="14"/>
      <c r="C10" s="9">
        <f>November!C10+B10</f>
        <v>0</v>
      </c>
      <c r="D10" s="15">
        <v>1</v>
      </c>
      <c r="E10" s="9">
        <f>November!E10+D10</f>
        <v>71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2"/>
      <c r="O10" s="9">
        <f>November!O10+N10</f>
        <v>0</v>
      </c>
      <c r="P10" s="20"/>
      <c r="Q10" s="33">
        <f>24500+24500+20700+18000+22200+28700+97200+61200+97200+86400+47040+46800+64920+103800</f>
        <v>743160</v>
      </c>
      <c r="R10" s="9">
        <f>November!R10+Q10</f>
        <v>3519101</v>
      </c>
      <c r="S10" s="2" t="s">
        <v>117</v>
      </c>
      <c r="T10" s="2" t="s">
        <v>118</v>
      </c>
    </row>
    <row r="11" spans="1:18" ht="18" customHeight="1">
      <c r="A11" s="9" t="s">
        <v>15</v>
      </c>
      <c r="B11" s="14"/>
      <c r="C11" s="9">
        <f>November!C11+B11</f>
        <v>0</v>
      </c>
      <c r="D11" s="15">
        <f>2</f>
        <v>2</v>
      </c>
      <c r="E11" s="9">
        <f>November!E11+D11</f>
        <v>214</v>
      </c>
      <c r="F11" s="16"/>
      <c r="G11" s="9">
        <f>November!G11+F11</f>
        <v>24</v>
      </c>
      <c r="H11" s="17"/>
      <c r="I11" s="9">
        <f>November!I11+H11</f>
        <v>0</v>
      </c>
      <c r="J11" s="18"/>
      <c r="K11" s="9">
        <f>November!K11+J11</f>
        <v>8</v>
      </c>
      <c r="L11" s="19"/>
      <c r="M11" s="9">
        <f>November!M11+L11</f>
        <v>0</v>
      </c>
      <c r="N11" s="32"/>
      <c r="O11" s="9">
        <f>November!O11+N11</f>
        <v>50</v>
      </c>
      <c r="P11" s="20"/>
      <c r="Q11" s="33"/>
      <c r="R11" s="9">
        <f>November!R11+Q11</f>
        <v>0</v>
      </c>
    </row>
    <row r="12" spans="1:19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1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32"/>
      <c r="O12" s="9">
        <f>November!O12+N12</f>
        <v>2</v>
      </c>
      <c r="P12" s="20"/>
      <c r="Q12" s="33">
        <f>50+1080</f>
        <v>1130</v>
      </c>
      <c r="R12" s="9">
        <f>November!R12+Q12</f>
        <v>362432</v>
      </c>
      <c r="S12" s="2" t="s">
        <v>101</v>
      </c>
    </row>
    <row r="13" spans="1:18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5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2"/>
      <c r="O13" s="9">
        <f>November!O13+N13</f>
        <v>0</v>
      </c>
      <c r="P13" s="20"/>
      <c r="Q13" s="33"/>
      <c r="R13" s="9">
        <f>November!R13+Q13</f>
        <v>0</v>
      </c>
    </row>
    <row r="14" spans="1:18" ht="18" customHeight="1">
      <c r="A14" s="9" t="s">
        <v>18</v>
      </c>
      <c r="B14" s="14"/>
      <c r="C14" s="9">
        <f>November!C14+B14</f>
        <v>0</v>
      </c>
      <c r="D14" s="15">
        <f>6</f>
        <v>6</v>
      </c>
      <c r="E14" s="9">
        <f>November!E14+D14</f>
        <v>143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2</v>
      </c>
      <c r="L14" s="19"/>
      <c r="M14" s="9">
        <f>November!M14+L14</f>
        <v>0</v>
      </c>
      <c r="N14" s="32"/>
      <c r="O14" s="9">
        <f>November!O14+N14</f>
        <v>9</v>
      </c>
      <c r="P14" s="20"/>
      <c r="Q14" s="33"/>
      <c r="R14" s="9">
        <f>November!R14+Q14</f>
        <v>0</v>
      </c>
    </row>
    <row r="15" spans="1:18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26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2"/>
      <c r="O15" s="9">
        <f>November!O15+N15</f>
        <v>9</v>
      </c>
      <c r="P15" s="20"/>
      <c r="Q15" s="33"/>
      <c r="R15" s="9">
        <f>November!R15+Q15</f>
        <v>0</v>
      </c>
    </row>
    <row r="16" spans="1:24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2"/>
      <c r="O16" s="9">
        <f>November!O16+N16</f>
        <v>0</v>
      </c>
      <c r="P16" s="20"/>
      <c r="Q16" s="33"/>
      <c r="R16" s="9">
        <f>November!R16+Q16</f>
        <v>0</v>
      </c>
      <c r="T16" s="40"/>
      <c r="U16" s="40"/>
      <c r="V16" s="40"/>
      <c r="W16" s="38"/>
      <c r="X16" s="39"/>
    </row>
    <row r="17" spans="1:24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84</v>
      </c>
      <c r="F17" s="16">
        <f>2+1</f>
        <v>3</v>
      </c>
      <c r="G17" s="9">
        <f>November!G17+F17</f>
        <v>1281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2"/>
      <c r="O17" s="9">
        <f>November!O17+N17</f>
        <v>2</v>
      </c>
      <c r="P17" s="20"/>
      <c r="Q17" s="33"/>
      <c r="R17" s="9">
        <f>November!R17+Q17</f>
        <v>0</v>
      </c>
      <c r="T17" s="38"/>
      <c r="U17" s="38"/>
      <c r="V17"/>
      <c r="W17"/>
      <c r="X17" s="37"/>
    </row>
    <row r="18" spans="1:18" ht="18" customHeight="1">
      <c r="A18" s="9" t="s">
        <v>22</v>
      </c>
      <c r="B18" s="14">
        <f>16+16+8</f>
        <v>40</v>
      </c>
      <c r="C18" s="9">
        <f>November!C18+B18</f>
        <v>77</v>
      </c>
      <c r="D18" s="15">
        <f>1+2+3+1+1</f>
        <v>8</v>
      </c>
      <c r="E18" s="9">
        <f>November!E18+D18</f>
        <v>467</v>
      </c>
      <c r="F18" s="16">
        <f>23+6+2+1+7</f>
        <v>39</v>
      </c>
      <c r="G18" s="9">
        <f>November!G18+F18</f>
        <v>725</v>
      </c>
      <c r="H18" s="17"/>
      <c r="I18" s="9">
        <f>November!I18+H18</f>
        <v>0</v>
      </c>
      <c r="J18" s="18"/>
      <c r="K18" s="9">
        <f>November!K18+J18</f>
        <v>117</v>
      </c>
      <c r="L18" s="19"/>
      <c r="M18" s="9">
        <f>November!M18+L18</f>
        <v>0</v>
      </c>
      <c r="N18" s="32">
        <f>4</f>
        <v>4</v>
      </c>
      <c r="O18" s="9">
        <f>November!O18+N18</f>
        <v>35</v>
      </c>
      <c r="P18" s="20"/>
      <c r="Q18" s="33"/>
      <c r="R18" s="9">
        <f>November!R18+Q18</f>
        <v>2</v>
      </c>
    </row>
    <row r="19" spans="1:18" ht="18" customHeight="1">
      <c r="A19" s="9" t="s">
        <v>23</v>
      </c>
      <c r="B19" s="14">
        <f>3</f>
        <v>3</v>
      </c>
      <c r="C19" s="9">
        <f>November!C19+B19</f>
        <v>15</v>
      </c>
      <c r="D19" s="15"/>
      <c r="E19" s="9">
        <f>November!E19+D19</f>
        <v>97</v>
      </c>
      <c r="F19" s="16"/>
      <c r="G19" s="9">
        <f>November!G19+F19</f>
        <v>45</v>
      </c>
      <c r="H19" s="17"/>
      <c r="I19" s="9">
        <f>November!I19+H19</f>
        <v>0</v>
      </c>
      <c r="J19" s="18"/>
      <c r="K19" s="9">
        <f>November!K19+J19</f>
        <v>78</v>
      </c>
      <c r="L19" s="19"/>
      <c r="M19" s="9">
        <f>November!M19+L19</f>
        <v>0</v>
      </c>
      <c r="N19" s="32"/>
      <c r="O19" s="9">
        <f>November!O19+N19</f>
        <v>7</v>
      </c>
      <c r="P19" s="20"/>
      <c r="Q19" s="33"/>
      <c r="R19" s="9">
        <f>November!R19+Q19</f>
        <v>0</v>
      </c>
    </row>
    <row r="20" spans="1:18" ht="18" customHeight="1">
      <c r="A20" s="9" t="s">
        <v>24</v>
      </c>
      <c r="B20" s="14"/>
      <c r="C20" s="9">
        <f>November!C20+B20</f>
        <v>0</v>
      </c>
      <c r="D20" s="15">
        <f>1+1+2</f>
        <v>4</v>
      </c>
      <c r="E20" s="9">
        <f>November!E20+D20</f>
        <v>327</v>
      </c>
      <c r="F20" s="16"/>
      <c r="G20" s="9">
        <f>November!G20+F20</f>
        <v>141</v>
      </c>
      <c r="H20" s="17"/>
      <c r="I20" s="9">
        <f>November!I20+H20</f>
        <v>0</v>
      </c>
      <c r="J20" s="18"/>
      <c r="K20" s="9">
        <f>November!K20+J20</f>
        <v>27</v>
      </c>
      <c r="L20" s="19"/>
      <c r="M20" s="9">
        <f>November!M20+L20</f>
        <v>0</v>
      </c>
      <c r="N20" s="32"/>
      <c r="O20" s="9">
        <f>November!O20+N20</f>
        <v>5</v>
      </c>
      <c r="P20" s="20"/>
      <c r="Q20" s="33"/>
      <c r="R20" s="9">
        <f>November!R20+Q20</f>
        <v>0</v>
      </c>
    </row>
    <row r="21" spans="1:18" ht="18" customHeight="1">
      <c r="A21" s="9" t="s">
        <v>25</v>
      </c>
      <c r="B21" s="14"/>
      <c r="C21" s="9">
        <f>November!C21+B21</f>
        <v>0</v>
      </c>
      <c r="D21" s="15">
        <f>1+1+1+1+3</f>
        <v>7</v>
      </c>
      <c r="E21" s="9">
        <f>November!E21+D21</f>
        <v>159</v>
      </c>
      <c r="F21" s="16">
        <f>2+2+3+2+5</f>
        <v>14</v>
      </c>
      <c r="G21" s="9">
        <f>November!G21+F21</f>
        <v>14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32"/>
      <c r="O21" s="9">
        <f>November!O21+N21</f>
        <v>4</v>
      </c>
      <c r="P21" s="20"/>
      <c r="Q21" s="33"/>
      <c r="R21" s="9">
        <f>November!R21+Q21</f>
        <v>0</v>
      </c>
    </row>
    <row r="22" spans="1:18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31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32"/>
      <c r="O22" s="9">
        <f>November!O22+N22</f>
        <v>0</v>
      </c>
      <c r="P22" s="20"/>
      <c r="Q22" s="33"/>
      <c r="R22" s="9">
        <f>November!R22+Q22</f>
        <v>0</v>
      </c>
    </row>
    <row r="23" spans="1:18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18">
        <f>1</f>
        <v>1</v>
      </c>
      <c r="K23" s="9">
        <f>November!K23+J23</f>
        <v>1</v>
      </c>
      <c r="L23" s="19"/>
      <c r="M23" s="9">
        <f>November!M23+L23</f>
        <v>0</v>
      </c>
      <c r="N23" s="32"/>
      <c r="O23" s="9">
        <f>November!O23+N23</f>
        <v>0</v>
      </c>
      <c r="P23" s="20"/>
      <c r="Q23" s="33"/>
      <c r="R23" s="9">
        <f>November!R23+Q23</f>
        <v>0</v>
      </c>
    </row>
    <row r="24" spans="1:18" ht="18" customHeight="1">
      <c r="A24" s="9" t="s">
        <v>28</v>
      </c>
      <c r="B24" s="14"/>
      <c r="C24" s="9">
        <f>November!C24+B24</f>
        <v>0</v>
      </c>
      <c r="D24" s="15">
        <v>1</v>
      </c>
      <c r="E24" s="9">
        <f>November!E24+D24</f>
        <v>3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32"/>
      <c r="O24" s="9">
        <f>November!O24+N24</f>
        <v>0</v>
      </c>
      <c r="P24" s="20"/>
      <c r="Q24" s="33"/>
      <c r="R24" s="9">
        <f>November!R24+Q24</f>
        <v>0</v>
      </c>
    </row>
    <row r="25" spans="1:18" ht="18" customHeight="1">
      <c r="A25" s="9" t="s">
        <v>29</v>
      </c>
      <c r="B25" s="14"/>
      <c r="C25" s="9">
        <f>November!C25+B25</f>
        <v>0</v>
      </c>
      <c r="D25" s="15">
        <v>1</v>
      </c>
      <c r="E25" s="9">
        <f>November!E25+D25</f>
        <v>6</v>
      </c>
      <c r="F25" s="16"/>
      <c r="G25" s="9">
        <f>November!G25+F25</f>
        <v>12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32"/>
      <c r="O25" s="9">
        <f>November!O25+N25</f>
        <v>1</v>
      </c>
      <c r="P25" s="20"/>
      <c r="Q25" s="33"/>
      <c r="R25" s="9">
        <f>November!R25+Q25</f>
        <v>0</v>
      </c>
    </row>
    <row r="26" spans="1:18" ht="18" customHeight="1">
      <c r="A26" s="9" t="s">
        <v>30</v>
      </c>
      <c r="B26" s="14"/>
      <c r="C26" s="9">
        <f>November!C26+B26</f>
        <v>4</v>
      </c>
      <c r="D26" s="15">
        <f>1+4</f>
        <v>5</v>
      </c>
      <c r="E26" s="9">
        <f>November!E26+D26</f>
        <v>91</v>
      </c>
      <c r="F26" s="16"/>
      <c r="G26" s="9">
        <f>November!G26+F26</f>
        <v>65</v>
      </c>
      <c r="H26" s="17"/>
      <c r="I26" s="9">
        <f>November!I26+H26</f>
        <v>0</v>
      </c>
      <c r="J26" s="18"/>
      <c r="K26" s="9">
        <f>November!K26+J26</f>
        <v>2</v>
      </c>
      <c r="L26" s="19"/>
      <c r="M26" s="9">
        <f>November!M26+L26</f>
        <v>0</v>
      </c>
      <c r="N26" s="32"/>
      <c r="O26" s="9">
        <f>November!O26+N26</f>
        <v>13</v>
      </c>
      <c r="P26" s="20"/>
      <c r="Q26" s="33"/>
      <c r="R26" s="9">
        <f>November!R26+Q26</f>
        <v>0</v>
      </c>
    </row>
    <row r="27" spans="1:18" ht="18" customHeight="1">
      <c r="A27" s="9" t="s">
        <v>31</v>
      </c>
      <c r="B27" s="14">
        <f>1+4</f>
        <v>5</v>
      </c>
      <c r="C27" s="9">
        <f>November!C27+B27</f>
        <v>167</v>
      </c>
      <c r="D27" s="15">
        <f>1</f>
        <v>1</v>
      </c>
      <c r="E27" s="9">
        <f>November!E27+D27</f>
        <v>1505</v>
      </c>
      <c r="F27" s="16">
        <f>33+48+18+3+2+1+1</f>
        <v>106</v>
      </c>
      <c r="G27" s="9">
        <f>November!G27+F27</f>
        <v>2079</v>
      </c>
      <c r="H27" s="17"/>
      <c r="I27" s="9">
        <f>November!I27+H27</f>
        <v>172</v>
      </c>
      <c r="J27" s="18">
        <f>6</f>
        <v>6</v>
      </c>
      <c r="K27" s="9">
        <f>November!K27+J27</f>
        <v>501</v>
      </c>
      <c r="L27" s="19"/>
      <c r="M27" s="9">
        <f>November!M27+L27</f>
        <v>0</v>
      </c>
      <c r="N27" s="32"/>
      <c r="O27" s="9">
        <f>November!O27+N27</f>
        <v>44</v>
      </c>
      <c r="P27" s="20"/>
      <c r="Q27" s="33"/>
      <c r="R27" s="9">
        <f>November!R27+Q27</f>
        <v>0</v>
      </c>
    </row>
    <row r="28" spans="1:18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59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32"/>
      <c r="O28" s="9">
        <f>November!O28+N28</f>
        <v>0</v>
      </c>
      <c r="P28" s="20"/>
      <c r="Q28" s="33"/>
      <c r="R28" s="9">
        <f>November!R28+Q28</f>
        <v>0</v>
      </c>
    </row>
    <row r="29" spans="1:18" ht="18" customHeight="1">
      <c r="A29" s="9" t="s">
        <v>33</v>
      </c>
      <c r="B29" s="14"/>
      <c r="C29" s="9">
        <f>November!C29+B29</f>
        <v>26</v>
      </c>
      <c r="D29" s="15">
        <f>1+1</f>
        <v>2</v>
      </c>
      <c r="E29" s="9">
        <f>November!E29+D29</f>
        <v>694</v>
      </c>
      <c r="F29" s="16">
        <f>31+189</f>
        <v>220</v>
      </c>
      <c r="G29" s="9">
        <f>November!G29+F29</f>
        <v>988</v>
      </c>
      <c r="H29" s="17"/>
      <c r="I29" s="9">
        <f>November!I29+H29</f>
        <v>0</v>
      </c>
      <c r="J29" s="18"/>
      <c r="K29" s="9">
        <f>November!K29+J29</f>
        <v>123</v>
      </c>
      <c r="L29" s="19"/>
      <c r="M29" s="9">
        <f>November!M29+L29</f>
        <v>0</v>
      </c>
      <c r="N29" s="32"/>
      <c r="O29" s="9">
        <f>November!O29+N29</f>
        <v>57</v>
      </c>
      <c r="P29" s="20"/>
      <c r="Q29" s="33"/>
      <c r="R29" s="9">
        <f>November!R29+Q29</f>
        <v>58</v>
      </c>
    </row>
    <row r="30" spans="1:18" ht="18" customHeight="1">
      <c r="A30" s="9" t="s">
        <v>34</v>
      </c>
      <c r="B30" s="14"/>
      <c r="C30" s="9">
        <f>November!C30+B30</f>
        <v>0</v>
      </c>
      <c r="D30" s="15">
        <f>1</f>
        <v>1</v>
      </c>
      <c r="E30" s="9">
        <f>November!E30+D30</f>
        <v>212</v>
      </c>
      <c r="F30" s="16">
        <f>96+225</f>
        <v>321</v>
      </c>
      <c r="G30" s="9">
        <f>November!G30+F30</f>
        <v>8042</v>
      </c>
      <c r="H30" s="17"/>
      <c r="I30" s="9">
        <f>November!I30+H30</f>
        <v>797</v>
      </c>
      <c r="J30" s="18">
        <f>1</f>
        <v>1</v>
      </c>
      <c r="K30" s="9">
        <f>November!K30+J30</f>
        <v>5</v>
      </c>
      <c r="L30" s="19"/>
      <c r="M30" s="9">
        <f>November!M30+L30</f>
        <v>3</v>
      </c>
      <c r="N30" s="32"/>
      <c r="O30" s="9">
        <f>November!O30+N30</f>
        <v>6</v>
      </c>
      <c r="P30" s="20"/>
      <c r="Q30" s="33"/>
      <c r="R30" s="9">
        <f>November!R30+Q30</f>
        <v>0</v>
      </c>
    </row>
    <row r="31" spans="1:18" ht="18" customHeight="1">
      <c r="A31" s="9" t="s">
        <v>35</v>
      </c>
      <c r="B31" s="14">
        <f>2</f>
        <v>2</v>
      </c>
      <c r="C31" s="9">
        <f>November!C31+B31</f>
        <v>4</v>
      </c>
      <c r="D31" s="15">
        <f>1+1+1</f>
        <v>3</v>
      </c>
      <c r="E31" s="9">
        <f>November!E31+D31</f>
        <v>848</v>
      </c>
      <c r="F31" s="16">
        <f>55+59+23+8</f>
        <v>145</v>
      </c>
      <c r="G31" s="9">
        <f>November!G31+F31</f>
        <v>2702</v>
      </c>
      <c r="H31" s="17"/>
      <c r="I31" s="9">
        <f>November!I31+H31</f>
        <v>1050</v>
      </c>
      <c r="J31" s="18">
        <f>5+28+51</f>
        <v>84</v>
      </c>
      <c r="K31" s="9">
        <f>November!K31+J31</f>
        <v>875</v>
      </c>
      <c r="L31" s="19">
        <f>13+26+6</f>
        <v>45</v>
      </c>
      <c r="M31" s="9">
        <f>November!M31+L31</f>
        <v>246</v>
      </c>
      <c r="N31" s="32"/>
      <c r="O31" s="9">
        <f>November!O31+N31</f>
        <v>40</v>
      </c>
      <c r="P31" s="20"/>
      <c r="Q31" s="33"/>
      <c r="R31" s="9">
        <f>November!R31+Q31</f>
        <v>0</v>
      </c>
    </row>
    <row r="32" spans="1:18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33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5</v>
      </c>
      <c r="L32" s="19"/>
      <c r="M32" s="9">
        <f>November!M32+L32</f>
        <v>0</v>
      </c>
      <c r="N32" s="32"/>
      <c r="O32" s="9">
        <f>November!O32+N32</f>
        <v>0</v>
      </c>
      <c r="P32" s="20"/>
      <c r="Q32" s="33"/>
      <c r="R32" s="9">
        <f>November!R32+Q32</f>
        <v>0</v>
      </c>
    </row>
    <row r="33" spans="1:18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32"/>
      <c r="O33" s="9">
        <f>November!O33+N33</f>
        <v>0</v>
      </c>
      <c r="P33" s="20"/>
      <c r="Q33" s="33"/>
      <c r="R33" s="9">
        <f>November!R33+Q33</f>
        <v>0</v>
      </c>
    </row>
    <row r="34" spans="1:18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4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32"/>
      <c r="O34" s="9">
        <f>November!O34+N34</f>
        <v>0</v>
      </c>
      <c r="P34" s="20"/>
      <c r="Q34" s="33"/>
      <c r="R34" s="9">
        <f>November!R34+Q34</f>
        <v>0</v>
      </c>
    </row>
    <row r="35" spans="1:18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31</v>
      </c>
      <c r="F35" s="16"/>
      <c r="G35" s="9">
        <f>November!G35+F35</f>
        <v>10</v>
      </c>
      <c r="H35" s="17"/>
      <c r="I35" s="9">
        <f>November!I35+H35</f>
        <v>477</v>
      </c>
      <c r="J35" s="18"/>
      <c r="K35" s="9">
        <f>November!K35+J35</f>
        <v>2</v>
      </c>
      <c r="L35" s="19"/>
      <c r="M35" s="9">
        <f>November!M35+L35</f>
        <v>0</v>
      </c>
      <c r="N35" s="32"/>
      <c r="O35" s="9">
        <f>November!O35+N35</f>
        <v>3</v>
      </c>
      <c r="P35" s="20"/>
      <c r="Q35" s="33"/>
      <c r="R35" s="9">
        <f>November!R35+Q35</f>
        <v>0</v>
      </c>
    </row>
    <row r="36" spans="1:18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16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32"/>
      <c r="O36" s="9">
        <f>November!O36+N36</f>
        <v>1</v>
      </c>
      <c r="P36" s="20"/>
      <c r="Q36" s="33"/>
      <c r="R36" s="9">
        <f>November!R36+Q36</f>
        <v>129960</v>
      </c>
    </row>
    <row r="37" spans="1:18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13</v>
      </c>
      <c r="F37" s="16"/>
      <c r="G37" s="9">
        <f>November!G37+F37</f>
        <v>16</v>
      </c>
      <c r="H37" s="17"/>
      <c r="I37" s="9">
        <f>November!I37+H37</f>
        <v>0</v>
      </c>
      <c r="J37" s="18"/>
      <c r="K37" s="9">
        <f>November!K37+J37</f>
        <v>3</v>
      </c>
      <c r="L37" s="19"/>
      <c r="M37" s="9">
        <f>November!M37+L37</f>
        <v>0</v>
      </c>
      <c r="N37" s="32"/>
      <c r="O37" s="9">
        <f>November!O37+N37</f>
        <v>3</v>
      </c>
      <c r="P37" s="20"/>
      <c r="Q37" s="33"/>
      <c r="R37" s="9">
        <f>November!R37+Q37</f>
        <v>99290</v>
      </c>
    </row>
    <row r="38" spans="1:18" ht="18" customHeight="1">
      <c r="A38" s="9" t="s">
        <v>42</v>
      </c>
      <c r="B38" s="14"/>
      <c r="C38" s="9">
        <f>November!C38+B38</f>
        <v>15</v>
      </c>
      <c r="D38" s="15"/>
      <c r="E38" s="9">
        <f>November!E38+D38</f>
        <v>179</v>
      </c>
      <c r="F38" s="16">
        <f>579</f>
        <v>579</v>
      </c>
      <c r="G38" s="9">
        <f>November!G38+F38</f>
        <v>1278</v>
      </c>
      <c r="H38" s="17"/>
      <c r="I38" s="9">
        <f>November!I38+H38</f>
        <v>226</v>
      </c>
      <c r="J38" s="18"/>
      <c r="K38" s="9">
        <f>November!K38+J38</f>
        <v>12</v>
      </c>
      <c r="L38" s="19"/>
      <c r="M38" s="9">
        <f>November!M38+L38</f>
        <v>0</v>
      </c>
      <c r="N38" s="32"/>
      <c r="O38" s="9">
        <f>November!O38+N38</f>
        <v>0</v>
      </c>
      <c r="P38" s="20"/>
      <c r="Q38" s="33"/>
      <c r="R38" s="9">
        <f>November!R38+Q38</f>
        <v>0</v>
      </c>
    </row>
    <row r="39" spans="1:18" ht="18" customHeight="1">
      <c r="A39" s="9" t="s">
        <v>43</v>
      </c>
      <c r="B39" s="14"/>
      <c r="C39" s="9">
        <f>November!C39+B39</f>
        <v>23</v>
      </c>
      <c r="D39" s="15">
        <f>1+1+1</f>
        <v>3</v>
      </c>
      <c r="E39" s="9">
        <f>November!E39+D39</f>
        <v>90</v>
      </c>
      <c r="F39" s="16">
        <f>1+2+2+3</f>
        <v>8</v>
      </c>
      <c r="G39" s="9">
        <f>November!G39+F39</f>
        <v>170</v>
      </c>
      <c r="H39" s="17"/>
      <c r="I39" s="9">
        <f>November!I39+H39</f>
        <v>0</v>
      </c>
      <c r="J39" s="18"/>
      <c r="K39" s="9">
        <f>November!K39+J39</f>
        <v>2</v>
      </c>
      <c r="L39" s="19"/>
      <c r="M39" s="9">
        <f>November!M39+L39</f>
        <v>0</v>
      </c>
      <c r="N39" s="32"/>
      <c r="O39" s="9">
        <f>November!O39+N39</f>
        <v>29</v>
      </c>
      <c r="P39" s="20"/>
      <c r="Q39" s="33"/>
      <c r="R39" s="9">
        <f>November!R39+Q39</f>
        <v>0</v>
      </c>
    </row>
    <row r="40" spans="1:18" ht="18" customHeight="1">
      <c r="A40" s="9" t="s">
        <v>44</v>
      </c>
      <c r="B40" s="14"/>
      <c r="C40" s="9">
        <f>November!C40+B40</f>
        <v>0</v>
      </c>
      <c r="D40" s="15">
        <f>1+1+1+1</f>
        <v>4</v>
      </c>
      <c r="E40" s="9">
        <f>November!E40+D40</f>
        <v>466</v>
      </c>
      <c r="F40" s="16">
        <f>3</f>
        <v>3</v>
      </c>
      <c r="G40" s="9">
        <f>November!G40+F40</f>
        <v>87</v>
      </c>
      <c r="H40" s="17"/>
      <c r="I40" s="9">
        <f>November!I40+H40</f>
        <v>0</v>
      </c>
      <c r="J40" s="18"/>
      <c r="K40" s="9">
        <f>November!K40+J40</f>
        <v>5</v>
      </c>
      <c r="L40" s="19"/>
      <c r="M40" s="9">
        <f>November!M40+L40</f>
        <v>0</v>
      </c>
      <c r="N40" s="32"/>
      <c r="O40" s="9">
        <f>November!O40+N40</f>
        <v>4</v>
      </c>
      <c r="P40" s="20"/>
      <c r="Q40" s="33"/>
      <c r="R40" s="9">
        <f>November!R40+Q40</f>
        <v>0</v>
      </c>
    </row>
    <row r="41" spans="1:18" ht="18" customHeight="1">
      <c r="A41" s="9" t="s">
        <v>45</v>
      </c>
      <c r="B41" s="14"/>
      <c r="C41" s="9">
        <f>November!C41+B41</f>
        <v>0</v>
      </c>
      <c r="D41" s="15"/>
      <c r="E41" s="9">
        <f>November!E41+D41</f>
        <v>38</v>
      </c>
      <c r="F41" s="16"/>
      <c r="G41" s="9">
        <f>November!G41+F41</f>
        <v>3</v>
      </c>
      <c r="H41" s="17"/>
      <c r="I41" s="9">
        <f>November!I41+H41</f>
        <v>0</v>
      </c>
      <c r="J41" s="18"/>
      <c r="K41" s="9">
        <f>November!K41+J41</f>
        <v>5</v>
      </c>
      <c r="L41" s="19"/>
      <c r="M41" s="9">
        <f>November!M41+L41</f>
        <v>0</v>
      </c>
      <c r="N41" s="32"/>
      <c r="O41" s="9">
        <f>November!O41+N41</f>
        <v>20</v>
      </c>
      <c r="P41" s="20"/>
      <c r="Q41" s="33"/>
      <c r="R41" s="9">
        <f>November!R41+Q41</f>
        <v>57</v>
      </c>
    </row>
    <row r="42" spans="1:18" ht="18" customHeight="1">
      <c r="A42" s="9" t="s">
        <v>46</v>
      </c>
      <c r="B42" s="14">
        <f>1+4+12+12+7</f>
        <v>36</v>
      </c>
      <c r="C42" s="9">
        <f>November!C42+B42</f>
        <v>55</v>
      </c>
      <c r="D42" s="15"/>
      <c r="E42" s="9">
        <f>November!E42+D42</f>
        <v>62</v>
      </c>
      <c r="F42" s="16"/>
      <c r="G42" s="9">
        <f>November!G42+F42</f>
        <v>15</v>
      </c>
      <c r="H42" s="17"/>
      <c r="I42" s="9">
        <f>November!I42+H42</f>
        <v>0</v>
      </c>
      <c r="J42" s="18"/>
      <c r="K42" s="9">
        <f>November!K42+J42</f>
        <v>9</v>
      </c>
      <c r="L42" s="19"/>
      <c r="M42" s="9">
        <f>November!M42+L42</f>
        <v>0</v>
      </c>
      <c r="N42" s="32"/>
      <c r="O42" s="9">
        <f>November!O42+N42</f>
        <v>16</v>
      </c>
      <c r="P42" s="20"/>
      <c r="Q42" s="33"/>
      <c r="R42" s="9">
        <f>November!R42+Q42</f>
        <v>0</v>
      </c>
    </row>
    <row r="43" spans="1:18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32"/>
      <c r="O43" s="9">
        <f>November!O43+N43</f>
        <v>0</v>
      </c>
      <c r="P43" s="20"/>
      <c r="Q43" s="33"/>
      <c r="R43" s="9">
        <f>November!R43+Q43</f>
        <v>0</v>
      </c>
    </row>
    <row r="44" spans="1:18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34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32"/>
      <c r="O44" s="9">
        <f>November!O44+N44</f>
        <v>0</v>
      </c>
      <c r="P44" s="20"/>
      <c r="Q44" s="33"/>
      <c r="R44" s="9">
        <f>November!R44+Q44</f>
        <v>0</v>
      </c>
    </row>
    <row r="45" spans="1:18" ht="18" customHeight="1">
      <c r="A45" s="9" t="s">
        <v>49</v>
      </c>
      <c r="B45" s="14"/>
      <c r="C45" s="9">
        <f>November!C45+B45</f>
        <v>2</v>
      </c>
      <c r="D45" s="15">
        <f>1+3+1+1</f>
        <v>6</v>
      </c>
      <c r="E45" s="9">
        <f>November!E45+D45</f>
        <v>739</v>
      </c>
      <c r="F45" s="16">
        <f>25+82+8+30+344+3+309+11</f>
        <v>812</v>
      </c>
      <c r="G45" s="9">
        <f>November!G45+F45</f>
        <v>10432</v>
      </c>
      <c r="H45" s="17">
        <f>138+173+83+288+173+360+18+25+564+202+646+164+240+17+487+155+512+361+504+1106+22+101+177+103+29</f>
        <v>6648</v>
      </c>
      <c r="I45" s="9">
        <f>November!I45+H45</f>
        <v>21525</v>
      </c>
      <c r="J45" s="18">
        <f>5+84</f>
        <v>89</v>
      </c>
      <c r="K45" s="9">
        <f>November!K45+J45</f>
        <v>650</v>
      </c>
      <c r="L45" s="19">
        <f>5+23+9+3+7+29+22</f>
        <v>98</v>
      </c>
      <c r="M45" s="9">
        <f>November!M45+L45</f>
        <v>4525</v>
      </c>
      <c r="N45" s="32"/>
      <c r="O45" s="9">
        <f>November!O45+N45</f>
        <v>0</v>
      </c>
      <c r="P45" s="20"/>
      <c r="Q45" s="33"/>
      <c r="R45" s="9">
        <f>November!R45+Q45</f>
        <v>0</v>
      </c>
    </row>
    <row r="46" spans="1:18" ht="18" customHeight="1">
      <c r="A46" s="9" t="s">
        <v>50</v>
      </c>
      <c r="B46" s="14"/>
      <c r="C46" s="9">
        <f>November!C46+B46</f>
        <v>1</v>
      </c>
      <c r="D46" s="15"/>
      <c r="E46" s="9">
        <f>November!E46+D46</f>
        <v>72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32"/>
      <c r="O46" s="9">
        <f>November!O46+N46</f>
        <v>2</v>
      </c>
      <c r="P46" s="20"/>
      <c r="Q46" s="33"/>
      <c r="R46" s="9">
        <f>November!R46+Q46</f>
        <v>0</v>
      </c>
    </row>
    <row r="47" spans="1:18" ht="18" customHeight="1">
      <c r="A47" s="9" t="s">
        <v>51</v>
      </c>
      <c r="B47" s="14"/>
      <c r="C47" s="9">
        <f>November!C47+B47</f>
        <v>8</v>
      </c>
      <c r="D47" s="15">
        <f>2+16+1</f>
        <v>19</v>
      </c>
      <c r="E47" s="9">
        <f>November!E47+D47</f>
        <v>385</v>
      </c>
      <c r="F47" s="16"/>
      <c r="G47" s="9">
        <f>November!G47+F47</f>
        <v>33</v>
      </c>
      <c r="H47" s="17"/>
      <c r="I47" s="9">
        <f>November!I47+H47</f>
        <v>1753</v>
      </c>
      <c r="J47" s="18"/>
      <c r="K47" s="9">
        <f>November!K47+J47</f>
        <v>222</v>
      </c>
      <c r="L47" s="19"/>
      <c r="M47" s="9">
        <f>November!M47+L47</f>
        <v>0</v>
      </c>
      <c r="N47" s="32"/>
      <c r="O47" s="9">
        <f>November!O47+N47</f>
        <v>41</v>
      </c>
      <c r="P47" s="20"/>
      <c r="Q47" s="33"/>
      <c r="R47" s="9">
        <f>November!R47+Q47</f>
        <v>0</v>
      </c>
    </row>
    <row r="48" spans="1:18" ht="18" customHeight="1">
      <c r="A48" s="9" t="s">
        <v>52</v>
      </c>
      <c r="B48" s="14"/>
      <c r="C48" s="9">
        <f>November!C48+B48</f>
        <v>3</v>
      </c>
      <c r="D48" s="15"/>
      <c r="E48" s="9">
        <f>November!E48+D48</f>
        <v>36</v>
      </c>
      <c r="F48" s="16"/>
      <c r="G48" s="9">
        <f>November!G48+F48</f>
        <v>8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32"/>
      <c r="O48" s="9">
        <f>November!O48+N48</f>
        <v>0</v>
      </c>
      <c r="P48" s="20"/>
      <c r="Q48" s="33"/>
      <c r="R48" s="9">
        <f>November!R48+Q48</f>
        <v>0</v>
      </c>
    </row>
    <row r="49" spans="1:18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32"/>
      <c r="O49" s="9">
        <f>November!O49+N49</f>
        <v>0</v>
      </c>
      <c r="P49" s="20"/>
      <c r="Q49" s="33"/>
      <c r="R49" s="9">
        <f>November!R49+Q49</f>
        <v>0</v>
      </c>
    </row>
    <row r="50" spans="1:18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5</v>
      </c>
      <c r="F50" s="16"/>
      <c r="G50" s="9">
        <f>November!G50+F50</f>
        <v>5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32"/>
      <c r="O50" s="9">
        <f>November!O50+N50</f>
        <v>6</v>
      </c>
      <c r="P50" s="20"/>
      <c r="Q50" s="33"/>
      <c r="R50" s="9">
        <f>November!R50+Q50</f>
        <v>0</v>
      </c>
    </row>
    <row r="51" spans="1:18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37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32"/>
      <c r="O51" s="9">
        <f>November!O51+N51</f>
        <v>2</v>
      </c>
      <c r="P51" s="20"/>
      <c r="Q51" s="33"/>
      <c r="R51" s="9">
        <f>November!R51+Q51</f>
        <v>0</v>
      </c>
    </row>
    <row r="52" spans="1:18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5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32"/>
      <c r="O52" s="9">
        <f>November!O52+N52</f>
        <v>0</v>
      </c>
      <c r="P52" s="20"/>
      <c r="Q52" s="33"/>
      <c r="R52" s="9">
        <f>November!R52+Q52</f>
        <v>0</v>
      </c>
    </row>
    <row r="53" spans="1:20" ht="18" customHeight="1">
      <c r="A53" s="9" t="s">
        <v>57</v>
      </c>
      <c r="B53" s="14"/>
      <c r="C53" s="9">
        <f>November!C53+B53</f>
        <v>18</v>
      </c>
      <c r="D53" s="15"/>
      <c r="E53" s="9">
        <f>November!E53+D53</f>
        <v>1279</v>
      </c>
      <c r="F53" s="16">
        <f>2</f>
        <v>2</v>
      </c>
      <c r="G53" s="9">
        <f>November!G53+F53</f>
        <v>241</v>
      </c>
      <c r="H53" s="17"/>
      <c r="I53" s="9">
        <f>November!I53+H53</f>
        <v>0</v>
      </c>
      <c r="J53" s="18"/>
      <c r="K53" s="9">
        <f>November!K53+J53</f>
        <v>142</v>
      </c>
      <c r="L53" s="19"/>
      <c r="M53" s="9">
        <f>November!M53+L53</f>
        <v>0</v>
      </c>
      <c r="N53" s="32"/>
      <c r="O53" s="9">
        <f>November!O53+N53</f>
        <v>162</v>
      </c>
      <c r="P53" s="20"/>
      <c r="Q53" s="33">
        <v>990</v>
      </c>
      <c r="R53" s="9">
        <f>November!R53+Q53</f>
        <v>4775</v>
      </c>
      <c r="S53" s="2" t="s">
        <v>127</v>
      </c>
      <c r="T53" s="2" t="s">
        <v>128</v>
      </c>
    </row>
    <row r="54" spans="1:18" ht="18" customHeight="1" thickBot="1">
      <c r="A54" s="10" t="s">
        <v>58</v>
      </c>
      <c r="B54" s="14"/>
      <c r="C54" s="9">
        <f>November!C54+B54</f>
        <v>0</v>
      </c>
      <c r="D54" s="15">
        <f>2</f>
        <v>2</v>
      </c>
      <c r="E54" s="9">
        <f>November!E54+D54</f>
        <v>148</v>
      </c>
      <c r="F54" s="16"/>
      <c r="G54" s="9">
        <f>November!G54+F54</f>
        <v>2503</v>
      </c>
      <c r="H54" s="17"/>
      <c r="I54" s="9">
        <f>November!I54+H54</f>
        <v>0</v>
      </c>
      <c r="J54" s="18"/>
      <c r="K54" s="9">
        <f>November!K54+J54</f>
        <v>2</v>
      </c>
      <c r="L54" s="19"/>
      <c r="M54" s="9">
        <f>November!M54+L54</f>
        <v>0</v>
      </c>
      <c r="N54" s="32"/>
      <c r="O54" s="9">
        <f>November!O54+N54</f>
        <v>0</v>
      </c>
      <c r="P54" s="20"/>
      <c r="Q54" s="34"/>
      <c r="R54" s="9">
        <f>November!R54+Q54</f>
        <v>0</v>
      </c>
    </row>
    <row r="55" spans="1:18" ht="18" customHeight="1" thickBot="1" thickTop="1">
      <c r="A55" s="11" t="s">
        <v>59</v>
      </c>
      <c r="B55" s="11">
        <f>SUM(B5:B54)</f>
        <v>86</v>
      </c>
      <c r="C55" s="11"/>
      <c r="D55" s="11">
        <f>SUM(D5:D54)</f>
        <v>80</v>
      </c>
      <c r="E55" s="11"/>
      <c r="F55" s="11">
        <f>SUM(F5:F54)</f>
        <v>2253</v>
      </c>
      <c r="G55" s="11"/>
      <c r="H55" s="11">
        <f>SUM(H5:H54)</f>
        <v>6648</v>
      </c>
      <c r="I55" s="11"/>
      <c r="J55" s="11">
        <f>SUM(J5:J54)</f>
        <v>181</v>
      </c>
      <c r="K55" s="11"/>
      <c r="L55" s="11">
        <f>SUM(L5:L54)</f>
        <v>143</v>
      </c>
      <c r="M55" s="11"/>
      <c r="N55" s="11">
        <f>SUM(N5:N54)</f>
        <v>4</v>
      </c>
      <c r="O55" s="11"/>
      <c r="Q55" s="11">
        <f>SUM(Q5:Q54)</f>
        <v>745280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November!C57+B55</f>
        <v>418</v>
      </c>
      <c r="D57" s="11"/>
      <c r="E57" s="11">
        <f>November!E57+D55</f>
        <v>9030</v>
      </c>
      <c r="F57" s="11"/>
      <c r="G57" s="11">
        <f>November!G57+F55</f>
        <v>33292</v>
      </c>
      <c r="H57" s="11"/>
      <c r="I57" s="11">
        <f>November!I57+H55</f>
        <v>26000</v>
      </c>
      <c r="J57" s="11"/>
      <c r="K57" s="11">
        <f>November!K57+J55</f>
        <v>2852</v>
      </c>
      <c r="L57" s="11"/>
      <c r="M57" s="11">
        <f>November!M57+L55</f>
        <v>4809</v>
      </c>
      <c r="N57" s="11"/>
      <c r="O57" s="11">
        <f>November!O57+N55</f>
        <v>573</v>
      </c>
      <c r="Q57" s="23"/>
      <c r="R57" s="11">
        <f>November!R57+Q55</f>
        <v>4115675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Q3:R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8" width="9.00390625" style="2" customWidth="1"/>
    <col min="19" max="21" width="9.125" style="2" customWidth="1"/>
    <col min="22" max="16384" width="9.00390625" style="2" customWidth="1"/>
  </cols>
  <sheetData>
    <row r="1" spans="1:10" ht="23.25">
      <c r="A1" s="1" t="s">
        <v>78</v>
      </c>
      <c r="H1" s="2" t="s">
        <v>65</v>
      </c>
      <c r="J1" s="2" t="s">
        <v>79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39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47"/>
      <c r="J3" s="50" t="s">
        <v>4</v>
      </c>
      <c r="K3" s="51"/>
      <c r="L3" s="46" t="s">
        <v>63</v>
      </c>
      <c r="M3" s="52"/>
      <c r="N3" s="54" t="s">
        <v>76</v>
      </c>
      <c r="O3" s="55"/>
      <c r="P3" s="8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January!C5+B5</f>
        <v>0</v>
      </c>
      <c r="D5" s="15"/>
      <c r="E5" s="9">
        <f>January!E5+D5</f>
        <v>1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2"/>
      <c r="O5" s="24">
        <f>January!O5+N5</f>
        <v>0</v>
      </c>
      <c r="P5" s="20"/>
      <c r="Q5" s="33"/>
      <c r="R5" s="24">
        <f>January!R5+Q5</f>
        <v>0</v>
      </c>
    </row>
    <row r="6" spans="1:18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2"/>
      <c r="O6" s="24">
        <f>January!O6+N6</f>
        <v>0</v>
      </c>
      <c r="P6" s="20"/>
      <c r="Q6" s="33"/>
      <c r="R6" s="24">
        <f>January!R6+Q6</f>
        <v>0</v>
      </c>
    </row>
    <row r="7" spans="1:18" ht="18" customHeight="1">
      <c r="A7" s="9" t="s">
        <v>11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2"/>
      <c r="O7" s="24">
        <f>January!O7+N7</f>
        <v>0</v>
      </c>
      <c r="P7" s="20"/>
      <c r="Q7" s="33"/>
      <c r="R7" s="24">
        <f>January!R7+Q7</f>
        <v>0</v>
      </c>
    </row>
    <row r="8" spans="1:18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2"/>
      <c r="O8" s="24">
        <f>January!O8+N8</f>
        <v>0</v>
      </c>
      <c r="P8" s="20"/>
      <c r="Q8" s="33"/>
      <c r="R8" s="24">
        <f>January!R8+Q8</f>
        <v>0</v>
      </c>
    </row>
    <row r="9" spans="1:18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2"/>
      <c r="O9" s="24">
        <f>January!O9+N9</f>
        <v>0</v>
      </c>
      <c r="P9" s="20"/>
      <c r="Q9" s="33"/>
      <c r="R9" s="24">
        <f>January!R9+Q9</f>
        <v>0</v>
      </c>
    </row>
    <row r="10" spans="1:20" ht="18" customHeight="1">
      <c r="A10" s="9" t="s">
        <v>14</v>
      </c>
      <c r="B10" s="14"/>
      <c r="C10" s="9">
        <f>January!C10+B10</f>
        <v>0</v>
      </c>
      <c r="D10" s="15">
        <f>1+2+4</f>
        <v>7</v>
      </c>
      <c r="E10" s="9">
        <f>January!E10+D10</f>
        <v>15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2"/>
      <c r="O10" s="24">
        <f>January!O10+N10</f>
        <v>0</v>
      </c>
      <c r="P10" s="20"/>
      <c r="Q10" s="33">
        <f>14400+25500+24800+24800+18000+16500+16900+25900+14400+7650+22600+19890</f>
        <v>231340</v>
      </c>
      <c r="R10" s="24">
        <f>January!R10+Q10</f>
        <v>385935</v>
      </c>
      <c r="S10" s="2" t="s">
        <v>91</v>
      </c>
      <c r="T10" s="2" t="s">
        <v>92</v>
      </c>
    </row>
    <row r="11" spans="1:18" ht="18" customHeight="1">
      <c r="A11" s="9" t="s">
        <v>15</v>
      </c>
      <c r="B11" s="14"/>
      <c r="C11" s="9">
        <f>January!C11+B11</f>
        <v>0</v>
      </c>
      <c r="D11" s="15">
        <v>3</v>
      </c>
      <c r="E11" s="9">
        <f>January!E11+D11</f>
        <v>5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2"/>
      <c r="O11" s="24">
        <f>January!O11+N11</f>
        <v>0</v>
      </c>
      <c r="P11" s="20"/>
      <c r="Q11" s="33"/>
      <c r="R11" s="24">
        <f>January!R11+Q11</f>
        <v>0</v>
      </c>
    </row>
    <row r="12" spans="1:18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2"/>
      <c r="O12" s="24">
        <f>January!O12+N12</f>
        <v>0</v>
      </c>
      <c r="P12" s="20"/>
      <c r="Q12" s="33"/>
      <c r="R12" s="24">
        <f>January!R12+Q12</f>
        <v>22</v>
      </c>
    </row>
    <row r="13" spans="1:18" ht="18" customHeight="1">
      <c r="A13" s="9" t="s">
        <v>17</v>
      </c>
      <c r="B13" s="14"/>
      <c r="C13" s="9">
        <f>January!C13+B13</f>
        <v>0</v>
      </c>
      <c r="D13" s="15">
        <f>1</f>
        <v>1</v>
      </c>
      <c r="E13" s="9">
        <f>January!E13+D13</f>
        <v>1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2"/>
      <c r="O13" s="24">
        <f>January!O13+N13</f>
        <v>0</v>
      </c>
      <c r="P13" s="20"/>
      <c r="Q13" s="33"/>
      <c r="R13" s="24">
        <f>January!R13+Q13</f>
        <v>0</v>
      </c>
    </row>
    <row r="14" spans="1:18" ht="18" customHeight="1">
      <c r="A14" s="9" t="s">
        <v>18</v>
      </c>
      <c r="B14" s="14"/>
      <c r="C14" s="9">
        <f>January!C14+B14</f>
        <v>0</v>
      </c>
      <c r="D14" s="15">
        <f>3+1+1</f>
        <v>5</v>
      </c>
      <c r="E14" s="9">
        <f>January!E14+D14</f>
        <v>12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2"/>
      <c r="O14" s="24">
        <f>January!O14+N14</f>
        <v>0</v>
      </c>
      <c r="P14" s="20"/>
      <c r="Q14" s="33"/>
      <c r="R14" s="24">
        <f>January!R14+Q14</f>
        <v>0</v>
      </c>
    </row>
    <row r="15" spans="1:23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2"/>
      <c r="O15" s="24">
        <f>January!O15+N15</f>
        <v>0</v>
      </c>
      <c r="P15" s="20"/>
      <c r="Q15" s="33"/>
      <c r="R15" s="24">
        <f>January!R15+Q15</f>
        <v>0</v>
      </c>
      <c r="S15" s="40"/>
      <c r="T15" s="41"/>
      <c r="U15" s="41"/>
      <c r="V15" s="38"/>
      <c r="W15" s="39"/>
    </row>
    <row r="16" spans="1:23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2"/>
      <c r="O16" s="24">
        <f>January!O16+N16</f>
        <v>0</v>
      </c>
      <c r="P16" s="20"/>
      <c r="Q16" s="33"/>
      <c r="R16" s="24">
        <f>January!R16+Q16</f>
        <v>0</v>
      </c>
      <c r="S16" s="38"/>
      <c r="T16" s="38"/>
      <c r="U16"/>
      <c r="V16" s="36"/>
      <c r="W16" s="42"/>
    </row>
    <row r="17" spans="1:23" ht="18" customHeight="1">
      <c r="A17" s="9" t="s">
        <v>21</v>
      </c>
      <c r="B17" s="14"/>
      <c r="C17" s="9">
        <f>January!C17+B17</f>
        <v>0</v>
      </c>
      <c r="D17" s="15"/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2"/>
      <c r="O17" s="24">
        <f>January!O17+N17</f>
        <v>0</v>
      </c>
      <c r="P17" s="20"/>
      <c r="Q17" s="33"/>
      <c r="R17" s="24">
        <f>January!R17+Q17</f>
        <v>0</v>
      </c>
      <c r="S17" s="41"/>
      <c r="T17" s="41"/>
      <c r="U17" s="36"/>
      <c r="V17" s="38"/>
      <c r="W17" s="37"/>
    </row>
    <row r="18" spans="1:23" ht="18" customHeight="1">
      <c r="A18" s="9" t="s">
        <v>22</v>
      </c>
      <c r="B18" s="14"/>
      <c r="C18" s="9">
        <f>January!C18+B18</f>
        <v>0</v>
      </c>
      <c r="D18" s="15"/>
      <c r="E18" s="9">
        <f>January!E18+D18</f>
        <v>4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2"/>
      <c r="O18" s="24">
        <f>January!O18+N18</f>
        <v>0</v>
      </c>
      <c r="P18" s="20"/>
      <c r="Q18" s="33"/>
      <c r="R18" s="24">
        <f>January!R18+Q18</f>
        <v>0</v>
      </c>
      <c r="S18" s="38"/>
      <c r="T18" s="38"/>
      <c r="U18"/>
      <c r="V18" s="36"/>
      <c r="W18" s="42"/>
    </row>
    <row r="19" spans="1:18" ht="18" customHeight="1">
      <c r="A19" s="9" t="s">
        <v>23</v>
      </c>
      <c r="B19" s="14"/>
      <c r="C19" s="9">
        <f>January!C19+B19</f>
        <v>1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2"/>
      <c r="O19" s="24">
        <f>January!O19+N19</f>
        <v>0</v>
      </c>
      <c r="P19" s="20"/>
      <c r="Q19" s="33"/>
      <c r="R19" s="24">
        <f>January!R19+Q19</f>
        <v>0</v>
      </c>
    </row>
    <row r="20" spans="1:18" ht="18" customHeight="1">
      <c r="A20" s="9" t="s">
        <v>24</v>
      </c>
      <c r="B20" s="14"/>
      <c r="C20" s="9">
        <f>January!C20+B20</f>
        <v>0</v>
      </c>
      <c r="D20" s="15">
        <f>1+1+1</f>
        <v>3</v>
      </c>
      <c r="E20" s="9">
        <f>January!E20+D20</f>
        <v>3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2"/>
      <c r="O20" s="24">
        <f>January!O20+N20</f>
        <v>0</v>
      </c>
      <c r="P20" s="20"/>
      <c r="Q20" s="33"/>
      <c r="R20" s="24">
        <f>January!R20+Q20</f>
        <v>0</v>
      </c>
    </row>
    <row r="21" spans="1:18" ht="18" customHeight="1">
      <c r="A21" s="9" t="s">
        <v>25</v>
      </c>
      <c r="B21" s="14"/>
      <c r="C21" s="9">
        <f>January!C21+B21</f>
        <v>0</v>
      </c>
      <c r="D21" s="15">
        <f>1</f>
        <v>1</v>
      </c>
      <c r="E21" s="9">
        <f>January!E21+D21</f>
        <v>2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2"/>
      <c r="O21" s="24">
        <f>January!O21+N21</f>
        <v>0</v>
      </c>
      <c r="P21" s="20"/>
      <c r="Q21" s="33"/>
      <c r="R21" s="24">
        <f>January!R21+Q21</f>
        <v>0</v>
      </c>
    </row>
    <row r="22" spans="1:18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2"/>
      <c r="O22" s="24">
        <f>January!O22+N22</f>
        <v>0</v>
      </c>
      <c r="P22" s="20"/>
      <c r="Q22" s="33"/>
      <c r="R22" s="24">
        <f>January!R22+Q22</f>
        <v>0</v>
      </c>
    </row>
    <row r="23" spans="1:18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2"/>
      <c r="O23" s="24">
        <f>January!O23+N23</f>
        <v>0</v>
      </c>
      <c r="P23" s="20"/>
      <c r="Q23" s="33"/>
      <c r="R23" s="24">
        <f>January!R23+Q23</f>
        <v>0</v>
      </c>
    </row>
    <row r="24" spans="1:18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2"/>
      <c r="O24" s="24">
        <f>January!O24+N24</f>
        <v>0</v>
      </c>
      <c r="P24" s="20"/>
      <c r="Q24" s="33"/>
      <c r="R24" s="24">
        <f>January!R24+Q24</f>
        <v>0</v>
      </c>
    </row>
    <row r="25" spans="1:18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2"/>
      <c r="O25" s="24">
        <f>January!O25+N25</f>
        <v>0</v>
      </c>
      <c r="P25" s="20"/>
      <c r="Q25" s="33"/>
      <c r="R25" s="24">
        <f>January!R25+Q25</f>
        <v>0</v>
      </c>
    </row>
    <row r="26" spans="1:18" ht="18" customHeight="1">
      <c r="A26" s="9" t="s">
        <v>30</v>
      </c>
      <c r="B26" s="14"/>
      <c r="C26" s="9">
        <f>January!C26+B26</f>
        <v>0</v>
      </c>
      <c r="D26" s="15">
        <f>1+1+1</f>
        <v>3</v>
      </c>
      <c r="E26" s="9">
        <f>January!E26+D26</f>
        <v>5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2"/>
      <c r="O26" s="24">
        <f>January!O26+N26</f>
        <v>0</v>
      </c>
      <c r="P26" s="20"/>
      <c r="Q26" s="33"/>
      <c r="R26" s="24">
        <f>January!R26+Q26</f>
        <v>0</v>
      </c>
    </row>
    <row r="27" spans="1:18" ht="18" customHeight="1">
      <c r="A27" s="9" t="s">
        <v>31</v>
      </c>
      <c r="B27" s="14"/>
      <c r="C27" s="9">
        <f>January!C27+B27</f>
        <v>3</v>
      </c>
      <c r="D27" s="15">
        <f>6</f>
        <v>6</v>
      </c>
      <c r="E27" s="9">
        <f>January!E27+D27</f>
        <v>8</v>
      </c>
      <c r="F27" s="16">
        <f>14+4</f>
        <v>18</v>
      </c>
      <c r="G27" s="9">
        <f>January!G27+F27</f>
        <v>23</v>
      </c>
      <c r="H27" s="17"/>
      <c r="I27" s="9">
        <f>January!I27+H27</f>
        <v>0</v>
      </c>
      <c r="J27" s="18">
        <f>81+81</f>
        <v>162</v>
      </c>
      <c r="K27" s="9">
        <f>January!K27+J27</f>
        <v>162</v>
      </c>
      <c r="L27" s="19"/>
      <c r="M27" s="9">
        <f>January!M27+L27</f>
        <v>0</v>
      </c>
      <c r="N27" s="32"/>
      <c r="O27" s="24">
        <f>January!O27+N27</f>
        <v>0</v>
      </c>
      <c r="P27" s="20"/>
      <c r="Q27" s="33"/>
      <c r="R27" s="24">
        <f>January!R27+Q27</f>
        <v>0</v>
      </c>
    </row>
    <row r="28" spans="1:18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2"/>
      <c r="O28" s="24">
        <f>January!O28+N28</f>
        <v>0</v>
      </c>
      <c r="P28" s="20"/>
      <c r="Q28" s="33"/>
      <c r="R28" s="24">
        <f>January!R28+Q28</f>
        <v>0</v>
      </c>
    </row>
    <row r="29" spans="1:18" ht="18" customHeight="1">
      <c r="A29" s="9" t="s">
        <v>33</v>
      </c>
      <c r="B29" s="14"/>
      <c r="C29" s="9">
        <f>January!C29+B29</f>
        <v>5</v>
      </c>
      <c r="D29" s="15">
        <f>2+3</f>
        <v>5</v>
      </c>
      <c r="E29" s="9">
        <f>January!E29+D29</f>
        <v>9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22</v>
      </c>
      <c r="L29" s="19"/>
      <c r="M29" s="9">
        <f>January!M29+L29</f>
        <v>0</v>
      </c>
      <c r="N29" s="32"/>
      <c r="O29" s="24">
        <f>January!O29+N29</f>
        <v>0</v>
      </c>
      <c r="P29" s="20"/>
      <c r="Q29" s="33"/>
      <c r="R29" s="24">
        <f>January!R29+Q29</f>
        <v>0</v>
      </c>
    </row>
    <row r="30" spans="1:18" ht="18" customHeight="1">
      <c r="A30" s="9" t="s">
        <v>34</v>
      </c>
      <c r="B30" s="14"/>
      <c r="C30" s="9">
        <f>January!C30+B30</f>
        <v>0</v>
      </c>
      <c r="D30" s="15">
        <f>1+1+3+1+2+1+3</f>
        <v>12</v>
      </c>
      <c r="E30" s="9">
        <f>January!E30+D30</f>
        <v>12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2"/>
      <c r="O30" s="24">
        <f>January!O30+N30</f>
        <v>0</v>
      </c>
      <c r="P30" s="20"/>
      <c r="Q30" s="33"/>
      <c r="R30" s="24">
        <f>January!R30+Q30</f>
        <v>0</v>
      </c>
    </row>
    <row r="31" spans="1:18" ht="18" customHeight="1">
      <c r="A31" s="9" t="s">
        <v>35</v>
      </c>
      <c r="B31" s="14"/>
      <c r="C31" s="9">
        <f>January!C31+B31</f>
        <v>0</v>
      </c>
      <c r="D31" s="15">
        <f>1+1+4</f>
        <v>6</v>
      </c>
      <c r="E31" s="9">
        <f>January!E31+D31</f>
        <v>14</v>
      </c>
      <c r="F31" s="16"/>
      <c r="G31" s="9">
        <f>January!G31+F31</f>
        <v>15</v>
      </c>
      <c r="H31" s="17"/>
      <c r="I31" s="9">
        <f>January!I31+H31</f>
        <v>97</v>
      </c>
      <c r="J31" s="18"/>
      <c r="K31" s="9">
        <f>January!K31+J31</f>
        <v>6</v>
      </c>
      <c r="L31" s="19"/>
      <c r="M31" s="9">
        <f>January!M31+L31</f>
        <v>100</v>
      </c>
      <c r="N31" s="32"/>
      <c r="O31" s="24">
        <f>January!O31+N31</f>
        <v>0</v>
      </c>
      <c r="P31" s="20"/>
      <c r="Q31" s="33"/>
      <c r="R31" s="24">
        <f>January!R31+Q31</f>
        <v>0</v>
      </c>
    </row>
    <row r="32" spans="1:18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1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2"/>
      <c r="O32" s="24">
        <f>January!O32+N32</f>
        <v>0</v>
      </c>
      <c r="P32" s="20"/>
      <c r="Q32" s="33"/>
      <c r="R32" s="24">
        <f>January!R32+Q32</f>
        <v>0</v>
      </c>
    </row>
    <row r="33" spans="1:18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2"/>
      <c r="O33" s="24">
        <f>January!O33+N33</f>
        <v>0</v>
      </c>
      <c r="P33" s="20"/>
      <c r="Q33" s="33"/>
      <c r="R33" s="24">
        <f>January!R33+Q33</f>
        <v>0</v>
      </c>
    </row>
    <row r="34" spans="1:18" ht="18" customHeight="1">
      <c r="A34" s="9" t="s">
        <v>38</v>
      </c>
      <c r="B34" s="14"/>
      <c r="C34" s="9">
        <f>January!C34+B34</f>
        <v>0</v>
      </c>
      <c r="D34" s="15"/>
      <c r="E34" s="9">
        <f>January!E34+D34</f>
        <v>0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2"/>
      <c r="O34" s="24">
        <f>January!O34+N34</f>
        <v>0</v>
      </c>
      <c r="P34" s="20"/>
      <c r="Q34" s="33"/>
      <c r="R34" s="24">
        <f>January!R34+Q34</f>
        <v>0</v>
      </c>
    </row>
    <row r="35" spans="1:18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1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2"/>
      <c r="O35" s="24">
        <f>January!O35+N35</f>
        <v>3</v>
      </c>
      <c r="P35" s="20"/>
      <c r="Q35" s="33"/>
      <c r="R35" s="24">
        <f>January!R35+Q35</f>
        <v>0</v>
      </c>
    </row>
    <row r="36" spans="1:20" ht="18" customHeight="1">
      <c r="A36" s="9" t="s">
        <v>40</v>
      </c>
      <c r="B36" s="14"/>
      <c r="C36" s="9">
        <f>January!C36+B36</f>
        <v>0</v>
      </c>
      <c r="D36" s="15">
        <f>1</f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2"/>
      <c r="O36" s="24">
        <f>January!O36+N36</f>
        <v>0</v>
      </c>
      <c r="P36" s="20"/>
      <c r="Q36" s="33">
        <f>27360+14400</f>
        <v>41760</v>
      </c>
      <c r="R36" s="24">
        <f>January!R36+Q36</f>
        <v>129960</v>
      </c>
      <c r="S36" s="2" t="s">
        <v>90</v>
      </c>
      <c r="T36" s="2" t="s">
        <v>90</v>
      </c>
    </row>
    <row r="37" spans="1:18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2"/>
      <c r="O37" s="24">
        <f>January!O37+N37</f>
        <v>0</v>
      </c>
      <c r="P37" s="20"/>
      <c r="Q37" s="33"/>
      <c r="R37" s="24">
        <f>January!R37+Q37</f>
        <v>50000</v>
      </c>
    </row>
    <row r="38" spans="1:18" ht="18" customHeight="1">
      <c r="A38" s="9" t="s">
        <v>42</v>
      </c>
      <c r="B38" s="14"/>
      <c r="C38" s="9">
        <f>January!C38+B38</f>
        <v>0</v>
      </c>
      <c r="D38" s="15">
        <f>1</f>
        <v>1</v>
      </c>
      <c r="E38" s="9">
        <f>January!E38+D38</f>
        <v>4</v>
      </c>
      <c r="F38" s="16">
        <f>173</f>
        <v>173</v>
      </c>
      <c r="G38" s="9">
        <f>January!G38+F38</f>
        <v>281</v>
      </c>
      <c r="H38" s="17"/>
      <c r="I38" s="9">
        <f>January!I38+H38</f>
        <v>226</v>
      </c>
      <c r="J38" s="18">
        <f>12</f>
        <v>12</v>
      </c>
      <c r="K38" s="9">
        <f>January!K38+J38</f>
        <v>12</v>
      </c>
      <c r="L38" s="19"/>
      <c r="M38" s="9">
        <f>January!M38+L38</f>
        <v>0</v>
      </c>
      <c r="N38" s="32"/>
      <c r="O38" s="24">
        <f>January!O38+N38</f>
        <v>0</v>
      </c>
      <c r="P38" s="20"/>
      <c r="Q38" s="33"/>
      <c r="R38" s="24">
        <f>January!R38+Q38</f>
        <v>0</v>
      </c>
    </row>
    <row r="39" spans="1:18" ht="18" customHeight="1">
      <c r="A39" s="9" t="s">
        <v>43</v>
      </c>
      <c r="B39" s="14">
        <f>1</f>
        <v>1</v>
      </c>
      <c r="C39" s="9">
        <f>January!C39+B39</f>
        <v>1</v>
      </c>
      <c r="D39" s="15"/>
      <c r="E39" s="9">
        <f>January!E39+D39</f>
        <v>0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2"/>
      <c r="O39" s="24">
        <f>January!O39+N39</f>
        <v>0</v>
      </c>
      <c r="P39" s="20"/>
      <c r="Q39" s="33"/>
      <c r="R39" s="24">
        <f>January!R39+Q39</f>
        <v>0</v>
      </c>
    </row>
    <row r="40" spans="1:18" ht="18" customHeight="1">
      <c r="A40" s="9" t="s">
        <v>44</v>
      </c>
      <c r="B40" s="14"/>
      <c r="C40" s="9">
        <f>January!C40+B40</f>
        <v>0</v>
      </c>
      <c r="D40" s="15">
        <f>1+5</f>
        <v>6</v>
      </c>
      <c r="E40" s="9">
        <f>January!E40+D40</f>
        <v>9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2"/>
      <c r="O40" s="24">
        <f>January!O40+N40</f>
        <v>0</v>
      </c>
      <c r="P40" s="20"/>
      <c r="Q40" s="33"/>
      <c r="R40" s="24">
        <f>January!R40+Q40</f>
        <v>0</v>
      </c>
    </row>
    <row r="41" spans="1:18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1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2"/>
      <c r="O41" s="24">
        <f>January!O41+N41</f>
        <v>0</v>
      </c>
      <c r="P41" s="20"/>
      <c r="Q41" s="33"/>
      <c r="R41" s="24">
        <f>January!R41+Q41</f>
        <v>0</v>
      </c>
    </row>
    <row r="42" spans="1:23" ht="18" customHeight="1">
      <c r="A42" s="9" t="s">
        <v>46</v>
      </c>
      <c r="B42" s="14">
        <f>1</f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2"/>
      <c r="O42" s="24">
        <f>January!O42+N42</f>
        <v>0</v>
      </c>
      <c r="P42" s="20"/>
      <c r="Q42" s="33"/>
      <c r="R42" s="24">
        <f>January!R42+Q42</f>
        <v>0</v>
      </c>
      <c r="S42" s="4"/>
      <c r="T42" s="4"/>
      <c r="U42" s="4"/>
      <c r="W42" s="4"/>
    </row>
    <row r="43" spans="1:18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2"/>
      <c r="O43" s="24">
        <f>January!O43+N43</f>
        <v>0</v>
      </c>
      <c r="P43" s="20"/>
      <c r="Q43" s="33"/>
      <c r="R43" s="24">
        <f>January!R43+Q43</f>
        <v>0</v>
      </c>
    </row>
    <row r="44" spans="1:18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2"/>
      <c r="O44" s="24">
        <f>January!O44+N44</f>
        <v>0</v>
      </c>
      <c r="P44" s="20"/>
      <c r="Q44" s="33"/>
      <c r="R44" s="24">
        <f>January!R44+Q44</f>
        <v>0</v>
      </c>
    </row>
    <row r="45" spans="1:18" ht="18" customHeight="1">
      <c r="A45" s="9" t="s">
        <v>49</v>
      </c>
      <c r="B45" s="14"/>
      <c r="C45" s="9">
        <f>January!C45+B45</f>
        <v>0</v>
      </c>
      <c r="D45" s="15">
        <f>1+1+1+11+4+3+1</f>
        <v>22</v>
      </c>
      <c r="E45" s="9">
        <f>January!E45+D45</f>
        <v>26</v>
      </c>
      <c r="F45" s="16">
        <f>6+21+42+2</f>
        <v>71</v>
      </c>
      <c r="G45" s="9">
        <f>January!G45+F45</f>
        <v>927</v>
      </c>
      <c r="H45" s="17">
        <f>83+73+190+99+154+18+96+29+128+24+16+39+210+34+177+52</f>
        <v>1422</v>
      </c>
      <c r="I45" s="9">
        <f>January!I45+H45</f>
        <v>5571</v>
      </c>
      <c r="J45" s="18"/>
      <c r="K45" s="9">
        <f>January!K45+J45</f>
        <v>172</v>
      </c>
      <c r="L45" s="19">
        <f>16+22+10+36+86+73+6+13+69+15+62+10+30</f>
        <v>448</v>
      </c>
      <c r="M45" s="9">
        <f>January!M45+L45</f>
        <v>3174</v>
      </c>
      <c r="N45" s="32"/>
      <c r="O45" s="24">
        <f>January!O45+N45</f>
        <v>0</v>
      </c>
      <c r="P45" s="20"/>
      <c r="Q45" s="33"/>
      <c r="R45" s="24">
        <f>January!R45+Q45</f>
        <v>0</v>
      </c>
    </row>
    <row r="46" spans="1:18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1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2"/>
      <c r="O46" s="24">
        <f>January!O46+N46</f>
        <v>0</v>
      </c>
      <c r="P46" s="20"/>
      <c r="Q46" s="33"/>
      <c r="R46" s="24">
        <f>January!R46+Q46</f>
        <v>0</v>
      </c>
    </row>
    <row r="47" spans="1:23" ht="18" customHeight="1">
      <c r="A47" s="9" t="s">
        <v>51</v>
      </c>
      <c r="B47" s="14"/>
      <c r="C47" s="9">
        <f>January!C47+B47</f>
        <v>0</v>
      </c>
      <c r="D47" s="15">
        <f>1+2</f>
        <v>3</v>
      </c>
      <c r="E47" s="9">
        <f>January!E47+D47</f>
        <v>3</v>
      </c>
      <c r="F47" s="16">
        <f>14</f>
        <v>14</v>
      </c>
      <c r="G47" s="9">
        <f>January!G47+F47</f>
        <v>14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2"/>
      <c r="O47" s="24">
        <f>January!O47+N47</f>
        <v>0</v>
      </c>
      <c r="P47" s="20"/>
      <c r="Q47" s="33"/>
      <c r="R47" s="24">
        <f>January!R47+Q47</f>
        <v>0</v>
      </c>
      <c r="S47" s="38"/>
      <c r="T47" s="38"/>
      <c r="U47"/>
      <c r="V47" s="36"/>
      <c r="W47" s="42"/>
    </row>
    <row r="48" spans="1:18" ht="18" customHeight="1">
      <c r="A48" s="9" t="s">
        <v>52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2"/>
      <c r="O48" s="24">
        <f>January!O48+N48</f>
        <v>0</v>
      </c>
      <c r="P48" s="20"/>
      <c r="Q48" s="33"/>
      <c r="R48" s="24">
        <f>January!R48+Q48</f>
        <v>0</v>
      </c>
    </row>
    <row r="49" spans="1:18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2"/>
      <c r="O49" s="24">
        <f>January!O49+N49</f>
        <v>0</v>
      </c>
      <c r="P49" s="20"/>
      <c r="Q49" s="33"/>
      <c r="R49" s="24">
        <f>January!R49+Q49</f>
        <v>0</v>
      </c>
    </row>
    <row r="50" spans="1:18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2"/>
      <c r="O50" s="24">
        <f>January!O50+N50</f>
        <v>0</v>
      </c>
      <c r="P50" s="20"/>
      <c r="Q50" s="33"/>
      <c r="R50" s="24">
        <f>January!R50+Q50</f>
        <v>0</v>
      </c>
    </row>
    <row r="51" spans="1:18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1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2"/>
      <c r="O51" s="24">
        <f>January!O51+N51</f>
        <v>0</v>
      </c>
      <c r="P51" s="20"/>
      <c r="Q51" s="33"/>
      <c r="R51" s="24">
        <f>January!R51+Q51</f>
        <v>0</v>
      </c>
    </row>
    <row r="52" spans="1:18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2"/>
      <c r="O52" s="24">
        <f>January!O52+N52</f>
        <v>0</v>
      </c>
      <c r="P52" s="20"/>
      <c r="Q52" s="33"/>
      <c r="R52" s="24">
        <f>January!R52+Q52</f>
        <v>0</v>
      </c>
    </row>
    <row r="53" spans="1:18" ht="18" customHeight="1">
      <c r="A53" s="9" t="s">
        <v>57</v>
      </c>
      <c r="B53" s="14"/>
      <c r="C53" s="9">
        <f>January!C53+B53</f>
        <v>0</v>
      </c>
      <c r="D53" s="15">
        <f>1+10+3+4</f>
        <v>18</v>
      </c>
      <c r="E53" s="9">
        <f>January!E53+D53</f>
        <v>22</v>
      </c>
      <c r="F53" s="16"/>
      <c r="G53" s="9">
        <f>E53</f>
        <v>22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32"/>
      <c r="O53" s="24">
        <f>January!O53+N53</f>
        <v>3</v>
      </c>
      <c r="P53" s="20"/>
      <c r="Q53" s="33"/>
      <c r="R53" s="24">
        <f>January!R53+Q53</f>
        <v>160</v>
      </c>
    </row>
    <row r="54" spans="1:18" ht="18" customHeight="1" thickBot="1">
      <c r="A54" s="10" t="s">
        <v>58</v>
      </c>
      <c r="B54" s="14"/>
      <c r="C54" s="9">
        <f>January!C54+B54</f>
        <v>0</v>
      </c>
      <c r="D54" s="15">
        <f>2</f>
        <v>2</v>
      </c>
      <c r="E54" s="9">
        <f>January!E54+D54</f>
        <v>2</v>
      </c>
      <c r="F54" s="16"/>
      <c r="G54" s="9">
        <f>January!G54+F54</f>
        <v>0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2"/>
      <c r="O54" s="24">
        <f>January!O54+N54</f>
        <v>0</v>
      </c>
      <c r="P54" s="22"/>
      <c r="Q54" s="34"/>
      <c r="R54" s="24">
        <f>January!R54+Q54</f>
        <v>0</v>
      </c>
    </row>
    <row r="55" spans="1:18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107</v>
      </c>
      <c r="E55" s="11"/>
      <c r="F55" s="11">
        <f>SUM(F5:F54)</f>
        <v>276</v>
      </c>
      <c r="G55" s="11"/>
      <c r="H55" s="11">
        <f>SUM(H5:H54)</f>
        <v>1422</v>
      </c>
      <c r="I55" s="11"/>
      <c r="J55" s="11">
        <f>SUM(J5:J54)</f>
        <v>174</v>
      </c>
      <c r="K55" s="11"/>
      <c r="L55" s="11">
        <f>SUM(L5:L54)</f>
        <v>448</v>
      </c>
      <c r="M55" s="11"/>
      <c r="N55" s="11">
        <f>SUM(N5:N54)</f>
        <v>0</v>
      </c>
      <c r="O55" s="21"/>
      <c r="P55" s="23"/>
      <c r="Q55" s="11">
        <f>SUM(Q5:Q54)</f>
        <v>273100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January!C57+B55</f>
        <v>11</v>
      </c>
      <c r="D57" s="11"/>
      <c r="E57" s="11">
        <f>January!E57+D55</f>
        <v>174</v>
      </c>
      <c r="F57" s="11"/>
      <c r="G57" s="11">
        <f>January!G57+F55</f>
        <v>1260</v>
      </c>
      <c r="H57" s="11"/>
      <c r="I57" s="11">
        <f>January!I57+H55</f>
        <v>5894</v>
      </c>
      <c r="J57" s="11"/>
      <c r="K57" s="11">
        <f>January!K57+J55</f>
        <v>374</v>
      </c>
      <c r="L57" s="11"/>
      <c r="M57" s="11">
        <f>January!M57+L55</f>
        <v>3274</v>
      </c>
      <c r="N57" s="11"/>
      <c r="O57" s="11">
        <f>January!O57+N55</f>
        <v>6</v>
      </c>
      <c r="P57" s="20"/>
      <c r="Q57" s="23"/>
      <c r="R57" s="11">
        <f>January!R57+Q55</f>
        <v>566077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9.375" style="2" customWidth="1"/>
    <col min="17" max="18" width="9.00390625" style="2" customWidth="1"/>
    <col min="19" max="23" width="9.125" style="2" customWidth="1"/>
    <col min="24" max="16384" width="9.00390625" style="2" customWidth="1"/>
  </cols>
  <sheetData>
    <row r="1" spans="1:10" ht="23.25">
      <c r="A1" s="1" t="s">
        <v>78</v>
      </c>
      <c r="H1" s="2" t="s">
        <v>66</v>
      </c>
      <c r="J1" s="2" t="s">
        <v>79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30.7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6"/>
      <c r="N3" s="27" t="s">
        <v>76</v>
      </c>
      <c r="O3" s="28"/>
      <c r="P3" s="29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1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2"/>
      <c r="O5" s="9">
        <f>February!O5+N5</f>
        <v>0</v>
      </c>
      <c r="P5" s="20"/>
      <c r="Q5" s="33"/>
      <c r="R5" s="9">
        <f>February!R5+Q5</f>
        <v>0</v>
      </c>
    </row>
    <row r="6" spans="1:18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2"/>
      <c r="O6" s="9">
        <f>February!O6+N6</f>
        <v>0</v>
      </c>
      <c r="P6" s="20"/>
      <c r="Q6" s="33"/>
      <c r="R6" s="9">
        <f>February!R6+Q6</f>
        <v>0</v>
      </c>
    </row>
    <row r="7" spans="1:18" ht="18" customHeight="1">
      <c r="A7" s="9" t="s">
        <v>11</v>
      </c>
      <c r="B7" s="14"/>
      <c r="C7" s="9">
        <f>February!C7+B7</f>
        <v>0</v>
      </c>
      <c r="D7" s="15">
        <f>16</f>
        <v>16</v>
      </c>
      <c r="E7" s="9">
        <f>February!E7+D7</f>
        <v>19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32"/>
      <c r="O7" s="9">
        <f>February!O7+N7</f>
        <v>0</v>
      </c>
      <c r="P7" s="20"/>
      <c r="Q7" s="33"/>
      <c r="R7" s="9">
        <f>February!R7+Q7</f>
        <v>0</v>
      </c>
    </row>
    <row r="8" spans="1:18" ht="18" customHeight="1">
      <c r="A8" s="9" t="s">
        <v>12</v>
      </c>
      <c r="B8" s="14"/>
      <c r="C8" s="9">
        <f>February!C8+B8</f>
        <v>0</v>
      </c>
      <c r="D8" s="15">
        <f>1</f>
        <v>1</v>
      </c>
      <c r="E8" s="9">
        <f>February!E8+D8</f>
        <v>1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2"/>
      <c r="O8" s="9">
        <f>February!O8+N8</f>
        <v>0</v>
      </c>
      <c r="P8" s="20"/>
      <c r="Q8" s="33"/>
      <c r="R8" s="9">
        <f>February!R8+Q8</f>
        <v>0</v>
      </c>
    </row>
    <row r="9" spans="1:18" ht="18" customHeight="1">
      <c r="A9" s="9" t="s">
        <v>13</v>
      </c>
      <c r="B9" s="14"/>
      <c r="C9" s="9">
        <f>February!C9+B9</f>
        <v>0</v>
      </c>
      <c r="D9" s="15"/>
      <c r="E9" s="9">
        <f>February!E9+D9</f>
        <v>3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2"/>
      <c r="O9" s="9">
        <f>February!O9+N9</f>
        <v>0</v>
      </c>
      <c r="P9" s="20"/>
      <c r="Q9" s="33"/>
      <c r="R9" s="9">
        <f>February!R9+Q9</f>
        <v>0</v>
      </c>
    </row>
    <row r="10" spans="1:20" ht="18" customHeight="1">
      <c r="A10" s="9" t="s">
        <v>14</v>
      </c>
      <c r="B10" s="14"/>
      <c r="C10" s="9">
        <f>February!C10+B10</f>
        <v>0</v>
      </c>
      <c r="D10" s="15"/>
      <c r="E10" s="9">
        <f>February!E10+D10</f>
        <v>15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2"/>
      <c r="O10" s="9">
        <f>February!O10+N10</f>
        <v>0</v>
      </c>
      <c r="P10" s="20"/>
      <c r="Q10" s="33">
        <f>32400+32400+53760+7500+14900+24800+14400+28800+950+16900+19700+19000+21500+7350</f>
        <v>294360</v>
      </c>
      <c r="R10" s="9">
        <f>February!R10+Q10</f>
        <v>680295</v>
      </c>
      <c r="S10" s="2" t="s">
        <v>93</v>
      </c>
      <c r="T10" s="2" t="s">
        <v>94</v>
      </c>
    </row>
    <row r="11" spans="1:18" ht="18" customHeight="1">
      <c r="A11" s="9" t="s">
        <v>15</v>
      </c>
      <c r="B11" s="14"/>
      <c r="C11" s="9">
        <f>February!C11+B11</f>
        <v>0</v>
      </c>
      <c r="D11" s="15">
        <f>1+1+1+3</f>
        <v>6</v>
      </c>
      <c r="E11" s="9">
        <f>February!E11+D11</f>
        <v>11</v>
      </c>
      <c r="F11" s="16">
        <f>1</f>
        <v>1</v>
      </c>
      <c r="G11" s="9">
        <f>February!G11+F11</f>
        <v>1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2"/>
      <c r="O11" s="9">
        <f>February!O11+N11</f>
        <v>0</v>
      </c>
      <c r="P11" s="20"/>
      <c r="Q11" s="33"/>
      <c r="R11" s="9">
        <f>February!R11+Q11</f>
        <v>0</v>
      </c>
    </row>
    <row r="12" spans="1:19" ht="18" customHeight="1">
      <c r="A12" s="9" t="s">
        <v>16</v>
      </c>
      <c r="B12" s="14"/>
      <c r="C12" s="9">
        <f>February!C12+B12</f>
        <v>0</v>
      </c>
      <c r="D12" s="15">
        <f>1</f>
        <v>1</v>
      </c>
      <c r="E12" s="9">
        <f>February!E12+D12</f>
        <v>1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2"/>
      <c r="O12" s="9">
        <f>February!O12+N12</f>
        <v>0</v>
      </c>
      <c r="P12" s="20"/>
      <c r="Q12" s="33">
        <f>200+20160+2160+11880+2520+2520+4680+3240+3960+13320+7200+9720+4320+1080+9720+4680</f>
        <v>101360</v>
      </c>
      <c r="R12" s="9">
        <f>February!R12+Q12</f>
        <v>101382</v>
      </c>
      <c r="S12" s="2" t="s">
        <v>95</v>
      </c>
    </row>
    <row r="13" spans="1:18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1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2"/>
      <c r="O13" s="9">
        <f>February!O13+N13</f>
        <v>0</v>
      </c>
      <c r="P13" s="20"/>
      <c r="Q13" s="33"/>
      <c r="R13" s="9">
        <f>February!R13+Q13</f>
        <v>0</v>
      </c>
    </row>
    <row r="14" spans="1:18" ht="18" customHeight="1">
      <c r="A14" s="9" t="s">
        <v>18</v>
      </c>
      <c r="B14" s="14"/>
      <c r="C14" s="9">
        <f>February!C14+B14</f>
        <v>0</v>
      </c>
      <c r="D14" s="15">
        <f>5+1</f>
        <v>6</v>
      </c>
      <c r="E14" s="9">
        <f>February!E14+D14</f>
        <v>18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2"/>
      <c r="O14" s="9">
        <f>February!O14+N14</f>
        <v>0</v>
      </c>
      <c r="P14" s="20"/>
      <c r="Q14" s="33"/>
      <c r="R14" s="9">
        <f>February!R14+Q14</f>
        <v>0</v>
      </c>
    </row>
    <row r="15" spans="1:18" ht="18" customHeight="1">
      <c r="A15" s="9" t="s">
        <v>19</v>
      </c>
      <c r="B15" s="14"/>
      <c r="C15" s="9">
        <f>February!C15+B15</f>
        <v>0</v>
      </c>
      <c r="D15" s="15"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2"/>
      <c r="O15" s="9">
        <f>February!O15+N15</f>
        <v>0</v>
      </c>
      <c r="P15" s="20"/>
      <c r="Q15" s="33"/>
      <c r="R15" s="9">
        <f>February!R15+Q15</f>
        <v>0</v>
      </c>
    </row>
    <row r="16" spans="1:18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2"/>
      <c r="O16" s="9">
        <f>February!O16+N16</f>
        <v>0</v>
      </c>
      <c r="P16" s="20"/>
      <c r="Q16" s="33"/>
      <c r="R16" s="9">
        <f>February!R16+Q16</f>
        <v>0</v>
      </c>
    </row>
    <row r="17" spans="1:18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2"/>
      <c r="O17" s="9">
        <f>February!O17+N17</f>
        <v>0</v>
      </c>
      <c r="P17" s="20"/>
      <c r="Q17" s="33"/>
      <c r="R17" s="9">
        <f>February!R17+Q17</f>
        <v>0</v>
      </c>
    </row>
    <row r="18" spans="1:18" ht="18" customHeight="1">
      <c r="A18" s="9" t="s">
        <v>22</v>
      </c>
      <c r="B18" s="14"/>
      <c r="C18" s="9">
        <f>February!C18+B18</f>
        <v>0</v>
      </c>
      <c r="D18" s="15">
        <f>3</f>
        <v>3</v>
      </c>
      <c r="E18" s="9">
        <f>February!E18+D18</f>
        <v>7</v>
      </c>
      <c r="F18" s="16"/>
      <c r="G18" s="9">
        <f>February!G18+F18</f>
        <v>0</v>
      </c>
      <c r="H18" s="17"/>
      <c r="I18" s="9">
        <f>February!I18+H18</f>
        <v>0</v>
      </c>
      <c r="J18" s="18"/>
      <c r="K18" s="9">
        <f>February!K18+J18</f>
        <v>0</v>
      </c>
      <c r="L18" s="19"/>
      <c r="M18" s="9">
        <f>February!M18+L18</f>
        <v>0</v>
      </c>
      <c r="N18" s="32"/>
      <c r="O18" s="9">
        <f>February!O18+N18</f>
        <v>0</v>
      </c>
      <c r="P18" s="20"/>
      <c r="Q18" s="33"/>
      <c r="R18" s="9">
        <f>February!R18+Q18</f>
        <v>0</v>
      </c>
    </row>
    <row r="19" spans="1:18" ht="18" customHeight="1">
      <c r="A19" s="9" t="s">
        <v>23</v>
      </c>
      <c r="B19" s="14">
        <f>1</f>
        <v>1</v>
      </c>
      <c r="C19" s="9">
        <f>February!C19+B19</f>
        <v>2</v>
      </c>
      <c r="D19" s="15">
        <f>1+1</f>
        <v>2</v>
      </c>
      <c r="E19" s="9">
        <f>February!E19+D19</f>
        <v>3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2"/>
      <c r="O19" s="9">
        <f>February!O19+N19</f>
        <v>0</v>
      </c>
      <c r="P19" s="20"/>
      <c r="Q19" s="33"/>
      <c r="R19" s="9">
        <f>February!R19+Q19</f>
        <v>0</v>
      </c>
    </row>
    <row r="20" spans="1:18" ht="18" customHeight="1">
      <c r="A20" s="9" t="s">
        <v>24</v>
      </c>
      <c r="B20" s="14"/>
      <c r="C20" s="9">
        <f>February!C20+B20</f>
        <v>0</v>
      </c>
      <c r="D20" s="15">
        <v>1</v>
      </c>
      <c r="E20" s="9">
        <f>February!E20+D20</f>
        <v>4</v>
      </c>
      <c r="F20" s="16">
        <v>1</v>
      </c>
      <c r="G20" s="9">
        <f>February!G20+F20</f>
        <v>1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2"/>
      <c r="O20" s="9">
        <f>February!O20+N20</f>
        <v>0</v>
      </c>
      <c r="P20" s="20"/>
      <c r="Q20" s="33"/>
      <c r="R20" s="9">
        <f>February!R20+Q20</f>
        <v>0</v>
      </c>
    </row>
    <row r="21" spans="1:18" ht="18" customHeight="1">
      <c r="A21" s="9" t="s">
        <v>25</v>
      </c>
      <c r="B21" s="14"/>
      <c r="C21" s="9">
        <f>February!C21+B21</f>
        <v>0</v>
      </c>
      <c r="D21" s="15">
        <f>1</f>
        <v>1</v>
      </c>
      <c r="E21" s="9">
        <f>February!E21+D21</f>
        <v>3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2"/>
      <c r="O21" s="9">
        <f>February!O21+N21</f>
        <v>0</v>
      </c>
      <c r="P21" s="20"/>
      <c r="Q21" s="33"/>
      <c r="R21" s="9">
        <f>February!R21+Q21</f>
        <v>0</v>
      </c>
    </row>
    <row r="22" spans="1:18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2"/>
      <c r="O22" s="9">
        <f>February!O22+N22</f>
        <v>0</v>
      </c>
      <c r="P22" s="20"/>
      <c r="Q22" s="33"/>
      <c r="R22" s="9">
        <f>February!R22+Q22</f>
        <v>0</v>
      </c>
    </row>
    <row r="23" spans="1:18" ht="18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2"/>
      <c r="O23" s="9">
        <f>February!O23+N23</f>
        <v>0</v>
      </c>
      <c r="P23" s="20"/>
      <c r="Q23" s="33"/>
      <c r="R23" s="9">
        <f>February!R23+Q23</f>
        <v>0</v>
      </c>
    </row>
    <row r="24" spans="1:18" ht="18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2"/>
      <c r="O24" s="9">
        <f>February!O24+N24</f>
        <v>0</v>
      </c>
      <c r="P24" s="20"/>
      <c r="Q24" s="33"/>
      <c r="R24" s="9">
        <f>February!R24+Q24</f>
        <v>0</v>
      </c>
    </row>
    <row r="25" spans="1:18" ht="18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2"/>
      <c r="O25" s="9">
        <f>February!O25+N25</f>
        <v>0</v>
      </c>
      <c r="P25" s="20"/>
      <c r="Q25" s="33"/>
      <c r="R25" s="9">
        <f>February!R25+Q25</f>
        <v>0</v>
      </c>
    </row>
    <row r="26" spans="1:18" ht="18" customHeight="1">
      <c r="A26" s="9" t="s">
        <v>30</v>
      </c>
      <c r="B26" s="14"/>
      <c r="C26" s="9">
        <f>February!C26+B26</f>
        <v>0</v>
      </c>
      <c r="D26" s="15"/>
      <c r="E26" s="9">
        <f>February!E26+D26</f>
        <v>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2"/>
      <c r="O26" s="9">
        <f>February!O26+N26</f>
        <v>0</v>
      </c>
      <c r="P26" s="20"/>
      <c r="Q26" s="33"/>
      <c r="R26" s="9">
        <f>February!R26+Q26</f>
        <v>0</v>
      </c>
    </row>
    <row r="27" spans="1:18" ht="18" customHeight="1">
      <c r="A27" s="9" t="s">
        <v>31</v>
      </c>
      <c r="B27" s="14"/>
      <c r="C27" s="9">
        <f>February!C27+B27</f>
        <v>3</v>
      </c>
      <c r="D27" s="15">
        <f>1+2+1+1+1+1+10+5+5+8+7+4+4</f>
        <v>50</v>
      </c>
      <c r="E27" s="9">
        <f>February!E27+D27</f>
        <v>58</v>
      </c>
      <c r="F27" s="16">
        <f>5+14</f>
        <v>19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162</v>
      </c>
      <c r="L27" s="19"/>
      <c r="M27" s="9">
        <f>February!M27+L27</f>
        <v>0</v>
      </c>
      <c r="N27" s="32"/>
      <c r="O27" s="9">
        <f>February!O27+N27</f>
        <v>0</v>
      </c>
      <c r="P27" s="20"/>
      <c r="Q27" s="33"/>
      <c r="R27" s="9">
        <f>February!R27+Q27</f>
        <v>0</v>
      </c>
    </row>
    <row r="28" spans="1:18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2"/>
      <c r="O28" s="9">
        <f>February!O28+N28</f>
        <v>0</v>
      </c>
      <c r="P28" s="20"/>
      <c r="Q28" s="33"/>
      <c r="R28" s="9">
        <f>February!R28+Q28</f>
        <v>0</v>
      </c>
    </row>
    <row r="29" spans="1:18" ht="18" customHeight="1">
      <c r="A29" s="9" t="s">
        <v>33</v>
      </c>
      <c r="B29" s="14"/>
      <c r="C29" s="9">
        <f>February!C29+B29</f>
        <v>5</v>
      </c>
      <c r="D29" s="15">
        <f>1+3+2+5+1+3+2+2+1+1+2+3</f>
        <v>26</v>
      </c>
      <c r="E29" s="9">
        <f>February!E29+D29</f>
        <v>35</v>
      </c>
      <c r="F29" s="16">
        <f>21</f>
        <v>21</v>
      </c>
      <c r="G29" s="9">
        <f>February!G29+F29</f>
        <v>21</v>
      </c>
      <c r="H29" s="17"/>
      <c r="I29" s="9">
        <f>February!I29+H29</f>
        <v>0</v>
      </c>
      <c r="J29" s="18"/>
      <c r="K29" s="9">
        <f>February!K29+J29</f>
        <v>22</v>
      </c>
      <c r="L29" s="19"/>
      <c r="M29" s="9">
        <f>February!M29+L29</f>
        <v>0</v>
      </c>
      <c r="N29" s="32"/>
      <c r="O29" s="9">
        <f>February!O29+N29</f>
        <v>0</v>
      </c>
      <c r="P29" s="20"/>
      <c r="Q29" s="33"/>
      <c r="R29" s="9">
        <f>February!R29+Q29</f>
        <v>0</v>
      </c>
    </row>
    <row r="30" spans="1:18" ht="18" customHeight="1">
      <c r="A30" s="9" t="s">
        <v>34</v>
      </c>
      <c r="B30" s="14"/>
      <c r="C30" s="9">
        <f>February!C30+B30</f>
        <v>0</v>
      </c>
      <c r="D30" s="15">
        <f>11</f>
        <v>11</v>
      </c>
      <c r="E30" s="9">
        <f>February!E30+D30</f>
        <v>23</v>
      </c>
      <c r="F30" s="16"/>
      <c r="G30" s="9">
        <f>February!G30+F30</f>
        <v>0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2"/>
      <c r="O30" s="9">
        <f>February!O30+N30</f>
        <v>0</v>
      </c>
      <c r="P30" s="20"/>
      <c r="Q30" s="33"/>
      <c r="R30" s="9">
        <f>February!R30+Q30</f>
        <v>0</v>
      </c>
    </row>
    <row r="31" spans="1:18" ht="18" customHeight="1">
      <c r="A31" s="9" t="s">
        <v>35</v>
      </c>
      <c r="B31" s="14"/>
      <c r="C31" s="9">
        <f>February!C31+B31</f>
        <v>0</v>
      </c>
      <c r="D31" s="15">
        <f>2+2+1+1+1+4</f>
        <v>11</v>
      </c>
      <c r="E31" s="9">
        <f>February!E31+D31</f>
        <v>25</v>
      </c>
      <c r="F31" s="16">
        <f>143+145+3+3</f>
        <v>294</v>
      </c>
      <c r="G31" s="9">
        <f>February!G31+F31</f>
        <v>309</v>
      </c>
      <c r="H31" s="17">
        <f>3+3</f>
        <v>6</v>
      </c>
      <c r="I31" s="9">
        <f>February!I31+H31</f>
        <v>103</v>
      </c>
      <c r="J31" s="18">
        <f>4+58+56+3+1+2</f>
        <v>124</v>
      </c>
      <c r="K31" s="9">
        <f>February!K31+J31</f>
        <v>130</v>
      </c>
      <c r="L31" s="19">
        <f>2+2</f>
        <v>4</v>
      </c>
      <c r="M31" s="9">
        <f>February!M31+L31</f>
        <v>104</v>
      </c>
      <c r="N31" s="32"/>
      <c r="O31" s="9">
        <f>February!O31+N31</f>
        <v>0</v>
      </c>
      <c r="P31" s="20"/>
      <c r="Q31" s="33"/>
      <c r="R31" s="9">
        <f>February!R31+Q31</f>
        <v>0</v>
      </c>
    </row>
    <row r="32" spans="1:18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1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2"/>
      <c r="O32" s="9">
        <f>February!O32+N32</f>
        <v>0</v>
      </c>
      <c r="P32" s="20"/>
      <c r="Q32" s="33"/>
      <c r="R32" s="9">
        <f>February!R32+Q32</f>
        <v>0</v>
      </c>
    </row>
    <row r="33" spans="1:18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2"/>
      <c r="O33" s="9">
        <f>February!O33+N33</f>
        <v>0</v>
      </c>
      <c r="P33" s="20"/>
      <c r="Q33" s="33"/>
      <c r="R33" s="9">
        <f>February!R33+Q33</f>
        <v>0</v>
      </c>
    </row>
    <row r="34" spans="1:18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2"/>
      <c r="O34" s="9">
        <f>February!O34+N34</f>
        <v>0</v>
      </c>
      <c r="P34" s="20"/>
      <c r="Q34" s="33"/>
      <c r="R34" s="9">
        <f>February!R34+Q34</f>
        <v>0</v>
      </c>
    </row>
    <row r="35" spans="1:18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1</v>
      </c>
      <c r="F35" s="16"/>
      <c r="G35" s="9">
        <f>February!G35+F35</f>
        <v>0</v>
      </c>
      <c r="H35" s="17">
        <f>477</f>
        <v>477</v>
      </c>
      <c r="I35" s="9">
        <f>February!I35+H35</f>
        <v>477</v>
      </c>
      <c r="J35" s="18"/>
      <c r="K35" s="9">
        <f>February!K35+J35</f>
        <v>0</v>
      </c>
      <c r="L35" s="19"/>
      <c r="M35" s="9">
        <f>February!M35+L35</f>
        <v>0</v>
      </c>
      <c r="N35" s="32"/>
      <c r="O35" s="9">
        <f>February!O35+N35</f>
        <v>3</v>
      </c>
      <c r="P35" s="20"/>
      <c r="Q35" s="33"/>
      <c r="R35" s="9">
        <f>February!R35+Q35</f>
        <v>0</v>
      </c>
    </row>
    <row r="36" spans="1:18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1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2"/>
      <c r="O36" s="9">
        <f>February!O36+N36</f>
        <v>0</v>
      </c>
      <c r="P36" s="20"/>
      <c r="Q36" s="33"/>
      <c r="R36" s="9">
        <f>February!R36+Q36</f>
        <v>129960</v>
      </c>
    </row>
    <row r="37" spans="1:18" ht="18" customHeight="1">
      <c r="A37" s="9" t="s">
        <v>41</v>
      </c>
      <c r="B37" s="14"/>
      <c r="C37" s="9">
        <f>February!C37+B37</f>
        <v>0</v>
      </c>
      <c r="D37" s="15"/>
      <c r="E37" s="9">
        <f>February!E37+D37</f>
        <v>0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2"/>
      <c r="O37" s="9">
        <f>February!O37+N37</f>
        <v>0</v>
      </c>
      <c r="P37" s="20"/>
      <c r="Q37" s="33"/>
      <c r="R37" s="9">
        <f>February!R37+Q37</f>
        <v>50000</v>
      </c>
    </row>
    <row r="38" spans="1:18" ht="18" customHeight="1">
      <c r="A38" s="9" t="s">
        <v>42</v>
      </c>
      <c r="B38" s="14"/>
      <c r="C38" s="9">
        <f>February!C38+B38</f>
        <v>0</v>
      </c>
      <c r="D38" s="15">
        <f>29</f>
        <v>29</v>
      </c>
      <c r="E38" s="9">
        <f>February!E38+D38</f>
        <v>33</v>
      </c>
      <c r="F38" s="16"/>
      <c r="G38" s="9">
        <f>February!G38+F38</f>
        <v>281</v>
      </c>
      <c r="H38" s="17"/>
      <c r="I38" s="9">
        <f>February!I38+H38</f>
        <v>226</v>
      </c>
      <c r="J38" s="18"/>
      <c r="K38" s="9">
        <f>February!K38+J38</f>
        <v>12</v>
      </c>
      <c r="L38" s="19"/>
      <c r="M38" s="9">
        <f>February!M38+L38</f>
        <v>0</v>
      </c>
      <c r="N38" s="32"/>
      <c r="O38" s="9">
        <f>February!O38+N38</f>
        <v>0</v>
      </c>
      <c r="P38" s="20"/>
      <c r="Q38" s="33"/>
      <c r="R38" s="9">
        <f>February!R38+Q38</f>
        <v>0</v>
      </c>
    </row>
    <row r="39" spans="1:18" ht="18" customHeight="1">
      <c r="A39" s="9" t="s">
        <v>43</v>
      </c>
      <c r="B39" s="14">
        <f>3+1+1+1</f>
        <v>6</v>
      </c>
      <c r="C39" s="9">
        <f>February!C39+B39</f>
        <v>7</v>
      </c>
      <c r="D39" s="15">
        <f>2</f>
        <v>2</v>
      </c>
      <c r="E39" s="9">
        <f>February!E39+D39</f>
        <v>2</v>
      </c>
      <c r="F39" s="16">
        <f>2+8+8</f>
        <v>18</v>
      </c>
      <c r="G39" s="9">
        <f>February!G39+F39</f>
        <v>18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2"/>
      <c r="O39" s="9">
        <f>February!O39+N39</f>
        <v>0</v>
      </c>
      <c r="P39" s="20"/>
      <c r="Q39" s="33"/>
      <c r="R39" s="9">
        <f>February!R39+Q39</f>
        <v>0</v>
      </c>
    </row>
    <row r="40" spans="1:18" ht="18" customHeight="1">
      <c r="A40" s="9" t="s">
        <v>44</v>
      </c>
      <c r="B40" s="14"/>
      <c r="C40" s="9">
        <f>February!C40+B40</f>
        <v>0</v>
      </c>
      <c r="D40" s="15">
        <f>1</f>
        <v>1</v>
      </c>
      <c r="E40" s="9">
        <f>February!E40+D40</f>
        <v>10</v>
      </c>
      <c r="F40" s="16">
        <f>6</f>
        <v>6</v>
      </c>
      <c r="G40" s="9">
        <f>February!G40+F40</f>
        <v>6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32"/>
      <c r="O40" s="9">
        <f>February!O40+N40</f>
        <v>0</v>
      </c>
      <c r="P40" s="20"/>
      <c r="Q40" s="33"/>
      <c r="R40" s="9">
        <f>February!R40+Q40</f>
        <v>0</v>
      </c>
    </row>
    <row r="41" spans="1:18" ht="18" customHeight="1">
      <c r="A41" s="9" t="s">
        <v>45</v>
      </c>
      <c r="B41" s="14"/>
      <c r="C41" s="9">
        <f>February!C41+B41</f>
        <v>0</v>
      </c>
      <c r="D41" s="15">
        <f>2</f>
        <v>2</v>
      </c>
      <c r="E41" s="9">
        <f>February!E41+D41</f>
        <v>3</v>
      </c>
      <c r="F41" s="16"/>
      <c r="G41" s="9">
        <f>February!G41+F41</f>
        <v>0</v>
      </c>
      <c r="H41" s="17"/>
      <c r="I41" s="9">
        <f>February!I41+H41</f>
        <v>0</v>
      </c>
      <c r="J41" s="18">
        <f>1+1</f>
        <v>2</v>
      </c>
      <c r="K41" s="9">
        <f>February!K41+J41</f>
        <v>2</v>
      </c>
      <c r="L41" s="19"/>
      <c r="M41" s="9">
        <f>February!M41+L41</f>
        <v>0</v>
      </c>
      <c r="N41" s="32"/>
      <c r="O41" s="9">
        <f>February!O41+N41</f>
        <v>0</v>
      </c>
      <c r="P41" s="20"/>
      <c r="Q41" s="33"/>
      <c r="R41" s="9">
        <f>February!R41+Q41</f>
        <v>0</v>
      </c>
    </row>
    <row r="42" spans="1:18" ht="18" customHeight="1">
      <c r="A42" s="9" t="s">
        <v>46</v>
      </c>
      <c r="B42" s="14">
        <f>5</f>
        <v>5</v>
      </c>
      <c r="C42" s="9">
        <f>February!C42+B42</f>
        <v>6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2"/>
      <c r="O42" s="9">
        <f>February!O42+N42</f>
        <v>0</v>
      </c>
      <c r="P42" s="20"/>
      <c r="Q42" s="33"/>
      <c r="R42" s="9">
        <f>February!R42+Q42</f>
        <v>0</v>
      </c>
    </row>
    <row r="43" spans="1:18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2"/>
      <c r="O43" s="9">
        <f>February!O43+N43</f>
        <v>0</v>
      </c>
      <c r="P43" s="20"/>
      <c r="Q43" s="33"/>
      <c r="R43" s="9">
        <f>February!R43+Q43</f>
        <v>0</v>
      </c>
    </row>
    <row r="44" spans="1:18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2"/>
      <c r="O44" s="9">
        <f>February!O44+N44</f>
        <v>0</v>
      </c>
      <c r="P44" s="20"/>
      <c r="Q44" s="33"/>
      <c r="R44" s="9">
        <f>February!R44+Q44</f>
        <v>0</v>
      </c>
    </row>
    <row r="45" spans="1:18" ht="18" customHeight="1">
      <c r="A45" s="9" t="s">
        <v>49</v>
      </c>
      <c r="B45" s="14"/>
      <c r="C45" s="9">
        <f>February!C45+B45</f>
        <v>0</v>
      </c>
      <c r="D45" s="15">
        <f>1+3</f>
        <v>4</v>
      </c>
      <c r="E45" s="9">
        <f>February!E45+D45</f>
        <v>30</v>
      </c>
      <c r="F45" s="16">
        <f>70+16+57+7+44+62+32+29+42</f>
        <v>359</v>
      </c>
      <c r="G45" s="9">
        <f>February!G45+F45</f>
        <v>1286</v>
      </c>
      <c r="H45" s="17">
        <f>109+147+120+60+30+18+48+10+132+45+33+94+198</f>
        <v>1044</v>
      </c>
      <c r="I45" s="9">
        <f>February!I45+H45</f>
        <v>6615</v>
      </c>
      <c r="J45" s="18"/>
      <c r="K45" s="9">
        <f>February!K45+J45</f>
        <v>172</v>
      </c>
      <c r="L45" s="19">
        <f>4+3+32+32+25+22</f>
        <v>118</v>
      </c>
      <c r="M45" s="9">
        <f>February!M45+L45</f>
        <v>3292</v>
      </c>
      <c r="N45" s="32"/>
      <c r="O45" s="9">
        <f>February!O45+N45</f>
        <v>0</v>
      </c>
      <c r="P45" s="20"/>
      <c r="Q45" s="33"/>
      <c r="R45" s="9">
        <f>February!R45+Q45</f>
        <v>0</v>
      </c>
    </row>
    <row r="46" spans="1:18" ht="18" customHeight="1">
      <c r="A46" s="9" t="s">
        <v>50</v>
      </c>
      <c r="B46" s="14"/>
      <c r="C46" s="9">
        <f>February!C46+B46</f>
        <v>0</v>
      </c>
      <c r="D46" s="15">
        <f>1+2+1+1</f>
        <v>5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2"/>
      <c r="O46" s="9">
        <f>February!O46+N46</f>
        <v>0</v>
      </c>
      <c r="P46" s="20"/>
      <c r="Q46" s="33"/>
      <c r="R46" s="9">
        <f>February!R46+Q46</f>
        <v>0</v>
      </c>
    </row>
    <row r="47" spans="1:18" ht="18" customHeight="1">
      <c r="A47" s="9" t="s">
        <v>51</v>
      </c>
      <c r="B47" s="14"/>
      <c r="C47" s="9">
        <f>February!C47+B47</f>
        <v>0</v>
      </c>
      <c r="D47" s="15">
        <f>1+2+2</f>
        <v>5</v>
      </c>
      <c r="E47" s="9">
        <f>February!E47+D47</f>
        <v>8</v>
      </c>
      <c r="F47" s="16"/>
      <c r="G47" s="9">
        <f>February!G47+F47</f>
        <v>14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2"/>
      <c r="O47" s="9">
        <f>February!O47+N47</f>
        <v>0</v>
      </c>
      <c r="P47" s="20"/>
      <c r="Q47" s="33"/>
      <c r="R47" s="9">
        <f>February!R47+Q47</f>
        <v>0</v>
      </c>
    </row>
    <row r="48" spans="1:18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2"/>
      <c r="O48" s="9">
        <f>February!O48+N48</f>
        <v>0</v>
      </c>
      <c r="P48" s="20"/>
      <c r="Q48" s="33"/>
      <c r="R48" s="9">
        <f>February!R48+Q48</f>
        <v>0</v>
      </c>
    </row>
    <row r="49" spans="1:18" ht="18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2"/>
      <c r="O49" s="9">
        <f>February!O49+N49</f>
        <v>0</v>
      </c>
      <c r="P49" s="20"/>
      <c r="Q49" s="33"/>
      <c r="R49" s="9">
        <f>February!R49+Q49</f>
        <v>0</v>
      </c>
    </row>
    <row r="50" spans="1:18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2"/>
      <c r="O50" s="9">
        <f>February!O50+N50</f>
        <v>0</v>
      </c>
      <c r="P50" s="20"/>
      <c r="Q50" s="33"/>
      <c r="R50" s="9">
        <f>February!R50+Q50</f>
        <v>0</v>
      </c>
    </row>
    <row r="51" spans="1:18" ht="18" customHeight="1">
      <c r="A51" s="9" t="s">
        <v>55</v>
      </c>
      <c r="B51" s="14"/>
      <c r="C51" s="9">
        <f>February!C51+B51</f>
        <v>0</v>
      </c>
      <c r="D51" s="15">
        <f>1</f>
        <v>1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2"/>
      <c r="O51" s="9">
        <f>February!O51+N51</f>
        <v>0</v>
      </c>
      <c r="P51" s="20"/>
      <c r="Q51" s="33"/>
      <c r="R51" s="9">
        <f>February!R51+Q51</f>
        <v>0</v>
      </c>
    </row>
    <row r="52" spans="1:18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2"/>
      <c r="O52" s="9">
        <f>February!O52+N52</f>
        <v>0</v>
      </c>
      <c r="P52" s="20"/>
      <c r="Q52" s="33"/>
      <c r="R52" s="9">
        <f>February!R52+Q52</f>
        <v>0</v>
      </c>
    </row>
    <row r="53" spans="1:18" ht="18" customHeight="1">
      <c r="A53" s="9" t="s">
        <v>57</v>
      </c>
      <c r="B53" s="14">
        <f>1+1</f>
        <v>2</v>
      </c>
      <c r="C53" s="9">
        <f>February!C53+B53</f>
        <v>2</v>
      </c>
      <c r="D53" s="15">
        <f>5+4+7+9+1+1+1+1+2+1+1+6+1+1+1+1+1+1+8</f>
        <v>53</v>
      </c>
      <c r="E53" s="9">
        <f>February!E53+D53</f>
        <v>75</v>
      </c>
      <c r="F53" s="16">
        <f>2</f>
        <v>2</v>
      </c>
      <c r="G53" s="9">
        <f>February!G53+F53</f>
        <v>24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32"/>
      <c r="O53" s="9">
        <f>February!O53+N53</f>
        <v>3</v>
      </c>
      <c r="P53" s="20"/>
      <c r="Q53" s="33"/>
      <c r="R53" s="9">
        <f>February!R53+Q53</f>
        <v>160</v>
      </c>
    </row>
    <row r="54" spans="1:18" ht="18" customHeight="1" thickBot="1">
      <c r="A54" s="10" t="s">
        <v>58</v>
      </c>
      <c r="B54" s="14"/>
      <c r="C54" s="9">
        <f>February!C54+B54</f>
        <v>0</v>
      </c>
      <c r="D54" s="15">
        <f>24</f>
        <v>24</v>
      </c>
      <c r="E54" s="9">
        <f>February!E54+D54</f>
        <v>26</v>
      </c>
      <c r="F54" s="16"/>
      <c r="G54" s="9">
        <f>February!G54+F54</f>
        <v>0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2"/>
      <c r="O54" s="9">
        <f>February!O54+N54</f>
        <v>0</v>
      </c>
      <c r="P54" s="20"/>
      <c r="Q54" s="34"/>
      <c r="R54" s="9">
        <f>February!R54+Q54</f>
        <v>0</v>
      </c>
    </row>
    <row r="55" spans="1:18" ht="18" customHeight="1" thickBot="1" thickTop="1">
      <c r="A55" s="11" t="s">
        <v>59</v>
      </c>
      <c r="B55" s="11">
        <f>SUM(B5:B54)</f>
        <v>14</v>
      </c>
      <c r="C55" s="11"/>
      <c r="D55" s="11">
        <f>SUM(D5:D54)</f>
        <v>262</v>
      </c>
      <c r="E55" s="11"/>
      <c r="F55" s="11">
        <f>SUM(F5:F54)</f>
        <v>721</v>
      </c>
      <c r="G55" s="11"/>
      <c r="H55" s="11">
        <f>SUM(H5:H54)</f>
        <v>1527</v>
      </c>
      <c r="I55" s="11"/>
      <c r="J55" s="11">
        <f>SUM(J5:J54)</f>
        <v>126</v>
      </c>
      <c r="K55" s="11"/>
      <c r="L55" s="11">
        <f>SUM(L5:L54)</f>
        <v>122</v>
      </c>
      <c r="M55" s="11"/>
      <c r="N55" s="11">
        <f>SUM(N5:N54)</f>
        <v>0</v>
      </c>
      <c r="O55" s="11"/>
      <c r="P55" s="20"/>
      <c r="Q55" s="11">
        <f>SUM(Q5:Q54)</f>
        <v>395720</v>
      </c>
      <c r="R55" s="23"/>
    </row>
    <row r="56" spans="1:2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Y56" s="4"/>
    </row>
    <row r="57" spans="1:18" ht="18" customHeight="1" thickBot="1" thickTop="1">
      <c r="A57" s="13" t="s">
        <v>60</v>
      </c>
      <c r="B57" s="11"/>
      <c r="C57" s="11">
        <f>February!C57+B55</f>
        <v>25</v>
      </c>
      <c r="D57" s="11"/>
      <c r="E57" s="11">
        <f>February!E57+D55</f>
        <v>436</v>
      </c>
      <c r="F57" s="11"/>
      <c r="G57" s="11">
        <f>February!G57+F55</f>
        <v>1981</v>
      </c>
      <c r="H57" s="11"/>
      <c r="I57" s="11">
        <f>February!I57+H55</f>
        <v>7421</v>
      </c>
      <c r="J57" s="11"/>
      <c r="K57" s="11">
        <f>February!K57+J55</f>
        <v>500</v>
      </c>
      <c r="L57" s="11"/>
      <c r="M57" s="11">
        <f>February!M57+L55</f>
        <v>3396</v>
      </c>
      <c r="N57" s="11"/>
      <c r="O57" s="11">
        <f>February!O57+N55</f>
        <v>6</v>
      </c>
      <c r="Q57" s="23"/>
      <c r="R57" s="11">
        <f>February!R57+Q55</f>
        <v>961797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4" ht="18" customHeight="1">
      <c r="A60" s="3" t="s">
        <v>14</v>
      </c>
      <c r="B60" s="3">
        <v>286</v>
      </c>
      <c r="C60" s="3"/>
      <c r="D60" s="3"/>
      <c r="E60" s="3"/>
      <c r="F60" s="3"/>
      <c r="G60" s="3"/>
      <c r="H60" s="3"/>
      <c r="I60" s="3"/>
      <c r="J60" s="3"/>
      <c r="K60" s="3"/>
      <c r="X60" s="4"/>
    </row>
    <row r="61" ht="18" customHeight="1"/>
    <row r="62" spans="1:25" s="4" customFormat="1" ht="18" customHeight="1">
      <c r="A62" s="4" t="s">
        <v>62</v>
      </c>
      <c r="X62" s="2"/>
      <c r="Y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Q3:R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" width="9.00390625" style="2" customWidth="1"/>
    <col min="17" max="17" width="12.25390625" style="2" bestFit="1" customWidth="1"/>
    <col min="18" max="18" width="12.00390625" style="2" customWidth="1"/>
    <col min="19" max="16384" width="9.00390625" style="2" customWidth="1"/>
  </cols>
  <sheetData>
    <row r="1" spans="1:10" ht="23.25">
      <c r="A1" s="1" t="s">
        <v>78</v>
      </c>
      <c r="H1" s="2" t="s">
        <v>67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2.7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March!C5+B5</f>
        <v>0</v>
      </c>
      <c r="D5" s="15"/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2"/>
      <c r="O5" s="9">
        <f>March!O5+N5</f>
        <v>0</v>
      </c>
      <c r="P5" s="20"/>
      <c r="Q5" s="33"/>
      <c r="R5" s="9">
        <f>March!R5+Q5</f>
        <v>0</v>
      </c>
    </row>
    <row r="6" spans="1:18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2"/>
      <c r="O6" s="9">
        <f>March!O6+N6</f>
        <v>0</v>
      </c>
      <c r="P6" s="20"/>
      <c r="Q6" s="33"/>
      <c r="R6" s="9">
        <f>March!R6+Q6</f>
        <v>0</v>
      </c>
    </row>
    <row r="7" spans="1:18" ht="18" customHeight="1">
      <c r="A7" s="9" t="s">
        <v>11</v>
      </c>
      <c r="B7" s="14"/>
      <c r="C7" s="9">
        <f>March!C7+B7</f>
        <v>0</v>
      </c>
      <c r="D7" s="15">
        <f>2+2+2+2+1+3+3+5+7+1+3+2+2+2+3+3</f>
        <v>43</v>
      </c>
      <c r="E7" s="9">
        <f>March!E7+D7</f>
        <v>62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32"/>
      <c r="O7" s="9">
        <f>March!O7+N7</f>
        <v>0</v>
      </c>
      <c r="P7" s="20"/>
      <c r="Q7" s="33"/>
      <c r="R7" s="9">
        <f>March!R7+Q7</f>
        <v>0</v>
      </c>
    </row>
    <row r="8" spans="1:18" ht="18" customHeight="1">
      <c r="A8" s="9" t="s">
        <v>12</v>
      </c>
      <c r="B8" s="14"/>
      <c r="C8" s="9">
        <f>March!C8+B8</f>
        <v>0</v>
      </c>
      <c r="D8" s="15">
        <f>1+1</f>
        <v>2</v>
      </c>
      <c r="E8" s="9">
        <f>March!E8+D8</f>
        <v>3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2"/>
      <c r="O8" s="9">
        <f>March!O8+N8</f>
        <v>0</v>
      </c>
      <c r="P8" s="20"/>
      <c r="Q8" s="33"/>
      <c r="R8" s="9">
        <f>March!R8+Q8</f>
        <v>0</v>
      </c>
    </row>
    <row r="9" spans="1:18" ht="18" customHeight="1">
      <c r="A9" s="9" t="s">
        <v>13</v>
      </c>
      <c r="B9" s="14"/>
      <c r="C9" s="9">
        <f>March!C9+B9</f>
        <v>0</v>
      </c>
      <c r="D9" s="15">
        <f>1+7</f>
        <v>8</v>
      </c>
      <c r="E9" s="9">
        <f>March!E9+D9</f>
        <v>11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2"/>
      <c r="O9" s="9">
        <f>March!O9+N9</f>
        <v>0</v>
      </c>
      <c r="P9" s="20"/>
      <c r="Q9" s="33"/>
      <c r="R9" s="9">
        <f>March!R9+Q9</f>
        <v>0</v>
      </c>
    </row>
    <row r="10" spans="1:23" ht="18" customHeight="1">
      <c r="A10" s="9" t="s">
        <v>14</v>
      </c>
      <c r="B10" s="14"/>
      <c r="C10" s="9">
        <f>March!C10+B10</f>
        <v>0</v>
      </c>
      <c r="D10" s="15">
        <f>2+3</f>
        <v>5</v>
      </c>
      <c r="E10" s="9">
        <f>March!E10+D10</f>
        <v>20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2"/>
      <c r="O10" s="9">
        <f>March!O10+N10</f>
        <v>0</v>
      </c>
      <c r="P10" s="20"/>
      <c r="Q10" s="33">
        <f>51120+53280+53760+8400+15125+15368+20400+5200+20400+21000+18350+19300+2900+20300+18000</f>
        <v>342903</v>
      </c>
      <c r="R10" s="9">
        <f>March!R10+Q10</f>
        <v>1023198</v>
      </c>
      <c r="S10" s="35" t="s">
        <v>96</v>
      </c>
      <c r="T10" s="35" t="s">
        <v>97</v>
      </c>
      <c r="U10" s="35" t="s">
        <v>98</v>
      </c>
      <c r="V10" s="35" t="s">
        <v>99</v>
      </c>
      <c r="W10" s="2" t="s">
        <v>100</v>
      </c>
    </row>
    <row r="11" spans="1:18" ht="18" customHeight="1">
      <c r="A11" s="9" t="s">
        <v>15</v>
      </c>
      <c r="B11" s="14"/>
      <c r="C11" s="9">
        <f>March!C11+B11</f>
        <v>0</v>
      </c>
      <c r="D11" s="15">
        <f>1+1+1</f>
        <v>3</v>
      </c>
      <c r="E11" s="9">
        <f>March!E11+D11</f>
        <v>14</v>
      </c>
      <c r="F11" s="16">
        <f>1+1</f>
        <v>2</v>
      </c>
      <c r="G11" s="9">
        <f>March!G11+F11</f>
        <v>3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2"/>
      <c r="O11" s="9">
        <f>March!O11+N11</f>
        <v>0</v>
      </c>
      <c r="P11" s="20"/>
      <c r="Q11" s="33"/>
      <c r="R11" s="9">
        <f>March!R11+Q11</f>
        <v>0</v>
      </c>
    </row>
    <row r="12" spans="1:19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1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2"/>
      <c r="O12" s="9">
        <f>March!O12+N12</f>
        <v>0</v>
      </c>
      <c r="P12" s="20"/>
      <c r="Q12" s="33">
        <f>11520+3600+15480+8640+3600+7200+3600</f>
        <v>53640</v>
      </c>
      <c r="R12" s="9">
        <f>March!R12+Q12</f>
        <v>155022</v>
      </c>
      <c r="S12" s="2" t="s">
        <v>101</v>
      </c>
    </row>
    <row r="13" spans="1:18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1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2"/>
      <c r="O13" s="9">
        <f>March!O13+N13</f>
        <v>0</v>
      </c>
      <c r="P13" s="20"/>
      <c r="Q13" s="33"/>
      <c r="R13" s="9">
        <f>March!R13+Q13</f>
        <v>0</v>
      </c>
    </row>
    <row r="14" spans="1:18" ht="18" customHeight="1">
      <c r="A14" s="9" t="s">
        <v>18</v>
      </c>
      <c r="B14" s="14"/>
      <c r="C14" s="9">
        <f>March!C14+B14</f>
        <v>0</v>
      </c>
      <c r="D14" s="15">
        <f>3+3+4+1+6+2+1+3+1+2+1</f>
        <v>27</v>
      </c>
      <c r="E14" s="9">
        <f>March!E14+D14</f>
        <v>45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2"/>
      <c r="O14" s="9">
        <f>March!O14+N14</f>
        <v>0</v>
      </c>
      <c r="P14" s="20"/>
      <c r="Q14" s="33"/>
      <c r="R14" s="9">
        <f>March!R14+Q14</f>
        <v>0</v>
      </c>
    </row>
    <row r="15" spans="1:18" ht="18" customHeight="1">
      <c r="A15" s="9" t="s">
        <v>19</v>
      </c>
      <c r="B15" s="14"/>
      <c r="C15" s="9">
        <f>March!C15+B15</f>
        <v>0</v>
      </c>
      <c r="D15" s="15">
        <f>1</f>
        <v>1</v>
      </c>
      <c r="E15" s="9">
        <f>March!E15+D15</f>
        <v>2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2"/>
      <c r="O15" s="9">
        <f>March!O15+N15</f>
        <v>0</v>
      </c>
      <c r="P15" s="20"/>
      <c r="Q15" s="33"/>
      <c r="R15" s="9">
        <f>March!R15+Q15</f>
        <v>0</v>
      </c>
    </row>
    <row r="16" spans="1:18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2"/>
      <c r="O16" s="9">
        <f>March!O16+N16</f>
        <v>0</v>
      </c>
      <c r="P16" s="20"/>
      <c r="Q16" s="33"/>
      <c r="R16" s="9">
        <f>March!R16+Q16</f>
        <v>0</v>
      </c>
    </row>
    <row r="17" spans="1:18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2"/>
      <c r="O17" s="9">
        <f>March!O17+N17</f>
        <v>0</v>
      </c>
      <c r="P17" s="20"/>
      <c r="Q17" s="33"/>
      <c r="R17" s="9">
        <f>March!R17+Q17</f>
        <v>0</v>
      </c>
    </row>
    <row r="18" spans="1:18" ht="18" customHeight="1">
      <c r="A18" s="9" t="s">
        <v>22</v>
      </c>
      <c r="B18" s="14">
        <f>1</f>
        <v>1</v>
      </c>
      <c r="C18" s="9">
        <f>March!C18+B18</f>
        <v>1</v>
      </c>
      <c r="D18" s="15">
        <f>1+1+1+4+1+3+2</f>
        <v>13</v>
      </c>
      <c r="E18" s="9">
        <f>March!E18+D18</f>
        <v>20</v>
      </c>
      <c r="F18" s="16">
        <f>28+72</f>
        <v>100</v>
      </c>
      <c r="G18" s="9">
        <f>March!G18+F18</f>
        <v>100</v>
      </c>
      <c r="H18" s="17"/>
      <c r="I18" s="9">
        <f>March!I18+H18</f>
        <v>0</v>
      </c>
      <c r="J18" s="18"/>
      <c r="K18" s="9">
        <f>March!K18+J18</f>
        <v>0</v>
      </c>
      <c r="L18" s="19"/>
      <c r="M18" s="9">
        <f>March!M18+L18</f>
        <v>0</v>
      </c>
      <c r="N18" s="32"/>
      <c r="O18" s="9">
        <f>March!O18+N18</f>
        <v>0</v>
      </c>
      <c r="P18" s="20"/>
      <c r="Q18" s="33"/>
      <c r="R18" s="9">
        <f>March!R18+Q18</f>
        <v>0</v>
      </c>
    </row>
    <row r="19" spans="1:18" ht="18" customHeight="1">
      <c r="A19" s="9" t="s">
        <v>23</v>
      </c>
      <c r="B19" s="14">
        <f>1</f>
        <v>1</v>
      </c>
      <c r="C19" s="9">
        <f>March!C19+B19</f>
        <v>3</v>
      </c>
      <c r="D19" s="15">
        <f>1</f>
        <v>1</v>
      </c>
      <c r="E19" s="9">
        <f>March!E19+D19</f>
        <v>4</v>
      </c>
      <c r="F19" s="16">
        <f>1+1+1</f>
        <v>3</v>
      </c>
      <c r="G19" s="9">
        <f>March!G19+F19</f>
        <v>3</v>
      </c>
      <c r="H19" s="17"/>
      <c r="I19" s="9">
        <f>March!I19+H19</f>
        <v>0</v>
      </c>
      <c r="J19" s="18">
        <f>12+12+12+12+1</f>
        <v>49</v>
      </c>
      <c r="K19" s="9">
        <f>March!K19+J19</f>
        <v>49</v>
      </c>
      <c r="L19" s="19"/>
      <c r="M19" s="9">
        <f>March!M19+L19</f>
        <v>0</v>
      </c>
      <c r="N19" s="32"/>
      <c r="O19" s="9">
        <f>March!O19+N19</f>
        <v>0</v>
      </c>
      <c r="P19" s="20"/>
      <c r="Q19" s="33"/>
      <c r="R19" s="9">
        <f>March!R19+Q19</f>
        <v>0</v>
      </c>
    </row>
    <row r="20" spans="1:18" ht="18" customHeight="1">
      <c r="A20" s="9" t="s">
        <v>24</v>
      </c>
      <c r="B20" s="14"/>
      <c r="C20" s="9">
        <f>March!C20+B20</f>
        <v>0</v>
      </c>
      <c r="D20" s="15">
        <f>1+2+3</f>
        <v>6</v>
      </c>
      <c r="E20" s="9">
        <f>March!E20+D20</f>
        <v>10</v>
      </c>
      <c r="F20" s="16"/>
      <c r="G20" s="9">
        <f>March!G20+F20</f>
        <v>1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32"/>
      <c r="O20" s="9">
        <f>March!O20+N20</f>
        <v>0</v>
      </c>
      <c r="P20" s="20"/>
      <c r="Q20" s="33"/>
      <c r="R20" s="9">
        <f>March!R20+Q20</f>
        <v>0</v>
      </c>
    </row>
    <row r="21" spans="1:18" ht="18" customHeight="1">
      <c r="A21" s="9" t="s">
        <v>25</v>
      </c>
      <c r="B21" s="14"/>
      <c r="C21" s="9">
        <f>March!C21+B21</f>
        <v>0</v>
      </c>
      <c r="D21" s="15">
        <f>1+1+3+2</f>
        <v>7</v>
      </c>
      <c r="E21" s="9">
        <f>March!E21+D21</f>
        <v>10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2"/>
      <c r="O21" s="9">
        <f>March!O21+N21</f>
        <v>0</v>
      </c>
      <c r="P21" s="20"/>
      <c r="Q21" s="33"/>
      <c r="R21" s="9">
        <f>March!R21+Q21</f>
        <v>0</v>
      </c>
    </row>
    <row r="22" spans="1:18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2"/>
      <c r="O22" s="9">
        <f>March!O22+N22</f>
        <v>0</v>
      </c>
      <c r="P22" s="20"/>
      <c r="Q22" s="33"/>
      <c r="R22" s="9">
        <f>March!R22+Q22</f>
        <v>0</v>
      </c>
    </row>
    <row r="23" spans="1:18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2"/>
      <c r="O23" s="9">
        <f>March!O23+N23</f>
        <v>0</v>
      </c>
      <c r="P23" s="20"/>
      <c r="Q23" s="33"/>
      <c r="R23" s="9">
        <f>March!R23+Q23</f>
        <v>0</v>
      </c>
    </row>
    <row r="24" spans="1:18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2"/>
      <c r="O24" s="9">
        <f>March!O24+N24</f>
        <v>0</v>
      </c>
      <c r="P24" s="20"/>
      <c r="Q24" s="33"/>
      <c r="R24" s="9">
        <f>March!R24+Q24</f>
        <v>0</v>
      </c>
    </row>
    <row r="25" spans="1:18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2"/>
      <c r="O25" s="9">
        <f>March!O25+N25</f>
        <v>0</v>
      </c>
      <c r="P25" s="20"/>
      <c r="Q25" s="33"/>
      <c r="R25" s="9">
        <f>March!R25+Q25</f>
        <v>0</v>
      </c>
    </row>
    <row r="26" spans="1:18" ht="18" customHeight="1">
      <c r="A26" s="9" t="s">
        <v>30</v>
      </c>
      <c r="B26" s="14">
        <f>1+2</f>
        <v>3</v>
      </c>
      <c r="C26" s="9">
        <f>March!C26+B26</f>
        <v>3</v>
      </c>
      <c r="D26" s="15">
        <v>1</v>
      </c>
      <c r="E26" s="9">
        <f>March!E26+D26</f>
        <v>6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2"/>
      <c r="O26" s="9">
        <f>March!O26+N26</f>
        <v>0</v>
      </c>
      <c r="P26" s="20"/>
      <c r="Q26" s="33"/>
      <c r="R26" s="9">
        <f>March!R26+Q26</f>
        <v>0</v>
      </c>
    </row>
    <row r="27" spans="1:18" ht="18" customHeight="1">
      <c r="A27" s="9" t="s">
        <v>31</v>
      </c>
      <c r="B27" s="14">
        <f>3</f>
        <v>3</v>
      </c>
      <c r="C27" s="9">
        <f>March!C27+B27</f>
        <v>6</v>
      </c>
      <c r="D27" s="15">
        <f>1+3+5+1+4+7+8+2+2+2+1+2+3+1+1+2+2+1+4+3+2+3+1+11</f>
        <v>72</v>
      </c>
      <c r="E27" s="9">
        <f>March!E27+D27</f>
        <v>130</v>
      </c>
      <c r="F27" s="16">
        <f>5+4+6+10</f>
        <v>25</v>
      </c>
      <c r="G27" s="9">
        <f>March!G27+F27</f>
        <v>67</v>
      </c>
      <c r="H27" s="17"/>
      <c r="I27" s="9">
        <f>March!I27+H27</f>
        <v>0</v>
      </c>
      <c r="J27" s="18">
        <f>1+14</f>
        <v>15</v>
      </c>
      <c r="K27" s="9">
        <f>March!K27+J27</f>
        <v>177</v>
      </c>
      <c r="L27" s="19"/>
      <c r="M27" s="9">
        <f>March!M27+L27</f>
        <v>0</v>
      </c>
      <c r="N27" s="32"/>
      <c r="O27" s="9">
        <f>March!O27+N27</f>
        <v>0</v>
      </c>
      <c r="P27" s="20"/>
      <c r="Q27" s="33"/>
      <c r="R27" s="9">
        <f>March!R27+Q27</f>
        <v>0</v>
      </c>
    </row>
    <row r="28" spans="1:18" ht="18" customHeight="1">
      <c r="A28" s="9" t="s">
        <v>32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2"/>
      <c r="O28" s="9">
        <f>March!O28+N28</f>
        <v>0</v>
      </c>
      <c r="P28" s="20"/>
      <c r="Q28" s="33"/>
      <c r="R28" s="9">
        <f>March!R28+Q28</f>
        <v>0</v>
      </c>
    </row>
    <row r="29" spans="1:18" ht="18" customHeight="1">
      <c r="A29" s="9" t="s">
        <v>33</v>
      </c>
      <c r="B29" s="14">
        <f>1+1</f>
        <v>2</v>
      </c>
      <c r="C29" s="9">
        <f>March!C29+B29</f>
        <v>7</v>
      </c>
      <c r="D29" s="15">
        <f>1+1+1+1+1+1+1+1+1+1+1+1+23+1+2+6+1+1+2+1+4+6+1+4+1+2+1+11+6+9+1+2+2</f>
        <v>99</v>
      </c>
      <c r="E29" s="9">
        <f>March!E29+D29</f>
        <v>134</v>
      </c>
      <c r="F29" s="16">
        <f>124+16</f>
        <v>140</v>
      </c>
      <c r="G29" s="9">
        <f>March!G29+F29</f>
        <v>161</v>
      </c>
      <c r="H29" s="17"/>
      <c r="I29" s="9">
        <f>March!I29+H29</f>
        <v>0</v>
      </c>
      <c r="J29" s="18">
        <f>4</f>
        <v>4</v>
      </c>
      <c r="K29" s="9">
        <f>March!K29+J29</f>
        <v>26</v>
      </c>
      <c r="L29" s="19"/>
      <c r="M29" s="9">
        <f>March!M29+L29</f>
        <v>0</v>
      </c>
      <c r="N29" s="32">
        <f>3+3+1</f>
        <v>7</v>
      </c>
      <c r="O29" s="9">
        <f>March!O29+N29</f>
        <v>7</v>
      </c>
      <c r="P29" s="20"/>
      <c r="Q29" s="33"/>
      <c r="R29" s="9">
        <f>March!R29+Q29</f>
        <v>0</v>
      </c>
    </row>
    <row r="30" spans="1:18" ht="18" customHeight="1">
      <c r="A30" s="9" t="s">
        <v>34</v>
      </c>
      <c r="B30" s="14"/>
      <c r="C30" s="9">
        <f>March!C30+B30</f>
        <v>0</v>
      </c>
      <c r="D30" s="15">
        <f>3+1+1+1</f>
        <v>6</v>
      </c>
      <c r="E30" s="9">
        <f>March!E30+D30</f>
        <v>29</v>
      </c>
      <c r="F30" s="16"/>
      <c r="G30" s="9">
        <f>March!G30+F30</f>
        <v>0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2"/>
      <c r="O30" s="9">
        <f>March!O30+N30</f>
        <v>0</v>
      </c>
      <c r="P30" s="20"/>
      <c r="Q30" s="33"/>
      <c r="R30" s="9">
        <f>March!R30+Q30</f>
        <v>0</v>
      </c>
    </row>
    <row r="31" spans="1:18" ht="18" customHeight="1">
      <c r="A31" s="9" t="s">
        <v>35</v>
      </c>
      <c r="B31" s="14"/>
      <c r="C31" s="9">
        <f>March!C31+B31</f>
        <v>0</v>
      </c>
      <c r="D31" s="15">
        <f>1+1+3+1+1+2+1+2+1+1+1+33</f>
        <v>48</v>
      </c>
      <c r="E31" s="9">
        <f>March!E31+D31</f>
        <v>73</v>
      </c>
      <c r="F31" s="16">
        <f>1+133+2</f>
        <v>136</v>
      </c>
      <c r="G31" s="9">
        <f>March!G31+F31</f>
        <v>445</v>
      </c>
      <c r="H31" s="17">
        <f>249+5+7</f>
        <v>261</v>
      </c>
      <c r="I31" s="9">
        <f>March!I31+H31</f>
        <v>364</v>
      </c>
      <c r="J31" s="18">
        <f>42+6+1</f>
        <v>49</v>
      </c>
      <c r="K31" s="9">
        <f>March!K31+J31</f>
        <v>179</v>
      </c>
      <c r="L31" s="19">
        <f>6</f>
        <v>6</v>
      </c>
      <c r="M31" s="9">
        <f>March!M31+L31</f>
        <v>110</v>
      </c>
      <c r="N31" s="32"/>
      <c r="O31" s="9">
        <f>March!O31+N31</f>
        <v>0</v>
      </c>
      <c r="P31" s="20"/>
      <c r="Q31" s="33"/>
      <c r="R31" s="9">
        <f>March!R31+Q31</f>
        <v>0</v>
      </c>
    </row>
    <row r="32" spans="1:18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1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2"/>
      <c r="O32" s="9">
        <f>March!O32+N32</f>
        <v>0</v>
      </c>
      <c r="P32" s="20"/>
      <c r="Q32" s="33"/>
      <c r="R32" s="9">
        <f>March!R32+Q32</f>
        <v>0</v>
      </c>
    </row>
    <row r="33" spans="1:18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2"/>
      <c r="O33" s="9">
        <f>March!O33+N33</f>
        <v>0</v>
      </c>
      <c r="P33" s="20"/>
      <c r="Q33" s="33"/>
      <c r="R33" s="9">
        <f>March!R33+Q33</f>
        <v>0</v>
      </c>
    </row>
    <row r="34" spans="1:18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2"/>
      <c r="O34" s="9">
        <f>March!O34+N34</f>
        <v>0</v>
      </c>
      <c r="P34" s="20"/>
      <c r="Q34" s="33"/>
      <c r="R34" s="9">
        <f>March!R34+Q34</f>
        <v>0</v>
      </c>
    </row>
    <row r="35" spans="1:18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1</v>
      </c>
      <c r="F35" s="16"/>
      <c r="G35" s="9">
        <f>March!G35+F35</f>
        <v>0</v>
      </c>
      <c r="H35" s="17"/>
      <c r="I35" s="9">
        <f>March!I35+H35</f>
        <v>477</v>
      </c>
      <c r="J35" s="18"/>
      <c r="K35" s="9">
        <f>March!K35+J35</f>
        <v>0</v>
      </c>
      <c r="L35" s="19"/>
      <c r="M35" s="9">
        <f>March!M35+L35</f>
        <v>0</v>
      </c>
      <c r="N35" s="32"/>
      <c r="O35" s="9">
        <f>March!O35+N35</f>
        <v>3</v>
      </c>
      <c r="P35" s="20"/>
      <c r="Q35" s="33"/>
      <c r="R35" s="9">
        <f>March!R35+Q35</f>
        <v>0</v>
      </c>
    </row>
    <row r="36" spans="1:18" ht="18" customHeight="1">
      <c r="A36" s="9" t="s">
        <v>40</v>
      </c>
      <c r="B36" s="14"/>
      <c r="C36" s="9">
        <f>March!C36+B36</f>
        <v>0</v>
      </c>
      <c r="D36" s="15"/>
      <c r="E36" s="9">
        <f>March!E36+D36</f>
        <v>1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2"/>
      <c r="O36" s="9">
        <f>March!O36+N36</f>
        <v>0</v>
      </c>
      <c r="P36" s="20"/>
      <c r="Q36" s="33"/>
      <c r="R36" s="9">
        <f>March!R36+Q36</f>
        <v>129960</v>
      </c>
    </row>
    <row r="37" spans="1:18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0</v>
      </c>
      <c r="F37" s="16"/>
      <c r="G37" s="9">
        <f>March!G37+F37</f>
        <v>0</v>
      </c>
      <c r="H37" s="17"/>
      <c r="I37" s="9">
        <f>March!I37+H37</f>
        <v>0</v>
      </c>
      <c r="J37" s="18">
        <v>3</v>
      </c>
      <c r="K37" s="9">
        <f>March!K37+J37</f>
        <v>3</v>
      </c>
      <c r="L37" s="19"/>
      <c r="M37" s="9">
        <f>March!M37+L37</f>
        <v>0</v>
      </c>
      <c r="N37" s="32"/>
      <c r="O37" s="9">
        <f>March!O37+N37</f>
        <v>0</v>
      </c>
      <c r="P37" s="20"/>
      <c r="Q37" s="33"/>
      <c r="R37" s="9">
        <f>March!R37+Q37</f>
        <v>50000</v>
      </c>
    </row>
    <row r="38" spans="1:18" ht="18" customHeight="1">
      <c r="A38" s="9" t="s">
        <v>42</v>
      </c>
      <c r="B38" s="14"/>
      <c r="C38" s="9">
        <f>March!C38+B38</f>
        <v>0</v>
      </c>
      <c r="D38" s="15">
        <f>5+1+3+1</f>
        <v>10</v>
      </c>
      <c r="E38" s="9">
        <f>March!E38+D38</f>
        <v>43</v>
      </c>
      <c r="F38" s="16"/>
      <c r="G38" s="9">
        <v>0</v>
      </c>
      <c r="H38" s="17"/>
      <c r="I38" s="9">
        <f>March!I38+H38</f>
        <v>226</v>
      </c>
      <c r="J38" s="18"/>
      <c r="K38" s="9">
        <f>March!K38+J38</f>
        <v>12</v>
      </c>
      <c r="L38" s="19"/>
      <c r="M38" s="9">
        <f>March!M38+L38</f>
        <v>0</v>
      </c>
      <c r="N38" s="32"/>
      <c r="O38" s="9">
        <f>March!O38+N38</f>
        <v>0</v>
      </c>
      <c r="P38" s="20"/>
      <c r="Q38" s="33"/>
      <c r="R38" s="9">
        <f>March!R38+Q38</f>
        <v>0</v>
      </c>
    </row>
    <row r="39" spans="1:18" ht="18" customHeight="1">
      <c r="A39" s="9" t="s">
        <v>43</v>
      </c>
      <c r="B39" s="14">
        <f>3</f>
        <v>3</v>
      </c>
      <c r="C39" s="9">
        <f>March!C39+B39</f>
        <v>10</v>
      </c>
      <c r="D39" s="15">
        <f>1+3</f>
        <v>4</v>
      </c>
      <c r="E39" s="9">
        <f>March!E39+D39</f>
        <v>6</v>
      </c>
      <c r="F39" s="16"/>
      <c r="G39" s="9">
        <f>March!G39+F39</f>
        <v>18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2"/>
      <c r="O39" s="9">
        <f>March!O39+N39</f>
        <v>0</v>
      </c>
      <c r="P39" s="20"/>
      <c r="Q39" s="33"/>
      <c r="R39" s="9">
        <f>March!R39+Q39</f>
        <v>0</v>
      </c>
    </row>
    <row r="40" spans="1:18" ht="18" customHeight="1">
      <c r="A40" s="9" t="s">
        <v>44</v>
      </c>
      <c r="B40" s="14"/>
      <c r="C40" s="9">
        <f>March!C40+B40</f>
        <v>0</v>
      </c>
      <c r="D40" s="15">
        <f>1+2+6+6+5+6+1+1+3+3+2+1+1+4+4+1</f>
        <v>47</v>
      </c>
      <c r="E40" s="9">
        <f>March!E40+D40</f>
        <v>57</v>
      </c>
      <c r="F40" s="16">
        <f>1+1+6+1+1+1</f>
        <v>11</v>
      </c>
      <c r="G40" s="9">
        <f>March!G40+F40</f>
        <v>17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32"/>
      <c r="O40" s="9">
        <f>March!O40+N40</f>
        <v>0</v>
      </c>
      <c r="P40" s="20"/>
      <c r="Q40" s="33"/>
      <c r="R40" s="9">
        <f>March!R40+Q40</f>
        <v>0</v>
      </c>
    </row>
    <row r="41" spans="1:18" ht="18" customHeight="1">
      <c r="A41" s="9" t="s">
        <v>45</v>
      </c>
      <c r="B41" s="14"/>
      <c r="C41" s="9">
        <f>March!C41+B41</f>
        <v>0</v>
      </c>
      <c r="D41" s="15"/>
      <c r="E41" s="9">
        <f>March!E41+D41</f>
        <v>3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2</v>
      </c>
      <c r="L41" s="19"/>
      <c r="M41" s="9">
        <f>March!M41+L41</f>
        <v>0</v>
      </c>
      <c r="N41" s="32"/>
      <c r="O41" s="9">
        <f>March!O41+N41</f>
        <v>0</v>
      </c>
      <c r="P41" s="20"/>
      <c r="Q41" s="33"/>
      <c r="R41" s="9">
        <f>March!R41+Q41</f>
        <v>0</v>
      </c>
    </row>
    <row r="42" spans="1:18" ht="18" customHeight="1">
      <c r="A42" s="9" t="s">
        <v>46</v>
      </c>
      <c r="B42" s="14">
        <f>1</f>
        <v>1</v>
      </c>
      <c r="C42" s="9">
        <f>March!C42+B42</f>
        <v>7</v>
      </c>
      <c r="D42" s="15"/>
      <c r="E42" s="9">
        <f>March!E42+D42</f>
        <v>0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2"/>
      <c r="O42" s="9">
        <f>March!O42+N42</f>
        <v>0</v>
      </c>
      <c r="P42" s="20"/>
      <c r="Q42" s="33"/>
      <c r="R42" s="9">
        <f>March!R42+Q42</f>
        <v>0</v>
      </c>
    </row>
    <row r="43" spans="1:18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2"/>
      <c r="O43" s="9">
        <f>March!O43+N43</f>
        <v>0</v>
      </c>
      <c r="P43" s="20"/>
      <c r="Q43" s="33"/>
      <c r="R43" s="9">
        <f>March!R43+Q43</f>
        <v>0</v>
      </c>
    </row>
    <row r="44" spans="1:18" ht="18" customHeight="1">
      <c r="A44" s="9" t="s">
        <v>48</v>
      </c>
      <c r="B44" s="14"/>
      <c r="C44" s="9">
        <f>March!C44+B44</f>
        <v>0</v>
      </c>
      <c r="D44" s="15">
        <f>1+2</f>
        <v>3</v>
      </c>
      <c r="E44" s="9">
        <f>March!E44+D44</f>
        <v>3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2"/>
      <c r="O44" s="9">
        <f>March!O44+N44</f>
        <v>0</v>
      </c>
      <c r="P44" s="20"/>
      <c r="Q44" s="33"/>
      <c r="R44" s="9">
        <f>March!R44+Q44</f>
        <v>0</v>
      </c>
    </row>
    <row r="45" spans="1:18" ht="18" customHeight="1">
      <c r="A45" s="9" t="s">
        <v>49</v>
      </c>
      <c r="B45" s="14"/>
      <c r="C45" s="9">
        <f>March!C45+B45</f>
        <v>0</v>
      </c>
      <c r="D45" s="15">
        <f>16+15+7+1+15+10+15+15+1+1+7+1+3</f>
        <v>107</v>
      </c>
      <c r="E45" s="9">
        <f>March!E45+D45</f>
        <v>137</v>
      </c>
      <c r="F45" s="16">
        <f>87+24+56+35+70+17+30+506</f>
        <v>825</v>
      </c>
      <c r="G45" s="9">
        <v>0</v>
      </c>
      <c r="H45" s="17">
        <f>376+166</f>
        <v>542</v>
      </c>
      <c r="I45" s="9">
        <f>March!I45+H45</f>
        <v>7157</v>
      </c>
      <c r="J45" s="18">
        <f>21+12+43</f>
        <v>76</v>
      </c>
      <c r="K45" s="9">
        <f>March!K45+J45</f>
        <v>248</v>
      </c>
      <c r="L45" s="19">
        <f>21+4</f>
        <v>25</v>
      </c>
      <c r="M45" s="9">
        <f>March!M45+L45</f>
        <v>3317</v>
      </c>
      <c r="N45" s="32"/>
      <c r="O45" s="9">
        <f>March!O45+N45</f>
        <v>0</v>
      </c>
      <c r="P45" s="20"/>
      <c r="Q45" s="33"/>
      <c r="R45" s="9">
        <f>March!R45+Q45</f>
        <v>0</v>
      </c>
    </row>
    <row r="46" spans="1:18" ht="18" customHeight="1">
      <c r="A46" s="9" t="s">
        <v>50</v>
      </c>
      <c r="B46" s="14"/>
      <c r="C46" s="9">
        <f>March!C46+B46</f>
        <v>0</v>
      </c>
      <c r="D46" s="15">
        <f>3</f>
        <v>3</v>
      </c>
      <c r="E46" s="9">
        <f>March!E46+D46</f>
        <v>9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32"/>
      <c r="O46" s="9">
        <f>March!O46+N46</f>
        <v>0</v>
      </c>
      <c r="P46" s="20"/>
      <c r="Q46" s="33"/>
      <c r="R46" s="9">
        <f>March!R46+Q46</f>
        <v>0</v>
      </c>
    </row>
    <row r="47" spans="1:18" ht="18" customHeight="1">
      <c r="A47" s="9" t="s">
        <v>51</v>
      </c>
      <c r="B47" s="14"/>
      <c r="C47" s="9">
        <f>March!C47+B47</f>
        <v>0</v>
      </c>
      <c r="D47" s="15">
        <f>1+1+1+1</f>
        <v>4</v>
      </c>
      <c r="E47" s="9">
        <f>March!E47+D47</f>
        <v>12</v>
      </c>
      <c r="F47" s="16"/>
      <c r="G47" s="9">
        <f>March!G47+F47</f>
        <v>14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2"/>
      <c r="O47" s="9">
        <f>March!O47+N47</f>
        <v>0</v>
      </c>
      <c r="P47" s="20"/>
      <c r="Q47" s="33"/>
      <c r="R47" s="9">
        <f>March!R47+Q47</f>
        <v>0</v>
      </c>
    </row>
    <row r="48" spans="1:18" ht="18" customHeight="1">
      <c r="A48" s="9" t="s">
        <v>52</v>
      </c>
      <c r="B48" s="14"/>
      <c r="C48" s="9">
        <f>March!C48+B48</f>
        <v>0</v>
      </c>
      <c r="D48" s="15"/>
      <c r="E48" s="9">
        <f>March!E48+D48</f>
        <v>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2"/>
      <c r="O48" s="9">
        <f>March!O48+N48</f>
        <v>0</v>
      </c>
      <c r="P48" s="20"/>
      <c r="Q48" s="33"/>
      <c r="R48" s="9">
        <f>March!R48+Q48</f>
        <v>0</v>
      </c>
    </row>
    <row r="49" spans="1:18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2"/>
      <c r="O49" s="9">
        <f>March!O49+N49</f>
        <v>0</v>
      </c>
      <c r="P49" s="20"/>
      <c r="Q49" s="33"/>
      <c r="R49" s="9">
        <f>March!R49+Q49</f>
        <v>0</v>
      </c>
    </row>
    <row r="50" spans="1:18" ht="18" customHeight="1">
      <c r="A50" s="9" t="s">
        <v>54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2"/>
      <c r="O50" s="9">
        <f>March!O50+N50</f>
        <v>0</v>
      </c>
      <c r="P50" s="20"/>
      <c r="Q50" s="33"/>
      <c r="R50" s="9">
        <f>March!R50+Q50</f>
        <v>0</v>
      </c>
    </row>
    <row r="51" spans="1:18" ht="18" customHeight="1">
      <c r="A51" s="9" t="s">
        <v>55</v>
      </c>
      <c r="B51" s="14"/>
      <c r="C51" s="9">
        <f>March!C51+B51</f>
        <v>0</v>
      </c>
      <c r="D51" s="15">
        <f>1</f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2"/>
      <c r="O51" s="9">
        <f>March!O51+N51</f>
        <v>0</v>
      </c>
      <c r="P51" s="20"/>
      <c r="Q51" s="33"/>
      <c r="R51" s="9">
        <f>March!R51+Q51</f>
        <v>0</v>
      </c>
    </row>
    <row r="52" spans="1:18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2"/>
      <c r="O52" s="9">
        <f>March!O52+N52</f>
        <v>0</v>
      </c>
      <c r="P52" s="20"/>
      <c r="Q52" s="33"/>
      <c r="R52" s="9">
        <f>March!R52+Q52</f>
        <v>0</v>
      </c>
    </row>
    <row r="53" spans="1:18" ht="18" customHeight="1">
      <c r="A53" s="9" t="s">
        <v>57</v>
      </c>
      <c r="B53" s="14">
        <v>6</v>
      </c>
      <c r="C53" s="9">
        <f>March!C53+B53</f>
        <v>8</v>
      </c>
      <c r="D53" s="15">
        <f>2+1+1+1+1+1+2+1+1+4+1+4+1+6+2+1+1+1+1+1+1+2+1+1+10+8+2+1+2+9+3+7+7+1+1+1+41</f>
        <v>132</v>
      </c>
      <c r="E53" s="9">
        <f>March!E53+D53</f>
        <v>207</v>
      </c>
      <c r="F53" s="16">
        <f>3+1+1</f>
        <v>5</v>
      </c>
      <c r="G53" s="9">
        <f>March!G53+F53</f>
        <v>29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32">
        <f>2+4+4+17</f>
        <v>27</v>
      </c>
      <c r="O53" s="9">
        <f>March!O53+N53</f>
        <v>30</v>
      </c>
      <c r="P53" s="20"/>
      <c r="Q53" s="33"/>
      <c r="R53" s="9">
        <f>March!R53+Q53</f>
        <v>160</v>
      </c>
    </row>
    <row r="54" spans="1:18" ht="18" customHeight="1" thickBot="1">
      <c r="A54" s="10" t="s">
        <v>58</v>
      </c>
      <c r="B54" s="14"/>
      <c r="C54" s="9">
        <f>March!C54+B54</f>
        <v>0</v>
      </c>
      <c r="D54" s="15">
        <f>1+1+3+1+1</f>
        <v>7</v>
      </c>
      <c r="E54" s="9">
        <f>March!E54+D54</f>
        <v>33</v>
      </c>
      <c r="F54" s="16">
        <f>11+2</f>
        <v>13</v>
      </c>
      <c r="G54" s="9">
        <f>March!G54+F54</f>
        <v>13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2"/>
      <c r="O54" s="9">
        <f>March!O54+N54</f>
        <v>0</v>
      </c>
      <c r="P54" s="20"/>
      <c r="Q54" s="34"/>
      <c r="R54" s="9">
        <f>March!R54+Q54</f>
        <v>0</v>
      </c>
    </row>
    <row r="55" spans="1:18" ht="18" customHeight="1" thickBot="1" thickTop="1">
      <c r="A55" s="11" t="s">
        <v>59</v>
      </c>
      <c r="B55" s="11">
        <f>SUM(B5:B54)</f>
        <v>20</v>
      </c>
      <c r="C55" s="11"/>
      <c r="D55" s="11">
        <f>SUM(D5:D54)</f>
        <v>660</v>
      </c>
      <c r="E55" s="11"/>
      <c r="F55" s="11">
        <f>SUM(F5:F54)</f>
        <v>1260</v>
      </c>
      <c r="G55" s="11"/>
      <c r="H55" s="11">
        <f>SUM(H5:H54)</f>
        <v>803</v>
      </c>
      <c r="I55" s="11"/>
      <c r="J55" s="11">
        <f>SUM(J5:J54)</f>
        <v>196</v>
      </c>
      <c r="K55" s="11"/>
      <c r="L55" s="11">
        <f>SUM(L5:L54)</f>
        <v>31</v>
      </c>
      <c r="M55" s="11"/>
      <c r="N55" s="11">
        <f>SUM(N5:N54)</f>
        <v>34</v>
      </c>
      <c r="O55" s="11"/>
      <c r="Q55" s="11">
        <f>SUM(Q5:Q54)</f>
        <v>396543</v>
      </c>
      <c r="R55" s="23"/>
    </row>
    <row r="56" spans="1:24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X56" s="4"/>
    </row>
    <row r="57" spans="1:18" ht="18" customHeight="1" thickBot="1" thickTop="1">
      <c r="A57" s="13" t="s">
        <v>60</v>
      </c>
      <c r="B57" s="11"/>
      <c r="C57" s="11">
        <f>March!C57+B55</f>
        <v>45</v>
      </c>
      <c r="D57" s="11"/>
      <c r="E57" s="11">
        <f>March!E57+D55</f>
        <v>1096</v>
      </c>
      <c r="F57" s="11"/>
      <c r="G57" s="11">
        <f>March!G57+F55</f>
        <v>3241</v>
      </c>
      <c r="H57" s="11"/>
      <c r="I57" s="11">
        <f>March!I57+H55</f>
        <v>8224</v>
      </c>
      <c r="J57" s="11"/>
      <c r="K57" s="11">
        <f>March!K57+J55</f>
        <v>696</v>
      </c>
      <c r="L57" s="11"/>
      <c r="M57" s="11">
        <f>March!M57+L55</f>
        <v>3427</v>
      </c>
      <c r="N57" s="11"/>
      <c r="O57" s="11">
        <f>March!O57+N55</f>
        <v>40</v>
      </c>
      <c r="Q57" s="23"/>
      <c r="R57" s="11">
        <f>March!R57+Q55</f>
        <v>1358340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4" s="4" customFormat="1" ht="18" customHeight="1">
      <c r="A62" s="4" t="s">
        <v>62</v>
      </c>
      <c r="X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8" width="9.00390625" style="2" customWidth="1"/>
    <col min="19" max="19" width="11.50390625" style="2" customWidth="1"/>
    <col min="20" max="16384" width="9.00390625" style="2" customWidth="1"/>
  </cols>
  <sheetData>
    <row r="1" spans="1:10" ht="23.25">
      <c r="A1" s="1" t="s">
        <v>78</v>
      </c>
      <c r="H1" s="2" t="s">
        <v>68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8" ht="41.2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6"/>
      <c r="N3" s="54" t="s">
        <v>76</v>
      </c>
      <c r="O3" s="57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April!C5+B5</f>
        <v>0</v>
      </c>
      <c r="D5" s="15">
        <v>1</v>
      </c>
      <c r="E5" s="9">
        <f>April!E5+D5</f>
        <v>2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2"/>
      <c r="O5" s="9">
        <f>April!O5+N5</f>
        <v>0</v>
      </c>
      <c r="P5" s="20"/>
      <c r="Q5" s="33"/>
      <c r="R5" s="9">
        <f>April!R5+Q5</f>
        <v>0</v>
      </c>
    </row>
    <row r="6" spans="1:18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2"/>
      <c r="O6" s="9">
        <f>April!O6+N6</f>
        <v>0</v>
      </c>
      <c r="P6" s="20"/>
      <c r="Q6" s="33"/>
      <c r="R6" s="9">
        <f>April!R6+Q6</f>
        <v>0</v>
      </c>
    </row>
    <row r="7" spans="1:18" ht="18" customHeight="1">
      <c r="A7" s="9" t="s">
        <v>11</v>
      </c>
      <c r="B7" s="14"/>
      <c r="C7" s="9">
        <f>April!C7+B7</f>
        <v>0</v>
      </c>
      <c r="D7" s="15">
        <f>2+6+3+2+1+3+3+1+4+2+1+4+2+3</f>
        <v>37</v>
      </c>
      <c r="E7" s="9">
        <f>April!E7+D7</f>
        <v>99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32"/>
      <c r="O7" s="9">
        <f>April!O7+N7</f>
        <v>0</v>
      </c>
      <c r="P7" s="20"/>
      <c r="Q7" s="33"/>
      <c r="R7" s="9">
        <f>April!R7+Q7</f>
        <v>0</v>
      </c>
    </row>
    <row r="8" spans="1:18" ht="18" customHeight="1">
      <c r="A8" s="9" t="s">
        <v>12</v>
      </c>
      <c r="B8" s="14"/>
      <c r="C8" s="9">
        <f>April!C8+B8</f>
        <v>0</v>
      </c>
      <c r="D8" s="15">
        <f>6+3+2+2</f>
        <v>13</v>
      </c>
      <c r="E8" s="9">
        <f>April!E8+D8</f>
        <v>16</v>
      </c>
      <c r="F8" s="16"/>
      <c r="G8" s="9">
        <f>April!G8+F8</f>
        <v>0</v>
      </c>
      <c r="H8" s="17"/>
      <c r="I8" s="9">
        <f>April!I8+H8</f>
        <v>0</v>
      </c>
      <c r="J8" s="18">
        <f>3</f>
        <v>3</v>
      </c>
      <c r="K8" s="9">
        <f>April!K8+J8</f>
        <v>3</v>
      </c>
      <c r="L8" s="19"/>
      <c r="M8" s="9">
        <f>April!M8+L8</f>
        <v>0</v>
      </c>
      <c r="N8" s="32"/>
      <c r="O8" s="9">
        <f>April!O8+N8</f>
        <v>0</v>
      </c>
      <c r="P8" s="20"/>
      <c r="Q8" s="33"/>
      <c r="R8" s="9">
        <f>April!R8+Q8</f>
        <v>0</v>
      </c>
    </row>
    <row r="9" spans="1:18" ht="18" customHeight="1">
      <c r="A9" s="9" t="s">
        <v>13</v>
      </c>
      <c r="B9" s="14"/>
      <c r="C9" s="9">
        <f>April!C9+B9</f>
        <v>0</v>
      </c>
      <c r="D9" s="15"/>
      <c r="E9" s="9">
        <f>April!E9+D9</f>
        <v>11</v>
      </c>
      <c r="F9" s="16">
        <v>2</v>
      </c>
      <c r="G9" s="9">
        <f>April!G9+F9</f>
        <v>2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32"/>
      <c r="O9" s="9">
        <f>April!O9+N9</f>
        <v>0</v>
      </c>
      <c r="P9" s="20"/>
      <c r="Q9" s="33"/>
      <c r="R9" s="9">
        <f>April!R9+Q9</f>
        <v>0</v>
      </c>
    </row>
    <row r="10" spans="1:20" ht="18" customHeight="1">
      <c r="A10" s="9" t="s">
        <v>14</v>
      </c>
      <c r="B10" s="14"/>
      <c r="C10" s="9">
        <f>April!C10+B10</f>
        <v>0</v>
      </c>
      <c r="D10" s="15">
        <f>1+2</f>
        <v>3</v>
      </c>
      <c r="E10" s="9">
        <f>April!E10+D10</f>
        <v>23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2"/>
      <c r="O10" s="9">
        <f>April!O10+N10</f>
        <v>0</v>
      </c>
      <c r="P10" s="20"/>
      <c r="Q10" s="33">
        <f>6814+16000+50400+50400+49440+19200+49200+20400+20000+10500+28800+19200+18300</f>
        <v>358654</v>
      </c>
      <c r="R10" s="9">
        <f>April!R10+Q10</f>
        <v>1381852</v>
      </c>
      <c r="S10" s="2" t="s">
        <v>102</v>
      </c>
      <c r="T10" s="2" t="s">
        <v>103</v>
      </c>
    </row>
    <row r="11" spans="1:18" ht="18" customHeight="1">
      <c r="A11" s="9" t="s">
        <v>15</v>
      </c>
      <c r="B11" s="14"/>
      <c r="C11" s="9">
        <f>April!C11+B11</f>
        <v>0</v>
      </c>
      <c r="D11" s="15">
        <f>7+6+2+1+3</f>
        <v>19</v>
      </c>
      <c r="E11" s="9">
        <f>April!E11+D11</f>
        <v>33</v>
      </c>
      <c r="F11" s="16">
        <f>1</f>
        <v>1</v>
      </c>
      <c r="G11" s="9">
        <f>April!G11+F11</f>
        <v>4</v>
      </c>
      <c r="H11" s="17"/>
      <c r="I11" s="9">
        <f>April!I11+H11</f>
        <v>0</v>
      </c>
      <c r="J11" s="18">
        <f>6</f>
        <v>6</v>
      </c>
      <c r="K11" s="9">
        <f>April!K11+J11</f>
        <v>6</v>
      </c>
      <c r="L11" s="19"/>
      <c r="M11" s="9">
        <f>April!M11+L11</f>
        <v>0</v>
      </c>
      <c r="N11" s="32"/>
      <c r="O11" s="9">
        <f>April!O11+N11</f>
        <v>0</v>
      </c>
      <c r="P11" s="20"/>
      <c r="Q11" s="33"/>
      <c r="R11" s="9">
        <f>April!R11+Q11</f>
        <v>0</v>
      </c>
    </row>
    <row r="12" spans="1:18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1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2"/>
      <c r="O12" s="9">
        <f>April!O12+N12</f>
        <v>0</v>
      </c>
      <c r="P12" s="20"/>
      <c r="Q12" s="33"/>
      <c r="R12" s="9">
        <f>April!R12+Q12</f>
        <v>155022</v>
      </c>
    </row>
    <row r="13" spans="1:18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1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2"/>
      <c r="O13" s="9">
        <f>April!O13+N13</f>
        <v>0</v>
      </c>
      <c r="P13" s="20"/>
      <c r="Q13" s="33"/>
      <c r="R13" s="9">
        <f>April!R13+Q13</f>
        <v>0</v>
      </c>
    </row>
    <row r="14" spans="1:18" ht="18" customHeight="1">
      <c r="A14" s="9" t="s">
        <v>18</v>
      </c>
      <c r="B14" s="14"/>
      <c r="C14" s="9">
        <f>April!C14+B14</f>
        <v>0</v>
      </c>
      <c r="D14" s="15">
        <f>3+6+7</f>
        <v>16</v>
      </c>
      <c r="E14" s="9">
        <f>April!E14+D14</f>
        <v>61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2"/>
      <c r="O14" s="9">
        <f>April!O14+N14</f>
        <v>0</v>
      </c>
      <c r="P14" s="20"/>
      <c r="Q14" s="33"/>
      <c r="R14" s="9">
        <f>April!R14+Q14</f>
        <v>0</v>
      </c>
    </row>
    <row r="15" spans="1:18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2"/>
      <c r="O15" s="9">
        <f>April!O15+N15</f>
        <v>0</v>
      </c>
      <c r="P15" s="20"/>
      <c r="Q15" s="33"/>
      <c r="R15" s="9">
        <f>April!R15+Q15</f>
        <v>0</v>
      </c>
    </row>
    <row r="16" spans="1:18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2"/>
      <c r="O16" s="9">
        <f>April!O16+N16</f>
        <v>0</v>
      </c>
      <c r="P16" s="20"/>
      <c r="Q16" s="33"/>
      <c r="R16" s="9">
        <f>April!R16+Q16</f>
        <v>0</v>
      </c>
    </row>
    <row r="17" spans="1:18" ht="18" customHeight="1">
      <c r="A17" s="9" t="s">
        <v>21</v>
      </c>
      <c r="B17" s="14"/>
      <c r="C17" s="9">
        <f>April!C17+B17</f>
        <v>0</v>
      </c>
      <c r="D17" s="15">
        <f>1+2+1</f>
        <v>4</v>
      </c>
      <c r="E17" s="9">
        <f>April!E17+D17</f>
        <v>5</v>
      </c>
      <c r="F17" s="16">
        <f>4</f>
        <v>4</v>
      </c>
      <c r="G17" s="9">
        <f>April!G17+F17</f>
        <v>4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2">
        <f>1</f>
        <v>1</v>
      </c>
      <c r="O17" s="9">
        <f>April!O17+N17</f>
        <v>1</v>
      </c>
      <c r="P17" s="20"/>
      <c r="Q17" s="33"/>
      <c r="R17" s="9">
        <f>April!R17+Q17</f>
        <v>0</v>
      </c>
    </row>
    <row r="18" spans="1:18" ht="18" customHeight="1">
      <c r="A18" s="9" t="s">
        <v>22</v>
      </c>
      <c r="B18" s="14"/>
      <c r="C18" s="9">
        <f>April!C18+B18</f>
        <v>1</v>
      </c>
      <c r="D18" s="15">
        <f>3+1+1+11+1+2+6+3+1+1+1+18</f>
        <v>49</v>
      </c>
      <c r="E18" s="9">
        <f>April!E18+D18</f>
        <v>69</v>
      </c>
      <c r="F18" s="16"/>
      <c r="G18" s="9">
        <f>April!G18+F18</f>
        <v>100</v>
      </c>
      <c r="H18" s="17"/>
      <c r="I18" s="9">
        <f>April!I18+H18</f>
        <v>0</v>
      </c>
      <c r="J18" s="18"/>
      <c r="K18" s="9">
        <f>April!K18+J18</f>
        <v>0</v>
      </c>
      <c r="L18" s="19"/>
      <c r="M18" s="9">
        <f>April!M18+L18</f>
        <v>0</v>
      </c>
      <c r="N18" s="32"/>
      <c r="O18" s="9">
        <f>April!O18+N18</f>
        <v>0</v>
      </c>
      <c r="P18" s="20"/>
      <c r="Q18" s="33"/>
      <c r="R18" s="9">
        <f>April!R18+Q18</f>
        <v>0</v>
      </c>
    </row>
    <row r="19" spans="1:18" ht="18" customHeight="1">
      <c r="A19" s="9" t="s">
        <v>23</v>
      </c>
      <c r="B19" s="14"/>
      <c r="C19" s="9">
        <f>April!C19+B19</f>
        <v>3</v>
      </c>
      <c r="D19" s="15">
        <f>1</f>
        <v>1</v>
      </c>
      <c r="E19" s="9">
        <f>April!E19+D19</f>
        <v>5</v>
      </c>
      <c r="F19" s="16">
        <f>1+3+3+1</f>
        <v>8</v>
      </c>
      <c r="G19" s="9">
        <f>April!G19+F19</f>
        <v>11</v>
      </c>
      <c r="H19" s="17"/>
      <c r="I19" s="9">
        <f>April!I19+H19</f>
        <v>0</v>
      </c>
      <c r="J19" s="18"/>
      <c r="K19" s="9">
        <f>April!K19+J19</f>
        <v>49</v>
      </c>
      <c r="L19" s="19"/>
      <c r="M19" s="9">
        <f>April!M19+L19</f>
        <v>0</v>
      </c>
      <c r="N19" s="32"/>
      <c r="O19" s="9">
        <f>April!O19+N19</f>
        <v>0</v>
      </c>
      <c r="P19" s="20"/>
      <c r="Q19" s="33"/>
      <c r="R19" s="9">
        <f>April!R19+Q19</f>
        <v>0</v>
      </c>
    </row>
    <row r="20" spans="1:18" ht="18" customHeight="1">
      <c r="A20" s="9" t="s">
        <v>24</v>
      </c>
      <c r="B20" s="14"/>
      <c r="C20" s="9">
        <f>April!C20+B20</f>
        <v>0</v>
      </c>
      <c r="D20" s="15">
        <f>1+1+1+1+8</f>
        <v>12</v>
      </c>
      <c r="E20" s="9">
        <f>April!E20+D20</f>
        <v>22</v>
      </c>
      <c r="F20" s="16"/>
      <c r="G20" s="9">
        <f>April!G20+F20</f>
        <v>1</v>
      </c>
      <c r="H20" s="17"/>
      <c r="I20" s="9">
        <f>April!I20+H20</f>
        <v>0</v>
      </c>
      <c r="J20" s="18"/>
      <c r="K20" s="9">
        <f>April!K20+J20</f>
        <v>0</v>
      </c>
      <c r="L20" s="19"/>
      <c r="M20" s="9">
        <f>April!M20+L20</f>
        <v>0</v>
      </c>
      <c r="N20" s="32"/>
      <c r="O20" s="9">
        <f>April!O20+N20</f>
        <v>0</v>
      </c>
      <c r="P20" s="20"/>
      <c r="Q20" s="33"/>
      <c r="R20" s="9">
        <f>April!R20+Q20</f>
        <v>0</v>
      </c>
    </row>
    <row r="21" spans="1:18" ht="18" customHeight="1">
      <c r="A21" s="9" t="s">
        <v>25</v>
      </c>
      <c r="B21" s="14"/>
      <c r="C21" s="9">
        <f>April!C21+B21</f>
        <v>0</v>
      </c>
      <c r="D21" s="15">
        <f>1+3+1+1+3+1+1+2+2+7+2+1+1+1+1</f>
        <v>28</v>
      </c>
      <c r="E21" s="9">
        <f>April!E21+D21</f>
        <v>38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2"/>
      <c r="O21" s="9">
        <f>April!O21+N21</f>
        <v>0</v>
      </c>
      <c r="P21" s="20"/>
      <c r="Q21" s="33"/>
      <c r="R21" s="9">
        <f>April!R21+Q21</f>
        <v>0</v>
      </c>
    </row>
    <row r="22" spans="1:18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2"/>
      <c r="O22" s="9">
        <f>April!O22+N22</f>
        <v>0</v>
      </c>
      <c r="P22" s="20"/>
      <c r="Q22" s="33"/>
      <c r="R22" s="9">
        <f>April!R22+Q22</f>
        <v>0</v>
      </c>
    </row>
    <row r="23" spans="1:18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2"/>
      <c r="O23" s="9">
        <f>April!O23+N23</f>
        <v>0</v>
      </c>
      <c r="P23" s="20"/>
      <c r="Q23" s="33"/>
      <c r="R23" s="9">
        <f>April!R23+Q23</f>
        <v>0</v>
      </c>
    </row>
    <row r="24" spans="1:18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2"/>
      <c r="O24" s="9">
        <f>April!O24+N24</f>
        <v>0</v>
      </c>
      <c r="P24" s="20"/>
      <c r="Q24" s="33"/>
      <c r="R24" s="9">
        <f>April!R24+Q24</f>
        <v>0</v>
      </c>
    </row>
    <row r="25" spans="1:18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2"/>
      <c r="O25" s="9">
        <f>April!O25+N25</f>
        <v>0</v>
      </c>
      <c r="P25" s="20"/>
      <c r="Q25" s="33"/>
      <c r="R25" s="9">
        <f>April!R25+Q25</f>
        <v>0</v>
      </c>
    </row>
    <row r="26" spans="1:18" ht="18" customHeight="1">
      <c r="A26" s="9" t="s">
        <v>30</v>
      </c>
      <c r="B26" s="14"/>
      <c r="C26" s="9">
        <f>April!C26+B26</f>
        <v>3</v>
      </c>
      <c r="D26" s="15">
        <f>6+1</f>
        <v>7</v>
      </c>
      <c r="E26" s="9">
        <f>April!E26+D26</f>
        <v>13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2"/>
      <c r="O26" s="9">
        <f>April!O26+N26</f>
        <v>0</v>
      </c>
      <c r="P26" s="20"/>
      <c r="Q26" s="33"/>
      <c r="R26" s="9">
        <f>April!R26+Q26</f>
        <v>0</v>
      </c>
    </row>
    <row r="27" spans="1:18" ht="18" customHeight="1">
      <c r="A27" s="9" t="s">
        <v>31</v>
      </c>
      <c r="B27" s="14"/>
      <c r="C27" s="9">
        <f>April!C27+B27</f>
        <v>6</v>
      </c>
      <c r="D27" s="15">
        <f>2+3+1+1+1+3+1+15+3+1+1+2+2+3+1+1+1+1+1+1+3+3+1+2+2+1+4+4+1+1+3+1+4+2+2+3+1+1+8+1+4+1+2+2+1+2+1+2+2+2+2+1+4+1+1+1+1+1+1+2+2+1+2+1+1+23</f>
        <v>157</v>
      </c>
      <c r="E27" s="9">
        <f>April!E27+D27</f>
        <v>287</v>
      </c>
      <c r="F27" s="16">
        <f>44+8+11+19+132+46+3+5+3+2</f>
        <v>273</v>
      </c>
      <c r="G27" s="9">
        <f>April!G27+F27</f>
        <v>340</v>
      </c>
      <c r="H27" s="17"/>
      <c r="I27" s="9">
        <f>April!I27+H27</f>
        <v>0</v>
      </c>
      <c r="J27" s="18">
        <f>20+3</f>
        <v>23</v>
      </c>
      <c r="K27" s="9">
        <f>April!K27+J27</f>
        <v>200</v>
      </c>
      <c r="L27" s="19"/>
      <c r="M27" s="9">
        <f>April!M27+L27</f>
        <v>0</v>
      </c>
      <c r="N27" s="32">
        <f>8</f>
        <v>8</v>
      </c>
      <c r="O27" s="9">
        <f>April!O27+N27</f>
        <v>8</v>
      </c>
      <c r="P27" s="20"/>
      <c r="Q27" s="33"/>
      <c r="R27" s="9">
        <f>April!R27+Q27</f>
        <v>0</v>
      </c>
    </row>
    <row r="28" spans="1:18" ht="18" customHeight="1">
      <c r="A28" s="9" t="s">
        <v>32</v>
      </c>
      <c r="B28" s="14"/>
      <c r="C28" s="9">
        <f>April!C28+B28</f>
        <v>0</v>
      </c>
      <c r="D28" s="15">
        <f>1</f>
        <v>1</v>
      </c>
      <c r="E28" s="9">
        <f>April!E28+D28</f>
        <v>1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2"/>
      <c r="O28" s="9">
        <f>April!O28+N28</f>
        <v>0</v>
      </c>
      <c r="P28" s="20"/>
      <c r="Q28" s="33"/>
      <c r="R28" s="9">
        <f>April!R28+Q28</f>
        <v>0</v>
      </c>
    </row>
    <row r="29" spans="1:18" ht="18" customHeight="1">
      <c r="A29" s="9" t="s">
        <v>33</v>
      </c>
      <c r="B29" s="14"/>
      <c r="C29" s="9">
        <f>April!C29+B29</f>
        <v>7</v>
      </c>
      <c r="D29" s="15">
        <f>1+1+1+1+13+1+1+9+1+1+3+2+2+1+1+2+1+1+4+1+3+1+1+1+1+2+6+2+1+6+1+1+2+16</f>
        <v>92</v>
      </c>
      <c r="E29" s="9">
        <f>April!E29+D29</f>
        <v>226</v>
      </c>
      <c r="F29" s="16">
        <f>133</f>
        <v>133</v>
      </c>
      <c r="G29" s="9">
        <f>April!G29+F29</f>
        <v>294</v>
      </c>
      <c r="H29" s="17"/>
      <c r="I29" s="9">
        <f>April!I29+H29</f>
        <v>0</v>
      </c>
      <c r="J29" s="18">
        <f>1+10</f>
        <v>11</v>
      </c>
      <c r="K29" s="9">
        <f>April!K29+J29</f>
        <v>37</v>
      </c>
      <c r="L29" s="19"/>
      <c r="M29" s="9">
        <f>April!M29+L29</f>
        <v>0</v>
      </c>
      <c r="N29" s="32">
        <f>2</f>
        <v>2</v>
      </c>
      <c r="O29" s="9">
        <f>April!O29+N29</f>
        <v>9</v>
      </c>
      <c r="P29" s="20"/>
      <c r="Q29" s="33"/>
      <c r="R29" s="9">
        <f>April!R29+Q29</f>
        <v>0</v>
      </c>
    </row>
    <row r="30" spans="1:18" ht="18" customHeight="1">
      <c r="A30" s="9" t="s">
        <v>34</v>
      </c>
      <c r="B30" s="14"/>
      <c r="C30" s="9">
        <f>April!C30+B30</f>
        <v>0</v>
      </c>
      <c r="D30" s="15">
        <f>1+1+1+6</f>
        <v>9</v>
      </c>
      <c r="E30" s="9">
        <f>April!E30+D30</f>
        <v>38</v>
      </c>
      <c r="F30" s="16"/>
      <c r="G30" s="9">
        <f>April!G30+F30</f>
        <v>0</v>
      </c>
      <c r="H30" s="17">
        <f>197</f>
        <v>197</v>
      </c>
      <c r="I30" s="9">
        <f>April!I30+H30</f>
        <v>197</v>
      </c>
      <c r="J30" s="18"/>
      <c r="K30" s="9">
        <f>April!K30+J30</f>
        <v>0</v>
      </c>
      <c r="L30" s="19">
        <f>3</f>
        <v>3</v>
      </c>
      <c r="M30" s="9">
        <f>April!M30+L30</f>
        <v>3</v>
      </c>
      <c r="N30" s="32"/>
      <c r="O30" s="9">
        <f>April!O30+N30</f>
        <v>0</v>
      </c>
      <c r="P30" s="20"/>
      <c r="Q30" s="33"/>
      <c r="R30" s="9">
        <f>April!R30+Q30</f>
        <v>0</v>
      </c>
    </row>
    <row r="31" spans="1:18" ht="18" customHeight="1">
      <c r="A31" s="9" t="s">
        <v>35</v>
      </c>
      <c r="B31" s="14"/>
      <c r="C31" s="9">
        <f>April!C31+B31</f>
        <v>0</v>
      </c>
      <c r="D31" s="15">
        <f>1+1+2+1+1+1+5+1+1+1+1+1+1+1+1+5+7+1+1+2+1+2+1+3+2+1+1+1+1+2+5+2+1+27+9+4+4+2+8+1+7+1+2+10+1+4+6+2+1+3+3+1+1+5+2+5+67</f>
        <v>235</v>
      </c>
      <c r="E31" s="9">
        <f>April!E31+D31</f>
        <v>308</v>
      </c>
      <c r="F31" s="16">
        <f>34+4+68+47+12+4+5</f>
        <v>174</v>
      </c>
      <c r="G31" s="9">
        <f>April!G31+F31</f>
        <v>619</v>
      </c>
      <c r="H31" s="17">
        <f>102+115</f>
        <v>217</v>
      </c>
      <c r="I31" s="9">
        <f>April!I31+H31</f>
        <v>581</v>
      </c>
      <c r="J31" s="18">
        <f>14+9+1+4+13+5</f>
        <v>46</v>
      </c>
      <c r="K31" s="9">
        <f>April!K31+J31</f>
        <v>225</v>
      </c>
      <c r="L31" s="19">
        <f>9+37+39</f>
        <v>85</v>
      </c>
      <c r="M31" s="9">
        <f>April!M31+L31</f>
        <v>195</v>
      </c>
      <c r="N31" s="32"/>
      <c r="O31" s="9">
        <f>April!O31+N31</f>
        <v>0</v>
      </c>
      <c r="P31" s="20"/>
      <c r="Q31" s="33"/>
      <c r="R31" s="9">
        <f>April!R31+Q31</f>
        <v>0</v>
      </c>
    </row>
    <row r="32" spans="1:18" ht="18" customHeight="1">
      <c r="A32" s="9" t="s">
        <v>36</v>
      </c>
      <c r="B32" s="14"/>
      <c r="C32" s="9">
        <f>April!C32+B32</f>
        <v>0</v>
      </c>
      <c r="D32" s="15"/>
      <c r="E32" s="9">
        <f>April!E32+D32</f>
        <v>1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2"/>
      <c r="O32" s="9">
        <f>April!O32+N32</f>
        <v>0</v>
      </c>
      <c r="P32" s="20"/>
      <c r="Q32" s="33"/>
      <c r="R32" s="9">
        <f>April!R32+Q32</f>
        <v>0</v>
      </c>
    </row>
    <row r="33" spans="1:18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2"/>
      <c r="O33" s="9">
        <f>April!O33+N33</f>
        <v>0</v>
      </c>
      <c r="P33" s="20"/>
      <c r="Q33" s="33"/>
      <c r="R33" s="9">
        <f>April!R33+Q33</f>
        <v>0</v>
      </c>
    </row>
    <row r="34" spans="1:18" ht="18" customHeight="1">
      <c r="A34" s="9" t="s">
        <v>38</v>
      </c>
      <c r="B34" s="14"/>
      <c r="C34" s="9">
        <f>April!C34+B34</f>
        <v>0</v>
      </c>
      <c r="D34" s="15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2"/>
      <c r="O34" s="9">
        <f>April!O34+N34</f>
        <v>0</v>
      </c>
      <c r="P34" s="20"/>
      <c r="Q34" s="33"/>
      <c r="R34" s="9">
        <f>April!R34+Q34</f>
        <v>0</v>
      </c>
    </row>
    <row r="35" spans="1:18" ht="18" customHeight="1">
      <c r="A35" s="9" t="s">
        <v>39</v>
      </c>
      <c r="B35" s="14"/>
      <c r="C35" s="9">
        <f>April!C35+B35</f>
        <v>0</v>
      </c>
      <c r="D35" s="15">
        <f>2+6</f>
        <v>8</v>
      </c>
      <c r="E35" s="9">
        <f>April!E35+D35</f>
        <v>9</v>
      </c>
      <c r="F35" s="16">
        <f>2</f>
        <v>2</v>
      </c>
      <c r="G35" s="9">
        <f>April!G35+F35</f>
        <v>2</v>
      </c>
      <c r="H35" s="17"/>
      <c r="I35" s="9">
        <f>April!I35+H35</f>
        <v>477</v>
      </c>
      <c r="J35" s="18"/>
      <c r="K35" s="9">
        <f>April!K35+J35</f>
        <v>0</v>
      </c>
      <c r="L35" s="19"/>
      <c r="M35" s="9">
        <f>April!M35+L35</f>
        <v>0</v>
      </c>
      <c r="N35" s="32"/>
      <c r="O35" s="9">
        <f>April!O35+N35</f>
        <v>3</v>
      </c>
      <c r="P35" s="20"/>
      <c r="Q35" s="33"/>
      <c r="R35" s="9">
        <f>April!R35+Q35</f>
        <v>0</v>
      </c>
    </row>
    <row r="36" spans="1:18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1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2"/>
      <c r="O36" s="9">
        <f>April!O36+N36</f>
        <v>0</v>
      </c>
      <c r="P36" s="20"/>
      <c r="Q36" s="33"/>
      <c r="R36" s="9">
        <f>April!R36+Q36</f>
        <v>129960</v>
      </c>
    </row>
    <row r="37" spans="1:19" ht="18" customHeight="1">
      <c r="A37" s="9" t="s">
        <v>41</v>
      </c>
      <c r="B37" s="14"/>
      <c r="C37" s="9">
        <f>April!C37+B37</f>
        <v>0</v>
      </c>
      <c r="D37" s="15"/>
      <c r="E37" s="9">
        <f>April!E37+D37</f>
        <v>0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3</v>
      </c>
      <c r="L37" s="19"/>
      <c r="M37" s="9">
        <f>April!M37+L37</f>
        <v>0</v>
      </c>
      <c r="N37" s="32"/>
      <c r="O37" s="9">
        <f>April!O37+N37</f>
        <v>0</v>
      </c>
      <c r="P37" s="20"/>
      <c r="Q37" s="33">
        <f>40+7920+10440+12960+5400+6480</f>
        <v>43240</v>
      </c>
      <c r="R37" s="9">
        <f>April!R37+Q37</f>
        <v>93240</v>
      </c>
      <c r="S37" s="2" t="s">
        <v>101</v>
      </c>
    </row>
    <row r="38" spans="1:18" ht="18" customHeight="1">
      <c r="A38" s="9" t="s">
        <v>42</v>
      </c>
      <c r="B38" s="14"/>
      <c r="C38" s="9">
        <f>April!C38+B38</f>
        <v>0</v>
      </c>
      <c r="D38" s="15">
        <f>1</f>
        <v>1</v>
      </c>
      <c r="E38" s="9">
        <f>April!E38+D38</f>
        <v>44</v>
      </c>
      <c r="F38" s="16">
        <f>9+15</f>
        <v>24</v>
      </c>
      <c r="G38" s="9">
        <f>April!G38+F38</f>
        <v>24</v>
      </c>
      <c r="H38" s="17"/>
      <c r="I38" s="9">
        <f>April!I38+H38</f>
        <v>226</v>
      </c>
      <c r="J38" s="18"/>
      <c r="K38" s="9">
        <f>April!K38+J38</f>
        <v>12</v>
      </c>
      <c r="L38" s="19"/>
      <c r="M38" s="9">
        <f>April!M38+L38</f>
        <v>0</v>
      </c>
      <c r="N38" s="32"/>
      <c r="O38" s="9">
        <f>April!O38+N38</f>
        <v>0</v>
      </c>
      <c r="P38" s="20"/>
      <c r="Q38" s="33"/>
      <c r="R38" s="9">
        <f>April!R38+Q38</f>
        <v>0</v>
      </c>
    </row>
    <row r="39" spans="1:18" ht="18" customHeight="1">
      <c r="A39" s="9" t="s">
        <v>43</v>
      </c>
      <c r="B39" s="14"/>
      <c r="C39" s="9">
        <f>April!C39+B39</f>
        <v>10</v>
      </c>
      <c r="D39" s="15">
        <f>1+4+1+1</f>
        <v>7</v>
      </c>
      <c r="E39" s="9">
        <f>April!E39+D39</f>
        <v>13</v>
      </c>
      <c r="F39" s="16">
        <f>3+1+2+1</f>
        <v>7</v>
      </c>
      <c r="G39" s="9">
        <f>April!G39+F39</f>
        <v>25</v>
      </c>
      <c r="H39" s="17"/>
      <c r="I39" s="9">
        <f>April!I39+H39</f>
        <v>0</v>
      </c>
      <c r="J39" s="18">
        <f>1</f>
        <v>1</v>
      </c>
      <c r="K39" s="9">
        <f>April!K39+J39</f>
        <v>1</v>
      </c>
      <c r="L39" s="19"/>
      <c r="M39" s="9">
        <f>April!M39+L39</f>
        <v>0</v>
      </c>
      <c r="N39" s="32"/>
      <c r="O39" s="9">
        <f>April!O39+N39</f>
        <v>0</v>
      </c>
      <c r="P39" s="20"/>
      <c r="Q39" s="33"/>
      <c r="R39" s="9">
        <f>April!R39+Q39</f>
        <v>0</v>
      </c>
    </row>
    <row r="40" spans="1:18" ht="18" customHeight="1">
      <c r="A40" s="9" t="s">
        <v>44</v>
      </c>
      <c r="B40" s="14"/>
      <c r="C40" s="9">
        <f>April!C40+B40</f>
        <v>0</v>
      </c>
      <c r="D40" s="15">
        <f>1+1+4+4+1+1+6+6+6+2+2+1+1+2+1+1+1+1+2+5+4+1+1</f>
        <v>55</v>
      </c>
      <c r="E40" s="9">
        <f>April!E40+D40</f>
        <v>112</v>
      </c>
      <c r="F40" s="16">
        <f>1+2+1+10+10+10+1+1+1</f>
        <v>37</v>
      </c>
      <c r="G40" s="9">
        <f>April!G40+F40</f>
        <v>54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32"/>
      <c r="O40" s="9">
        <f>April!O40+N40</f>
        <v>0</v>
      </c>
      <c r="P40" s="20"/>
      <c r="Q40" s="33"/>
      <c r="R40" s="9">
        <f>April!R40+Q40</f>
        <v>0</v>
      </c>
    </row>
    <row r="41" spans="1:18" ht="18" customHeight="1">
      <c r="A41" s="9" t="s">
        <v>45</v>
      </c>
      <c r="B41" s="14"/>
      <c r="C41" s="9">
        <f>April!C41+B41</f>
        <v>0</v>
      </c>
      <c r="D41" s="15">
        <f>1</f>
        <v>1</v>
      </c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2</v>
      </c>
      <c r="L41" s="19"/>
      <c r="M41" s="9">
        <f>April!M41+L41</f>
        <v>0</v>
      </c>
      <c r="N41" s="32">
        <f>3</f>
        <v>3</v>
      </c>
      <c r="O41" s="9">
        <f>April!O41+N41</f>
        <v>3</v>
      </c>
      <c r="P41" s="20"/>
      <c r="Q41" s="33"/>
      <c r="R41" s="9">
        <f>April!R41+Q41</f>
        <v>0</v>
      </c>
    </row>
    <row r="42" spans="1:18" ht="18" customHeight="1">
      <c r="A42" s="9" t="s">
        <v>46</v>
      </c>
      <c r="B42" s="14"/>
      <c r="C42" s="9">
        <f>April!C42+B42</f>
        <v>7</v>
      </c>
      <c r="D42" s="15">
        <v>1</v>
      </c>
      <c r="E42" s="9">
        <f>April!E42+D42</f>
        <v>1</v>
      </c>
      <c r="F42" s="16">
        <f>13</f>
        <v>13</v>
      </c>
      <c r="G42" s="9">
        <f>April!G42+F42</f>
        <v>13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2"/>
      <c r="O42" s="9">
        <f>April!O42+N42</f>
        <v>0</v>
      </c>
      <c r="P42" s="20"/>
      <c r="Q42" s="33"/>
      <c r="R42" s="9">
        <f>April!R42+Q42</f>
        <v>0</v>
      </c>
    </row>
    <row r="43" spans="1:18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2"/>
      <c r="O43" s="9">
        <f>April!O43+N43</f>
        <v>0</v>
      </c>
      <c r="P43" s="20"/>
      <c r="Q43" s="33"/>
      <c r="R43" s="9">
        <f>April!R43+Q43</f>
        <v>0</v>
      </c>
    </row>
    <row r="44" spans="1:18" ht="18" customHeight="1">
      <c r="A44" s="9" t="s">
        <v>48</v>
      </c>
      <c r="B44" s="14"/>
      <c r="C44" s="9">
        <f>April!C44+B44</f>
        <v>0</v>
      </c>
      <c r="D44" s="15">
        <v>2</v>
      </c>
      <c r="E44" s="9">
        <f>April!E44+D44</f>
        <v>5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2"/>
      <c r="O44" s="9">
        <f>April!O44+N44</f>
        <v>0</v>
      </c>
      <c r="P44" s="20"/>
      <c r="Q44" s="33"/>
      <c r="R44" s="9">
        <f>April!R44+Q44</f>
        <v>0</v>
      </c>
    </row>
    <row r="45" spans="1:18" ht="18" customHeight="1">
      <c r="A45" s="9" t="s">
        <v>49</v>
      </c>
      <c r="B45" s="14"/>
      <c r="C45" s="9">
        <f>April!C45+B45</f>
        <v>0</v>
      </c>
      <c r="D45" s="15">
        <f>11+2+3+9+2+1+1+5+9+3+4+2+3+9+27+4</f>
        <v>95</v>
      </c>
      <c r="E45" s="9">
        <f>April!E45+D45</f>
        <v>232</v>
      </c>
      <c r="F45" s="16">
        <f>100+15+2+43+2+12+8+108+180+19+140+38+9+6+3+3+1+39+243+23+73+52+47</f>
        <v>1166</v>
      </c>
      <c r="G45" s="9">
        <f>April!G45+F45</f>
        <v>1166</v>
      </c>
      <c r="H45" s="17">
        <f>111+47+18+100+119+629+183+74+374+206+233+20</f>
        <v>2114</v>
      </c>
      <c r="I45" s="9">
        <f>April!I45+H45</f>
        <v>9271</v>
      </c>
      <c r="J45" s="18">
        <f>4+3+1+9</f>
        <v>17</v>
      </c>
      <c r="K45" s="9">
        <f>April!K45+J45</f>
        <v>265</v>
      </c>
      <c r="L45" s="19">
        <f>30+5+15+41+52+54+12+2+10</f>
        <v>221</v>
      </c>
      <c r="M45" s="9">
        <f>April!M45+L45</f>
        <v>3538</v>
      </c>
      <c r="N45" s="32"/>
      <c r="O45" s="9">
        <f>April!O45+N45</f>
        <v>0</v>
      </c>
      <c r="P45" s="20"/>
      <c r="Q45" s="33"/>
      <c r="R45" s="9">
        <f>April!R45+Q45</f>
        <v>0</v>
      </c>
    </row>
    <row r="46" spans="1:18" ht="18" customHeight="1">
      <c r="A46" s="9" t="s">
        <v>50</v>
      </c>
      <c r="B46" s="14"/>
      <c r="C46" s="9">
        <f>April!C46+B46</f>
        <v>0</v>
      </c>
      <c r="D46" s="15">
        <f>1+5</f>
        <v>6</v>
      </c>
      <c r="E46" s="9">
        <f>April!E46+D46</f>
        <v>15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32"/>
      <c r="O46" s="9">
        <f>April!O46+N46</f>
        <v>0</v>
      </c>
      <c r="P46" s="20"/>
      <c r="Q46" s="33"/>
      <c r="R46" s="9">
        <f>April!R46+Q46</f>
        <v>0</v>
      </c>
    </row>
    <row r="47" spans="1:18" ht="18" customHeight="1">
      <c r="A47" s="9" t="s">
        <v>51</v>
      </c>
      <c r="B47" s="14"/>
      <c r="C47" s="9">
        <f>April!C47+B47</f>
        <v>0</v>
      </c>
      <c r="D47" s="15">
        <f>3+3+1+4+3</f>
        <v>14</v>
      </c>
      <c r="E47" s="9">
        <f>April!E47+D47</f>
        <v>26</v>
      </c>
      <c r="F47" s="16"/>
      <c r="G47" s="9">
        <f>April!G47+F47</f>
        <v>14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2"/>
      <c r="O47" s="9">
        <f>April!O47+N47</f>
        <v>0</v>
      </c>
      <c r="P47" s="20"/>
      <c r="Q47" s="33"/>
      <c r="R47" s="9">
        <f>April!R47+Q47</f>
        <v>0</v>
      </c>
    </row>
    <row r="48" spans="1:18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3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2"/>
      <c r="O48" s="9">
        <f>April!O48+N48</f>
        <v>0</v>
      </c>
      <c r="P48" s="20"/>
      <c r="Q48" s="33"/>
      <c r="R48" s="9">
        <f>April!R48+Q48</f>
        <v>0</v>
      </c>
    </row>
    <row r="49" spans="1:18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2"/>
      <c r="O49" s="9">
        <f>April!O49+N49</f>
        <v>0</v>
      </c>
      <c r="P49" s="20"/>
      <c r="Q49" s="33"/>
      <c r="R49" s="9">
        <f>April!R49+Q49</f>
        <v>0</v>
      </c>
    </row>
    <row r="50" spans="1:18" ht="18" customHeight="1">
      <c r="A50" s="9" t="s">
        <v>54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2">
        <f>6</f>
        <v>6</v>
      </c>
      <c r="O50" s="9">
        <f>April!O50+N50</f>
        <v>6</v>
      </c>
      <c r="P50" s="20"/>
      <c r="Q50" s="33"/>
      <c r="R50" s="9">
        <f>April!R50+Q50</f>
        <v>0</v>
      </c>
    </row>
    <row r="51" spans="1:18" ht="18" customHeight="1">
      <c r="A51" s="9" t="s">
        <v>55</v>
      </c>
      <c r="B51" s="14"/>
      <c r="C51" s="9">
        <f>April!C51+B51</f>
        <v>0</v>
      </c>
      <c r="D51" s="15">
        <f>2+2</f>
        <v>4</v>
      </c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2"/>
      <c r="O51" s="9">
        <f>April!O51+N51</f>
        <v>0</v>
      </c>
      <c r="P51" s="20"/>
      <c r="Q51" s="33"/>
      <c r="R51" s="9">
        <f>April!R51+Q51</f>
        <v>0</v>
      </c>
    </row>
    <row r="52" spans="1:18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2"/>
      <c r="O52" s="9">
        <f>April!O52+N52</f>
        <v>0</v>
      </c>
      <c r="P52" s="20"/>
      <c r="Q52" s="33"/>
      <c r="R52" s="9">
        <f>April!R52+Q52</f>
        <v>0</v>
      </c>
    </row>
    <row r="53" spans="1:18" ht="18" customHeight="1">
      <c r="A53" s="9" t="s">
        <v>57</v>
      </c>
      <c r="B53" s="14"/>
      <c r="C53" s="9">
        <f>April!C53+B53</f>
        <v>8</v>
      </c>
      <c r="D53" s="15">
        <f>11+4+1+2+1+2+4+1+3+9+3+2+2+1+2+1+1+1+1+2+2+4+3+2+5+4+3+3+4+1+7+10+1+7+1+3+2+3+4+76</f>
        <v>199</v>
      </c>
      <c r="E53" s="9">
        <f>April!E53+D53</f>
        <v>406</v>
      </c>
      <c r="F53" s="16">
        <f>1</f>
        <v>1</v>
      </c>
      <c r="G53" s="9">
        <f>April!G53+F53</f>
        <v>30</v>
      </c>
      <c r="H53" s="17"/>
      <c r="I53" s="9">
        <f>April!I53+H53</f>
        <v>0</v>
      </c>
      <c r="J53" s="18"/>
      <c r="K53" s="9">
        <f>April!K53+J53</f>
        <v>0</v>
      </c>
      <c r="L53" s="19"/>
      <c r="M53" s="9">
        <f>April!M53+L53</f>
        <v>0</v>
      </c>
      <c r="N53" s="32">
        <f>5+4+2+5</f>
        <v>16</v>
      </c>
      <c r="O53" s="9">
        <f>April!O53+N53</f>
        <v>46</v>
      </c>
      <c r="P53" s="20"/>
      <c r="Q53" s="33"/>
      <c r="R53" s="9">
        <f>April!R53+Q53</f>
        <v>160</v>
      </c>
    </row>
    <row r="54" spans="1:18" ht="18" customHeight="1" thickBot="1">
      <c r="A54" s="10" t="s">
        <v>58</v>
      </c>
      <c r="B54" s="14"/>
      <c r="C54" s="9">
        <f>April!C54+B54</f>
        <v>0</v>
      </c>
      <c r="D54" s="15">
        <f>1+1+1+1+8</f>
        <v>12</v>
      </c>
      <c r="E54" s="9">
        <f>April!E54+D54</f>
        <v>45</v>
      </c>
      <c r="F54" s="16"/>
      <c r="G54" s="9">
        <f>April!G54+F54</f>
        <v>13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2"/>
      <c r="O54" s="9">
        <f>April!O54+N54</f>
        <v>0</v>
      </c>
      <c r="P54" s="20"/>
      <c r="Q54" s="34"/>
      <c r="R54" s="9">
        <f>April!R54+Q54</f>
        <v>0</v>
      </c>
    </row>
    <row r="55" spans="1:18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1090</v>
      </c>
      <c r="E55" s="11"/>
      <c r="F55" s="11">
        <f>SUM(F5:F54)</f>
        <v>1845</v>
      </c>
      <c r="G55" s="11"/>
      <c r="H55" s="11">
        <f>SUM(H5:H54)</f>
        <v>2528</v>
      </c>
      <c r="I55" s="11"/>
      <c r="J55" s="11">
        <f>SUM(J5:J54)</f>
        <v>107</v>
      </c>
      <c r="K55" s="11"/>
      <c r="L55" s="11">
        <f>SUM(L5:L54)</f>
        <v>309</v>
      </c>
      <c r="M55" s="11"/>
      <c r="N55" s="11">
        <f>SUM(N5:N54)</f>
        <v>36</v>
      </c>
      <c r="O55" s="11"/>
      <c r="Q55" s="11">
        <f>SUM(Q5:Q54)</f>
        <v>401894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April!C57+B55</f>
        <v>45</v>
      </c>
      <c r="D57" s="11"/>
      <c r="E57" s="11">
        <f>April!E57+D55</f>
        <v>2186</v>
      </c>
      <c r="F57" s="11"/>
      <c r="G57" s="11">
        <f>April!G57+F55</f>
        <v>5086</v>
      </c>
      <c r="H57" s="11"/>
      <c r="I57" s="11">
        <f>April!I57+H55</f>
        <v>10752</v>
      </c>
      <c r="J57" s="11"/>
      <c r="K57" s="11">
        <f>April!K57+J55</f>
        <v>803</v>
      </c>
      <c r="L57" s="11"/>
      <c r="M57" s="11">
        <f>April!M57+L55</f>
        <v>3736</v>
      </c>
      <c r="N57" s="11"/>
      <c r="O57" s="11">
        <f>April!O57+N55</f>
        <v>76</v>
      </c>
      <c r="Q57" s="23"/>
      <c r="R57" s="11">
        <f>April!R57+Q55</f>
        <v>1760234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8" width="9.00390625" style="2" customWidth="1"/>
    <col min="19" max="24" width="9.125" style="2" customWidth="1"/>
    <col min="25" max="16384" width="9.00390625" style="2" customWidth="1"/>
  </cols>
  <sheetData>
    <row r="1" spans="1:10" ht="23.25">
      <c r="A1" s="1" t="s">
        <v>78</v>
      </c>
      <c r="H1" s="2" t="s">
        <v>69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5.7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May!C5+B5</f>
        <v>0</v>
      </c>
      <c r="D5" s="15">
        <f>1+2+2+2+2</f>
        <v>9</v>
      </c>
      <c r="E5" s="9">
        <f>May!E5+D5</f>
        <v>11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2"/>
      <c r="O5" s="9">
        <f>May!O5+N5</f>
        <v>0</v>
      </c>
      <c r="P5" s="20"/>
      <c r="Q5" s="33"/>
      <c r="R5" s="9">
        <f>May!R5+Q5</f>
        <v>0</v>
      </c>
    </row>
    <row r="6" spans="1:18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2"/>
      <c r="O6" s="9">
        <f>May!O6+N6</f>
        <v>0</v>
      </c>
      <c r="P6" s="20"/>
      <c r="Q6" s="33"/>
      <c r="R6" s="9">
        <f>May!R6+Q6</f>
        <v>0</v>
      </c>
    </row>
    <row r="7" spans="1:18" ht="18" customHeight="1">
      <c r="A7" s="9" t="s">
        <v>11</v>
      </c>
      <c r="B7" s="14"/>
      <c r="C7" s="9">
        <f>May!C7+B7</f>
        <v>0</v>
      </c>
      <c r="D7" s="15">
        <f>2+1+6+2+1+3+1+1+1+1+2+1+1+1+1</f>
        <v>25</v>
      </c>
      <c r="E7" s="9">
        <f>May!E7+D7</f>
        <v>124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32"/>
      <c r="O7" s="9">
        <f>May!O7+N7</f>
        <v>0</v>
      </c>
      <c r="P7" s="20"/>
      <c r="Q7" s="33"/>
      <c r="R7" s="9">
        <f>May!R7+Q7</f>
        <v>0</v>
      </c>
    </row>
    <row r="8" spans="1:18" ht="18" customHeight="1">
      <c r="A8" s="9" t="s">
        <v>12</v>
      </c>
      <c r="B8" s="14"/>
      <c r="C8" s="9">
        <f>May!C8+B8</f>
        <v>0</v>
      </c>
      <c r="D8" s="15">
        <f>1+1+1+1+1+3+1</f>
        <v>9</v>
      </c>
      <c r="E8" s="9">
        <f>May!E8+D8</f>
        <v>25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3</v>
      </c>
      <c r="L8" s="19"/>
      <c r="M8" s="9">
        <f>May!M8+L8</f>
        <v>0</v>
      </c>
      <c r="N8" s="32"/>
      <c r="O8" s="9">
        <f>May!O8+N8</f>
        <v>0</v>
      </c>
      <c r="P8" s="20"/>
      <c r="Q8" s="33"/>
      <c r="R8" s="9">
        <f>May!R8+Q8</f>
        <v>0</v>
      </c>
    </row>
    <row r="9" spans="1:18" ht="18" customHeight="1">
      <c r="A9" s="9" t="s">
        <v>13</v>
      </c>
      <c r="B9" s="14"/>
      <c r="C9" s="9">
        <f>May!C9+B9</f>
        <v>0</v>
      </c>
      <c r="D9" s="15">
        <f>1+3+1+1+2+1+1+1+3</f>
        <v>14</v>
      </c>
      <c r="E9" s="9">
        <f>May!E9+D9</f>
        <v>25</v>
      </c>
      <c r="F9" s="16"/>
      <c r="G9" s="9">
        <f>May!G9+F9</f>
        <v>2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32"/>
      <c r="O9" s="9">
        <f>May!O9+N9</f>
        <v>0</v>
      </c>
      <c r="P9" s="20"/>
      <c r="Q9" s="33"/>
      <c r="R9" s="9">
        <f>May!R9+Q9</f>
        <v>0</v>
      </c>
    </row>
    <row r="10" spans="1:20" ht="18" customHeight="1">
      <c r="A10" s="9" t="s">
        <v>14</v>
      </c>
      <c r="B10" s="14"/>
      <c r="C10" s="9">
        <f>May!C10+B10</f>
        <v>0</v>
      </c>
      <c r="D10" s="15"/>
      <c r="E10" s="9">
        <f>May!E10+D10</f>
        <v>23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2"/>
      <c r="O10" s="9">
        <f>May!O10+N10</f>
        <v>0</v>
      </c>
      <c r="P10" s="20"/>
      <c r="Q10" s="33">
        <f>287400+104700</f>
        <v>392100</v>
      </c>
      <c r="R10" s="9">
        <f>May!R10+Q10</f>
        <v>1773952</v>
      </c>
      <c r="S10" s="2" t="s">
        <v>104</v>
      </c>
      <c r="T10" s="2" t="s">
        <v>99</v>
      </c>
    </row>
    <row r="11" spans="1:18" ht="18" customHeight="1">
      <c r="A11" s="9" t="s">
        <v>15</v>
      </c>
      <c r="B11" s="14"/>
      <c r="C11" s="9">
        <f>May!C11+B11</f>
        <v>0</v>
      </c>
      <c r="D11" s="15">
        <f>3+2+2+1+2+1+1+2+7+1+7+1+1+2+1+2+2</f>
        <v>38</v>
      </c>
      <c r="E11" s="9">
        <f>May!E11+D11</f>
        <v>71</v>
      </c>
      <c r="F11" s="16">
        <f>1</f>
        <v>1</v>
      </c>
      <c r="G11" s="9">
        <f>May!G11+F11</f>
        <v>5</v>
      </c>
      <c r="H11" s="17"/>
      <c r="I11" s="9">
        <f>May!I11+H11</f>
        <v>0</v>
      </c>
      <c r="J11" s="18"/>
      <c r="K11" s="9">
        <f>May!K11+J11</f>
        <v>6</v>
      </c>
      <c r="L11" s="19"/>
      <c r="M11" s="9">
        <f>May!M11+L11</f>
        <v>0</v>
      </c>
      <c r="N11" s="32"/>
      <c r="O11" s="9">
        <f>May!O11+N11</f>
        <v>0</v>
      </c>
      <c r="P11" s="20"/>
      <c r="Q11" s="33"/>
      <c r="R11" s="9">
        <f>May!R11+Q11</f>
        <v>0</v>
      </c>
    </row>
    <row r="12" spans="1:19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1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2">
        <f>2</f>
        <v>2</v>
      </c>
      <c r="O12" s="9">
        <f>May!O12+N12</f>
        <v>2</v>
      </c>
      <c r="P12" s="20"/>
      <c r="Q12" s="33">
        <f>73440</f>
        <v>73440</v>
      </c>
      <c r="R12" s="9">
        <f>May!R12+Q12</f>
        <v>228462</v>
      </c>
      <c r="S12" s="2" t="s">
        <v>101</v>
      </c>
    </row>
    <row r="13" spans="1:18" ht="18" customHeight="1">
      <c r="A13" s="9" t="s">
        <v>17</v>
      </c>
      <c r="B13" s="14"/>
      <c r="C13" s="9">
        <f>May!C13+B13</f>
        <v>0</v>
      </c>
      <c r="D13" s="15">
        <f>4</f>
        <v>4</v>
      </c>
      <c r="E13" s="9">
        <f>May!E13+D13</f>
        <v>5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2"/>
      <c r="O13" s="9">
        <f>May!O13+N13</f>
        <v>0</v>
      </c>
      <c r="P13" s="20"/>
      <c r="Q13" s="33"/>
      <c r="R13" s="9">
        <f>May!R13+Q13</f>
        <v>0</v>
      </c>
    </row>
    <row r="14" spans="1:18" ht="18" customHeight="1">
      <c r="A14" s="9" t="s">
        <v>18</v>
      </c>
      <c r="B14" s="14"/>
      <c r="C14" s="9">
        <f>May!C14+B14</f>
        <v>0</v>
      </c>
      <c r="D14" s="15">
        <f>2+2+1+1+1+1</f>
        <v>8</v>
      </c>
      <c r="E14" s="9">
        <f>May!E14+D14</f>
        <v>69</v>
      </c>
      <c r="F14" s="16"/>
      <c r="G14" s="9">
        <f>May!G14+F14</f>
        <v>0</v>
      </c>
      <c r="H14" s="17"/>
      <c r="I14" s="9">
        <f>May!I14+H14</f>
        <v>0</v>
      </c>
      <c r="J14" s="18">
        <v>2</v>
      </c>
      <c r="K14" s="9">
        <f>May!K14+J14</f>
        <v>2</v>
      </c>
      <c r="L14" s="19"/>
      <c r="M14" s="9">
        <f>May!M14+L14</f>
        <v>0</v>
      </c>
      <c r="N14" s="32"/>
      <c r="O14" s="9">
        <f>May!O14+N14</f>
        <v>0</v>
      </c>
      <c r="P14" s="20"/>
      <c r="Q14" s="33"/>
      <c r="R14" s="9">
        <f>May!R14+Q14</f>
        <v>0</v>
      </c>
    </row>
    <row r="15" spans="1:18" ht="18" customHeight="1">
      <c r="A15" s="9" t="s">
        <v>19</v>
      </c>
      <c r="B15" s="14"/>
      <c r="C15" s="9">
        <f>May!C15+B15</f>
        <v>0</v>
      </c>
      <c r="D15" s="15">
        <f>6+2+1+1</f>
        <v>10</v>
      </c>
      <c r="E15" s="9">
        <f>May!E15+D15</f>
        <v>13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2">
        <f>4+5</f>
        <v>9</v>
      </c>
      <c r="O15" s="9">
        <f>May!O15+N15</f>
        <v>9</v>
      </c>
      <c r="P15" s="20"/>
      <c r="Q15" s="33"/>
      <c r="R15" s="9">
        <f>May!R15+Q15</f>
        <v>0</v>
      </c>
    </row>
    <row r="16" spans="1:18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2"/>
      <c r="O16" s="9">
        <f>May!O16+N16</f>
        <v>0</v>
      </c>
      <c r="P16" s="20"/>
      <c r="Q16" s="33"/>
      <c r="R16" s="9">
        <f>May!R16+Q16</f>
        <v>0</v>
      </c>
    </row>
    <row r="17" spans="1:18" ht="18" customHeight="1">
      <c r="A17" s="9" t="s">
        <v>21</v>
      </c>
      <c r="B17" s="14"/>
      <c r="C17" s="9">
        <f>May!C17+B17</f>
        <v>0</v>
      </c>
      <c r="D17" s="15">
        <f>1+1+1+1+1+1+2</f>
        <v>8</v>
      </c>
      <c r="E17" s="9">
        <f>May!E17+D17</f>
        <v>13</v>
      </c>
      <c r="F17" s="16">
        <f>440+2+300+4+2</f>
        <v>748</v>
      </c>
      <c r="G17" s="9">
        <f>May!G17+F17</f>
        <v>752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2"/>
      <c r="O17" s="9">
        <f>May!O17+N17</f>
        <v>1</v>
      </c>
      <c r="P17" s="20"/>
      <c r="Q17" s="33"/>
      <c r="R17" s="9">
        <f>May!R17+Q17</f>
        <v>0</v>
      </c>
    </row>
    <row r="18" spans="1:18" ht="18" customHeight="1">
      <c r="A18" s="9" t="s">
        <v>22</v>
      </c>
      <c r="B18" s="14"/>
      <c r="C18" s="9">
        <f>May!C18+B18</f>
        <v>1</v>
      </c>
      <c r="D18" s="15">
        <f>2+2+2+1+1+1+2+1+2+3+2+2+1+1+1+1+7+8+1+1+2+2+1+1+1+2+1</f>
        <v>52</v>
      </c>
      <c r="E18" s="9">
        <f>May!E18+D18</f>
        <v>121</v>
      </c>
      <c r="F18" s="16">
        <v>14</v>
      </c>
      <c r="G18" s="9">
        <f>May!G18+F18</f>
        <v>114</v>
      </c>
      <c r="H18" s="17"/>
      <c r="I18" s="9">
        <f>May!I18+H18</f>
        <v>0</v>
      </c>
      <c r="J18" s="18">
        <f>4+9+2</f>
        <v>15</v>
      </c>
      <c r="K18" s="9">
        <f>May!K18+J18</f>
        <v>15</v>
      </c>
      <c r="L18" s="19"/>
      <c r="M18" s="9">
        <f>May!M18+L18</f>
        <v>0</v>
      </c>
      <c r="N18" s="32">
        <f>2</f>
        <v>2</v>
      </c>
      <c r="O18" s="9">
        <f>May!O18+N18</f>
        <v>2</v>
      </c>
      <c r="P18" s="20"/>
      <c r="Q18" s="33"/>
      <c r="R18" s="9">
        <f>May!R18+Q18</f>
        <v>0</v>
      </c>
    </row>
    <row r="19" spans="1:18" ht="18" customHeight="1">
      <c r="A19" s="9" t="s">
        <v>23</v>
      </c>
      <c r="B19" s="14"/>
      <c r="C19" s="9">
        <f>May!C19+B19</f>
        <v>3</v>
      </c>
      <c r="D19" s="15">
        <f>2+2+2+2+5+1+3+4+1</f>
        <v>22</v>
      </c>
      <c r="E19" s="9">
        <f>May!E19+D19</f>
        <v>27</v>
      </c>
      <c r="F19" s="16"/>
      <c r="G19" s="9">
        <f>May!G19+F19</f>
        <v>11</v>
      </c>
      <c r="H19" s="17"/>
      <c r="I19" s="9">
        <f>May!I19+H19</f>
        <v>0</v>
      </c>
      <c r="J19" s="18">
        <f>12</f>
        <v>12</v>
      </c>
      <c r="K19" s="9">
        <f>May!K19+J19</f>
        <v>61</v>
      </c>
      <c r="L19" s="19"/>
      <c r="M19" s="9">
        <f>May!M19+L19</f>
        <v>0</v>
      </c>
      <c r="N19" s="32">
        <f>7</f>
        <v>7</v>
      </c>
      <c r="O19" s="9">
        <f>May!O19+N19</f>
        <v>7</v>
      </c>
      <c r="P19" s="20"/>
      <c r="Q19" s="33"/>
      <c r="R19" s="9">
        <f>May!R19+Q19</f>
        <v>0</v>
      </c>
    </row>
    <row r="20" spans="1:18" ht="18" customHeight="1">
      <c r="A20" s="9" t="s">
        <v>24</v>
      </c>
      <c r="B20" s="14"/>
      <c r="C20" s="9">
        <f>May!C20+B20</f>
        <v>0</v>
      </c>
      <c r="D20" s="15">
        <f>1+1+2+2+1+2+5+2+1+2+1+1+2+2+1+2+1+1</f>
        <v>30</v>
      </c>
      <c r="E20" s="9">
        <f>May!E20+D20</f>
        <v>52</v>
      </c>
      <c r="F20" s="16"/>
      <c r="G20" s="9">
        <f>May!G20+F20</f>
        <v>1</v>
      </c>
      <c r="H20" s="17"/>
      <c r="I20" s="9">
        <f>May!I20+H20</f>
        <v>0</v>
      </c>
      <c r="J20" s="18">
        <v>1</v>
      </c>
      <c r="K20" s="9">
        <f>May!K20+J20</f>
        <v>1</v>
      </c>
      <c r="L20" s="19"/>
      <c r="M20" s="9">
        <f>May!M20+L20</f>
        <v>0</v>
      </c>
      <c r="N20" s="32">
        <f>2</f>
        <v>2</v>
      </c>
      <c r="O20" s="9">
        <f>May!O20+N20</f>
        <v>2</v>
      </c>
      <c r="P20" s="20"/>
      <c r="Q20" s="33"/>
      <c r="R20" s="9">
        <f>May!R20+Q20</f>
        <v>0</v>
      </c>
    </row>
    <row r="21" spans="1:18" ht="18" customHeight="1">
      <c r="A21" s="9" t="s">
        <v>25</v>
      </c>
      <c r="B21" s="14"/>
      <c r="C21" s="9">
        <f>May!C21+B21</f>
        <v>0</v>
      </c>
      <c r="D21" s="15">
        <f>2+1+2+2+1+1+10+2+1+2+1+2+2+1+1+2+6+3</f>
        <v>42</v>
      </c>
      <c r="E21" s="9">
        <f>May!E21+D21</f>
        <v>80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2">
        <f>4</f>
        <v>4</v>
      </c>
      <c r="O21" s="9">
        <f>May!O21+N21</f>
        <v>4</v>
      </c>
      <c r="P21" s="20"/>
      <c r="Q21" s="33"/>
      <c r="R21" s="9">
        <f>May!R21+Q21</f>
        <v>0</v>
      </c>
    </row>
    <row r="22" spans="1:18" ht="18" customHeight="1">
      <c r="A22" s="9" t="s">
        <v>26</v>
      </c>
      <c r="B22" s="14"/>
      <c r="C22" s="9">
        <f>May!C22+B22</f>
        <v>0</v>
      </c>
      <c r="D22" s="15">
        <f>2+3+1+1+2+2+1+17</f>
        <v>29</v>
      </c>
      <c r="E22" s="9">
        <f>May!E22+D22</f>
        <v>29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2"/>
      <c r="O22" s="9">
        <f>May!O22+N22</f>
        <v>0</v>
      </c>
      <c r="P22" s="20"/>
      <c r="Q22" s="33"/>
      <c r="R22" s="9">
        <f>May!R22+Q22</f>
        <v>0</v>
      </c>
    </row>
    <row r="23" spans="1:25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2"/>
      <c r="O23" s="9">
        <f>May!O23+N23</f>
        <v>0</v>
      </c>
      <c r="P23" s="20"/>
      <c r="Q23" s="33"/>
      <c r="R23" s="9">
        <f>May!R23+Q23</f>
        <v>0</v>
      </c>
      <c r="Y23" s="4"/>
    </row>
    <row r="24" spans="1:18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2"/>
      <c r="O24" s="9">
        <f>May!O24+N24</f>
        <v>0</v>
      </c>
      <c r="P24" s="20"/>
      <c r="Q24" s="33"/>
      <c r="R24" s="9">
        <f>May!R24+Q24</f>
        <v>0</v>
      </c>
    </row>
    <row r="25" spans="1:18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0</v>
      </c>
      <c r="F25" s="16">
        <f>12</f>
        <v>12</v>
      </c>
      <c r="G25" s="9">
        <f>May!G25+F25</f>
        <v>12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2"/>
      <c r="O25" s="9">
        <f>May!O25+N25</f>
        <v>0</v>
      </c>
      <c r="P25" s="20"/>
      <c r="Q25" s="33"/>
      <c r="R25" s="9">
        <f>May!R25+Q25</f>
        <v>0</v>
      </c>
    </row>
    <row r="26" spans="1:18" ht="18" customHeight="1">
      <c r="A26" s="9" t="s">
        <v>30</v>
      </c>
      <c r="B26" s="14"/>
      <c r="C26" s="9">
        <f>May!C26+B26</f>
        <v>3</v>
      </c>
      <c r="D26" s="15">
        <f>2+2+3+2+1+1</f>
        <v>11</v>
      </c>
      <c r="E26" s="9">
        <f>May!E26+D26</f>
        <v>24</v>
      </c>
      <c r="F26" s="16">
        <f>3</f>
        <v>3</v>
      </c>
      <c r="G26" s="9">
        <f>May!G26+F26</f>
        <v>3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2">
        <f>3+3</f>
        <v>6</v>
      </c>
      <c r="O26" s="9">
        <f>May!O26+N26</f>
        <v>6</v>
      </c>
      <c r="P26" s="20"/>
      <c r="Q26" s="33"/>
      <c r="R26" s="9">
        <f>May!R26+Q26</f>
        <v>0</v>
      </c>
    </row>
    <row r="27" spans="1:18" ht="18" customHeight="1">
      <c r="A27" s="9" t="s">
        <v>31</v>
      </c>
      <c r="B27" s="14"/>
      <c r="C27" s="9">
        <f>May!C27+B27</f>
        <v>6</v>
      </c>
      <c r="D27" s="15">
        <f>2+3+1+1+1+2+1+1+3+1+4+6+2+5+10+1+2+2+3+3+3+3+3+3+1+1+1+2+3+2+5+10+1+2+3+1+3+8+1+1+6+2+2+1+1+3+4+3+4+2+2+1+1+1+1+1+6+3+3+5+1+1+1+1+2+1+3+1+2+1+2+1+7+3+6+1+1+1+2+29</f>
        <v>230</v>
      </c>
      <c r="E27" s="9">
        <f>May!E27+D27</f>
        <v>517</v>
      </c>
      <c r="F27" s="16">
        <f>2+1+6+22+25+23+13</f>
        <v>92</v>
      </c>
      <c r="G27" s="9">
        <f>May!G27+F27</f>
        <v>432</v>
      </c>
      <c r="H27" s="17">
        <f>46</f>
        <v>46</v>
      </c>
      <c r="I27" s="9">
        <f>May!I27+H27</f>
        <v>46</v>
      </c>
      <c r="J27" s="18">
        <f>1+2+3+2</f>
        <v>8</v>
      </c>
      <c r="K27" s="9">
        <f>May!K27+J27</f>
        <v>208</v>
      </c>
      <c r="L27" s="19">
        <f>2</f>
        <v>2</v>
      </c>
      <c r="M27" s="9">
        <f>May!M27+L27</f>
        <v>2</v>
      </c>
      <c r="N27" s="32">
        <f>8</f>
        <v>8</v>
      </c>
      <c r="O27" s="9">
        <f>May!O27+N27</f>
        <v>16</v>
      </c>
      <c r="P27" s="20"/>
      <c r="Q27" s="33"/>
      <c r="R27" s="9">
        <f>May!R27+Q27</f>
        <v>0</v>
      </c>
    </row>
    <row r="28" spans="1:18" ht="18" customHeight="1">
      <c r="A28" s="9" t="s">
        <v>32</v>
      </c>
      <c r="B28" s="14"/>
      <c r="C28" s="9">
        <f>May!C28+B28</f>
        <v>0</v>
      </c>
      <c r="D28" s="15">
        <f>4+3+2+2+2+1+1+1</f>
        <v>16</v>
      </c>
      <c r="E28" s="9">
        <f>May!E28+D28</f>
        <v>17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2"/>
      <c r="O28" s="9">
        <f>May!O28+N28</f>
        <v>0</v>
      </c>
      <c r="P28" s="20"/>
      <c r="Q28" s="33"/>
      <c r="R28" s="9">
        <f>May!R28+Q28</f>
        <v>0</v>
      </c>
    </row>
    <row r="29" spans="1:26" ht="18" customHeight="1">
      <c r="A29" s="9" t="s">
        <v>33</v>
      </c>
      <c r="B29" s="14"/>
      <c r="C29" s="9">
        <f>May!C29+B29</f>
        <v>7</v>
      </c>
      <c r="D29" s="15">
        <f>4+2+5+2+1+2+1+2+6+1+1+4+2+4+3+6+2+2+1+1+2+1+2+1+1+4+2+1+2+3+2+2+2+11</f>
        <v>88</v>
      </c>
      <c r="E29" s="9">
        <f>May!E29+D29</f>
        <v>314</v>
      </c>
      <c r="F29" s="16"/>
      <c r="G29" s="9">
        <f>May!G29+F29</f>
        <v>294</v>
      </c>
      <c r="H29" s="17"/>
      <c r="I29" s="9">
        <f>May!I29+H29</f>
        <v>0</v>
      </c>
      <c r="J29" s="18">
        <f>5</f>
        <v>5</v>
      </c>
      <c r="K29" s="9">
        <f>May!K29+J29</f>
        <v>42</v>
      </c>
      <c r="L29" s="19"/>
      <c r="M29" s="9">
        <f>May!M29+L29</f>
        <v>0</v>
      </c>
      <c r="N29" s="32">
        <f>7+3+3</f>
        <v>13</v>
      </c>
      <c r="O29" s="9">
        <f>May!O29+N29</f>
        <v>22</v>
      </c>
      <c r="P29" s="20"/>
      <c r="Q29" s="33"/>
      <c r="R29" s="9">
        <f>May!R29+Q29</f>
        <v>0</v>
      </c>
      <c r="Z29" s="4"/>
    </row>
    <row r="30" spans="1:18" ht="18" customHeight="1">
      <c r="A30" s="9" t="s">
        <v>34</v>
      </c>
      <c r="B30" s="14"/>
      <c r="C30" s="9">
        <f>May!C30+B30</f>
        <v>0</v>
      </c>
      <c r="D30" s="15">
        <f>1+1+1+1+3+1+1+1+1+1+2+3+1+1+2+1+3+7</f>
        <v>32</v>
      </c>
      <c r="E30" s="9">
        <f>May!E30+D30</f>
        <v>70</v>
      </c>
      <c r="F30" s="16"/>
      <c r="G30" s="9">
        <f>May!G30+F30</f>
        <v>0</v>
      </c>
      <c r="H30" s="17"/>
      <c r="I30" s="9">
        <f>May!I30+H30</f>
        <v>197</v>
      </c>
      <c r="J30" s="18">
        <f>3</f>
        <v>3</v>
      </c>
      <c r="K30" s="9">
        <f>May!K30+J30</f>
        <v>3</v>
      </c>
      <c r="L30" s="19"/>
      <c r="M30" s="9">
        <f>May!M30+L30</f>
        <v>3</v>
      </c>
      <c r="N30" s="32"/>
      <c r="O30" s="9">
        <f>May!O30+N30</f>
        <v>0</v>
      </c>
      <c r="P30" s="20"/>
      <c r="Q30" s="33"/>
      <c r="R30" s="9">
        <f>May!R30+Q30</f>
        <v>0</v>
      </c>
    </row>
    <row r="31" spans="1:18" ht="18" customHeight="1">
      <c r="A31" s="9" t="s">
        <v>35</v>
      </c>
      <c r="B31" s="14"/>
      <c r="C31" s="9">
        <f>May!C31+B31</f>
        <v>0</v>
      </c>
      <c r="D31" s="15">
        <f>5+4+2+2+1+3+1+2+1+1+1+1+4+4+4+1+1+2+2+2+2+1+2+3+4+2+1+1+1+1+1+1+1+1+1+1+1+2+2+23</f>
        <v>96</v>
      </c>
      <c r="E31" s="9">
        <f>May!E31+D31</f>
        <v>404</v>
      </c>
      <c r="F31" s="16">
        <f>8+3+28+2+4</f>
        <v>45</v>
      </c>
      <c r="G31" s="9">
        <f>May!G31+F31</f>
        <v>664</v>
      </c>
      <c r="H31" s="17">
        <f>4</f>
        <v>4</v>
      </c>
      <c r="I31" s="9">
        <f>May!I31+H31</f>
        <v>585</v>
      </c>
      <c r="J31" s="18">
        <f>24+3</f>
        <v>27</v>
      </c>
      <c r="K31" s="9">
        <f>May!K31+J31</f>
        <v>252</v>
      </c>
      <c r="L31" s="19"/>
      <c r="M31" s="9">
        <f>May!M31+L31</f>
        <v>195</v>
      </c>
      <c r="N31" s="32">
        <f>5+7</f>
        <v>12</v>
      </c>
      <c r="O31" s="9">
        <f>May!O31+N31</f>
        <v>12</v>
      </c>
      <c r="P31" s="20"/>
      <c r="Q31" s="33"/>
      <c r="R31" s="9">
        <f>May!R31+Q31</f>
        <v>0</v>
      </c>
    </row>
    <row r="32" spans="1:18" ht="18" customHeight="1">
      <c r="A32" s="9" t="s">
        <v>36</v>
      </c>
      <c r="B32" s="14"/>
      <c r="C32" s="9">
        <f>May!C32+B32</f>
        <v>0</v>
      </c>
      <c r="D32" s="15">
        <v>5</v>
      </c>
      <c r="E32" s="9">
        <f>May!E32+D32</f>
        <v>6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2"/>
      <c r="O32" s="9">
        <f>May!O32+N32</f>
        <v>0</v>
      </c>
      <c r="P32" s="20"/>
      <c r="Q32" s="33"/>
      <c r="R32" s="9">
        <f>May!R32+Q32</f>
        <v>0</v>
      </c>
    </row>
    <row r="33" spans="1:18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2"/>
      <c r="O33" s="9">
        <f>May!O33+N33</f>
        <v>0</v>
      </c>
      <c r="P33" s="20"/>
      <c r="Q33" s="33"/>
      <c r="R33" s="9">
        <f>May!R33+Q33</f>
        <v>0</v>
      </c>
    </row>
    <row r="34" spans="1:18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2"/>
      <c r="O34" s="9">
        <f>May!O34+N34</f>
        <v>0</v>
      </c>
      <c r="P34" s="20"/>
      <c r="Q34" s="33"/>
      <c r="R34" s="9">
        <f>May!R34+Q34</f>
        <v>0</v>
      </c>
    </row>
    <row r="35" spans="1:18" ht="18" customHeight="1">
      <c r="A35" s="9" t="s">
        <v>39</v>
      </c>
      <c r="B35" s="14"/>
      <c r="C35" s="9">
        <f>May!C35+B35</f>
        <v>0</v>
      </c>
      <c r="D35" s="15">
        <f>1+1+1+1+1+2+1+1+1+2+1+1</f>
        <v>14</v>
      </c>
      <c r="E35" s="9">
        <f>May!E35+D35</f>
        <v>23</v>
      </c>
      <c r="F35" s="16">
        <f>3+3</f>
        <v>6</v>
      </c>
      <c r="G35" s="9">
        <f>May!G35+F35</f>
        <v>8</v>
      </c>
      <c r="H35" s="17"/>
      <c r="I35" s="9">
        <f>May!I35+H35</f>
        <v>477</v>
      </c>
      <c r="J35" s="18"/>
      <c r="K35" s="9">
        <f>May!K35+J35</f>
        <v>0</v>
      </c>
      <c r="L35" s="19"/>
      <c r="M35" s="9">
        <f>May!M35+L35</f>
        <v>0</v>
      </c>
      <c r="N35" s="32"/>
      <c r="O35" s="9">
        <f>May!O35+N35</f>
        <v>3</v>
      </c>
      <c r="P35" s="20"/>
      <c r="Q35" s="33"/>
      <c r="R35" s="9">
        <f>May!R35+Q35</f>
        <v>0</v>
      </c>
    </row>
    <row r="36" spans="1:18" ht="18" customHeight="1">
      <c r="A36" s="9" t="s">
        <v>40</v>
      </c>
      <c r="B36" s="14"/>
      <c r="C36" s="9">
        <f>May!C36+B36</f>
        <v>0</v>
      </c>
      <c r="D36" s="15">
        <f>2+1+1+1</f>
        <v>5</v>
      </c>
      <c r="E36" s="9">
        <f>May!E36+D36</f>
        <v>6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2">
        <f>1</f>
        <v>1</v>
      </c>
      <c r="O36" s="9">
        <f>May!O36+N36</f>
        <v>1</v>
      </c>
      <c r="P36" s="20"/>
      <c r="Q36" s="33"/>
      <c r="R36" s="9">
        <f>May!R36+Q36</f>
        <v>129960</v>
      </c>
    </row>
    <row r="37" spans="1:18" ht="18" customHeight="1">
      <c r="A37" s="9" t="s">
        <v>41</v>
      </c>
      <c r="B37" s="14"/>
      <c r="C37" s="9">
        <f>May!C37+B37</f>
        <v>0</v>
      </c>
      <c r="D37" s="15">
        <f>1+2</f>
        <v>3</v>
      </c>
      <c r="E37" s="9">
        <f>May!E37+D37</f>
        <v>3</v>
      </c>
      <c r="F37" s="16">
        <f>1</f>
        <v>1</v>
      </c>
      <c r="G37" s="9">
        <f>May!G37+F37</f>
        <v>1</v>
      </c>
      <c r="H37" s="17"/>
      <c r="I37" s="9">
        <f>May!I37+H37</f>
        <v>0</v>
      </c>
      <c r="J37" s="18"/>
      <c r="K37" s="9">
        <f>May!K37+J37</f>
        <v>3</v>
      </c>
      <c r="L37" s="19"/>
      <c r="M37" s="9">
        <f>May!M37+L37</f>
        <v>0</v>
      </c>
      <c r="N37" s="32">
        <f>3</f>
        <v>3</v>
      </c>
      <c r="O37" s="9">
        <f>May!O37+N37</f>
        <v>3</v>
      </c>
      <c r="P37" s="20"/>
      <c r="Q37" s="33"/>
      <c r="R37" s="9">
        <f>May!R37+Q37</f>
        <v>93240</v>
      </c>
    </row>
    <row r="38" spans="1:18" ht="18" customHeight="1">
      <c r="A38" s="9" t="s">
        <v>42</v>
      </c>
      <c r="B38" s="14"/>
      <c r="C38" s="9">
        <f>May!C38+B38</f>
        <v>0</v>
      </c>
      <c r="D38" s="15">
        <f>2+1+1+1+1+3+2+1</f>
        <v>12</v>
      </c>
      <c r="E38" s="9">
        <f>May!E38+D38</f>
        <v>56</v>
      </c>
      <c r="F38" s="16">
        <f>1+4</f>
        <v>5</v>
      </c>
      <c r="G38" s="9">
        <f>May!G38+F38</f>
        <v>29</v>
      </c>
      <c r="H38" s="17"/>
      <c r="I38" s="9">
        <f>May!I38+H38</f>
        <v>226</v>
      </c>
      <c r="J38" s="18"/>
      <c r="K38" s="9">
        <f>May!K38+J38</f>
        <v>12</v>
      </c>
      <c r="L38" s="19"/>
      <c r="M38" s="9">
        <f>May!M38+L38</f>
        <v>0</v>
      </c>
      <c r="N38" s="32"/>
      <c r="O38" s="9">
        <f>May!O38+N38</f>
        <v>0</v>
      </c>
      <c r="P38" s="20"/>
      <c r="Q38" s="33"/>
      <c r="R38" s="9">
        <f>May!R38+Q38</f>
        <v>0</v>
      </c>
    </row>
    <row r="39" spans="1:18" ht="18" customHeight="1">
      <c r="A39" s="9" t="s">
        <v>43</v>
      </c>
      <c r="B39" s="14"/>
      <c r="C39" s="9">
        <f>May!C39+B39</f>
        <v>10</v>
      </c>
      <c r="D39" s="15">
        <f>3+1+1+5+1+1+1+1+1+1</f>
        <v>16</v>
      </c>
      <c r="E39" s="9">
        <f>May!E39+D39</f>
        <v>29</v>
      </c>
      <c r="F39" s="16">
        <f>25+19</f>
        <v>44</v>
      </c>
      <c r="G39" s="9">
        <f>May!G39+F39</f>
        <v>69</v>
      </c>
      <c r="H39" s="17"/>
      <c r="I39" s="9">
        <f>May!I39+H39</f>
        <v>0</v>
      </c>
      <c r="J39" s="18"/>
      <c r="K39" s="9">
        <f>May!K39+J39</f>
        <v>1</v>
      </c>
      <c r="L39" s="19"/>
      <c r="M39" s="9">
        <f>May!M39+L39</f>
        <v>0</v>
      </c>
      <c r="N39" s="32">
        <f>2</f>
        <v>2</v>
      </c>
      <c r="O39" s="9">
        <f>May!O39+N39</f>
        <v>2</v>
      </c>
      <c r="P39" s="20"/>
      <c r="Q39" s="33"/>
      <c r="R39" s="9">
        <f>May!R39+Q39</f>
        <v>0</v>
      </c>
    </row>
    <row r="40" spans="1:18" ht="18" customHeight="1">
      <c r="A40" s="9" t="s">
        <v>44</v>
      </c>
      <c r="B40" s="14"/>
      <c r="C40" s="9">
        <f>May!C40+B40</f>
        <v>0</v>
      </c>
      <c r="D40" s="15">
        <f>4+3+5+3+2+1+6+2+1+1+4+1+2+1+1+9+4+9+2+2+1+1+2+1+2+1+1+1+4+2+6+3+5+1+1+1+2+2+1+1+3+2+5</f>
        <v>112</v>
      </c>
      <c r="E40" s="9">
        <f>May!E40+D40</f>
        <v>224</v>
      </c>
      <c r="F40" s="16">
        <f>1+8+4</f>
        <v>13</v>
      </c>
      <c r="G40" s="9">
        <f>May!G40+F40</f>
        <v>67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32">
        <f>3+1</f>
        <v>4</v>
      </c>
      <c r="O40" s="9">
        <f>May!O40+N40</f>
        <v>4</v>
      </c>
      <c r="P40" s="20"/>
      <c r="Q40" s="33"/>
      <c r="R40" s="9">
        <f>May!R40+Q40</f>
        <v>0</v>
      </c>
    </row>
    <row r="41" spans="1:19" ht="18" customHeight="1">
      <c r="A41" s="9" t="s">
        <v>45</v>
      </c>
      <c r="B41" s="14"/>
      <c r="C41" s="9">
        <f>May!C41+B41</f>
        <v>0</v>
      </c>
      <c r="D41" s="15">
        <f>1+1+1+2+5+2+2+2+3</f>
        <v>19</v>
      </c>
      <c r="E41" s="9">
        <f>May!E41+D41</f>
        <v>23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2</v>
      </c>
      <c r="L41" s="19"/>
      <c r="M41" s="9">
        <f>May!M41+L41</f>
        <v>0</v>
      </c>
      <c r="N41" s="32">
        <f>4+3+9</f>
        <v>16</v>
      </c>
      <c r="O41" s="9">
        <f>May!O41+N41</f>
        <v>19</v>
      </c>
      <c r="P41" s="20"/>
      <c r="Q41" s="33">
        <f>16+4+4+4+4+8</f>
        <v>40</v>
      </c>
      <c r="R41" s="9">
        <f>May!R41+Q41</f>
        <v>40</v>
      </c>
      <c r="S41" s="2" t="s">
        <v>105</v>
      </c>
    </row>
    <row r="42" spans="1:18" ht="18" customHeight="1">
      <c r="A42" s="9" t="s">
        <v>46</v>
      </c>
      <c r="B42" s="14"/>
      <c r="C42" s="9">
        <f>May!C42+B42</f>
        <v>7</v>
      </c>
      <c r="D42" s="15">
        <f>4+2+2+2+2</f>
        <v>12</v>
      </c>
      <c r="E42" s="9">
        <f>May!E42+D42</f>
        <v>13</v>
      </c>
      <c r="F42" s="16"/>
      <c r="G42" s="9">
        <f>May!G42+F42</f>
        <v>13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2"/>
      <c r="O42" s="9">
        <f>May!O42+N42</f>
        <v>0</v>
      </c>
      <c r="P42" s="20"/>
      <c r="Q42" s="33"/>
      <c r="R42" s="9">
        <f>May!R42+Q42</f>
        <v>0</v>
      </c>
    </row>
    <row r="43" spans="1:18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2"/>
      <c r="O43" s="9">
        <f>May!O43+N43</f>
        <v>0</v>
      </c>
      <c r="P43" s="20"/>
      <c r="Q43" s="33"/>
      <c r="R43" s="9">
        <f>May!R43+Q43</f>
        <v>0</v>
      </c>
    </row>
    <row r="44" spans="1:18" ht="18" customHeight="1">
      <c r="A44" s="9" t="s">
        <v>48</v>
      </c>
      <c r="B44" s="14"/>
      <c r="C44" s="9">
        <f>May!C44+B44</f>
        <v>0</v>
      </c>
      <c r="D44" s="15">
        <f>1+1+2+1+1+2+1+3</f>
        <v>12</v>
      </c>
      <c r="E44" s="9">
        <f>May!E44+D44</f>
        <v>17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2"/>
      <c r="O44" s="9">
        <f>May!O44+N44</f>
        <v>0</v>
      </c>
      <c r="P44" s="20"/>
      <c r="Q44" s="33"/>
      <c r="R44" s="9">
        <f>May!R44+Q44</f>
        <v>0</v>
      </c>
    </row>
    <row r="45" spans="1:18" ht="18" customHeight="1">
      <c r="A45" s="9" t="s">
        <v>49</v>
      </c>
      <c r="B45" s="14"/>
      <c r="C45" s="9">
        <f>May!C45+B45</f>
        <v>0</v>
      </c>
      <c r="D45" s="15">
        <f>15+3+8+2+1+1+3+13+15+2+1+1+1+2+2+3+1+2+1+1+14+15+4+6+1</f>
        <v>118</v>
      </c>
      <c r="E45" s="9">
        <f>May!E45+D45</f>
        <v>350</v>
      </c>
      <c r="F45" s="16">
        <f>99+146+54+2+7+20+96+45+2+7+17+6+319+4+4+25+81+172+163</f>
        <v>1269</v>
      </c>
      <c r="G45" s="9">
        <f>May!G45+F45</f>
        <v>2435</v>
      </c>
      <c r="H45" s="17">
        <f>140+1+47+96</f>
        <v>284</v>
      </c>
      <c r="I45" s="9">
        <f>May!I45+H45</f>
        <v>9555</v>
      </c>
      <c r="J45" s="18">
        <f>16+10</f>
        <v>26</v>
      </c>
      <c r="K45" s="9">
        <f>May!K45+J45</f>
        <v>291</v>
      </c>
      <c r="L45" s="19">
        <f>23+4+28+50</f>
        <v>105</v>
      </c>
      <c r="M45" s="9">
        <f>May!M45+L45</f>
        <v>3643</v>
      </c>
      <c r="N45" s="32"/>
      <c r="O45" s="9">
        <f>May!O45+N45</f>
        <v>0</v>
      </c>
      <c r="P45" s="20"/>
      <c r="Q45" s="33"/>
      <c r="R45" s="9">
        <f>May!R45+Q45</f>
        <v>0</v>
      </c>
    </row>
    <row r="46" spans="1:18" ht="18" customHeight="1">
      <c r="A46" s="9" t="s">
        <v>50</v>
      </c>
      <c r="B46" s="14"/>
      <c r="C46" s="9">
        <f>May!C46+B46</f>
        <v>0</v>
      </c>
      <c r="D46" s="15">
        <f>4+2+8+1</f>
        <v>15</v>
      </c>
      <c r="E46" s="9">
        <f>May!E46+D46</f>
        <v>30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32"/>
      <c r="O46" s="9">
        <f>May!O45+N45</f>
        <v>0</v>
      </c>
      <c r="P46" s="20"/>
      <c r="Q46" s="33"/>
      <c r="R46" s="9">
        <f>May!R45+Q45</f>
        <v>0</v>
      </c>
    </row>
    <row r="47" spans="1:18" ht="18" customHeight="1">
      <c r="A47" s="9" t="s">
        <v>51</v>
      </c>
      <c r="B47" s="14"/>
      <c r="C47" s="9">
        <f>May!C47+B47</f>
        <v>0</v>
      </c>
      <c r="D47" s="15">
        <f>9+20+5+1+7+1+3+1+1+1+6+4+5+6+4+2</f>
        <v>76</v>
      </c>
      <c r="E47" s="9">
        <f>May!E47+D47</f>
        <v>102</v>
      </c>
      <c r="F47" s="16"/>
      <c r="G47" s="9">
        <f>May!G47+F47</f>
        <v>14</v>
      </c>
      <c r="H47" s="17"/>
      <c r="I47" s="9">
        <f>May!I47+H47</f>
        <v>0</v>
      </c>
      <c r="J47" s="18">
        <f>3</f>
        <v>3</v>
      </c>
      <c r="K47" s="9">
        <f>May!K47+J47</f>
        <v>3</v>
      </c>
      <c r="L47" s="19"/>
      <c r="M47" s="9">
        <f>May!M47+L47</f>
        <v>0</v>
      </c>
      <c r="N47" s="32"/>
      <c r="O47" s="9">
        <f>May!O47+N47</f>
        <v>0</v>
      </c>
      <c r="P47" s="20"/>
      <c r="Q47" s="33"/>
      <c r="R47" s="9">
        <f>May!R47+Q47</f>
        <v>0</v>
      </c>
    </row>
    <row r="48" spans="1:18" ht="18" customHeight="1">
      <c r="A48" s="9" t="s">
        <v>52</v>
      </c>
      <c r="B48" s="14"/>
      <c r="C48" s="9">
        <f>May!C48+B48</f>
        <v>0</v>
      </c>
      <c r="D48" s="15">
        <f>1</f>
        <v>1</v>
      </c>
      <c r="E48" s="9">
        <f>May!E48+D48</f>
        <v>4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2"/>
      <c r="O48" s="9">
        <f>May!O48+N48</f>
        <v>0</v>
      </c>
      <c r="P48" s="20"/>
      <c r="Q48" s="33"/>
      <c r="R48" s="9">
        <f>May!R48+Q48</f>
        <v>0</v>
      </c>
    </row>
    <row r="49" spans="1:18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2"/>
      <c r="O49" s="9">
        <f>May!O49+N49</f>
        <v>0</v>
      </c>
      <c r="P49" s="20"/>
      <c r="Q49" s="33"/>
      <c r="R49" s="9">
        <f>May!R49+Q49</f>
        <v>0</v>
      </c>
    </row>
    <row r="50" spans="1:18" ht="18" customHeight="1">
      <c r="A50" s="9" t="s">
        <v>54</v>
      </c>
      <c r="B50" s="14"/>
      <c r="C50" s="9">
        <f>May!C50+B50</f>
        <v>0</v>
      </c>
      <c r="D50" s="15">
        <f>1+1</f>
        <v>2</v>
      </c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2"/>
      <c r="O50" s="9">
        <f>May!O50+N50</f>
        <v>6</v>
      </c>
      <c r="P50" s="20"/>
      <c r="Q50" s="33"/>
      <c r="R50" s="9">
        <f>May!R50+Q50</f>
        <v>0</v>
      </c>
    </row>
    <row r="51" spans="1:18" ht="18" customHeight="1">
      <c r="A51" s="9" t="s">
        <v>55</v>
      </c>
      <c r="B51" s="14"/>
      <c r="C51" s="9">
        <f>May!C51+B51</f>
        <v>0</v>
      </c>
      <c r="D51" s="15">
        <f>2+9+5</f>
        <v>16</v>
      </c>
      <c r="E51" s="9">
        <f>May!E51+D51</f>
        <v>23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2"/>
      <c r="O51" s="9">
        <f>May!O51+N51</f>
        <v>0</v>
      </c>
      <c r="P51" s="20"/>
      <c r="Q51" s="33"/>
      <c r="R51" s="9">
        <f>May!R51+Q51</f>
        <v>0</v>
      </c>
    </row>
    <row r="52" spans="1:18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2"/>
      <c r="O52" s="9">
        <f>May!O52+N52</f>
        <v>0</v>
      </c>
      <c r="P52" s="20"/>
      <c r="Q52" s="33"/>
      <c r="R52" s="9">
        <f>May!R52+Q52</f>
        <v>0</v>
      </c>
    </row>
    <row r="53" spans="1:18" ht="18" customHeight="1">
      <c r="A53" s="9" t="s">
        <v>57</v>
      </c>
      <c r="B53" s="14"/>
      <c r="C53" s="9">
        <f>May!C53+B53</f>
        <v>8</v>
      </c>
      <c r="D53" s="15">
        <f>1+2+1+2+1+1+3+1+1+2+1+1+1+2+1+5+2+1+1+1+1+1+1+1+1+2+2+2+2+1+1+4+5+1+1+2+1+11+2+9+2+2+1+2+10+2+1+1+1+2+1+5+1+1+1+2+1+1+2+1+1+1+1+24</f>
        <v>149</v>
      </c>
      <c r="E53" s="9">
        <f>May!E53+D53</f>
        <v>555</v>
      </c>
      <c r="F53" s="16">
        <f>1+10+5</f>
        <v>16</v>
      </c>
      <c r="G53" s="9">
        <f>May!G53+F53</f>
        <v>46</v>
      </c>
      <c r="H53" s="17"/>
      <c r="I53" s="9">
        <f>May!I53+H53</f>
        <v>0</v>
      </c>
      <c r="J53" s="18">
        <f>6+8+4</f>
        <v>18</v>
      </c>
      <c r="K53" s="9">
        <f>May!K53+J53</f>
        <v>18</v>
      </c>
      <c r="L53" s="19"/>
      <c r="M53" s="9">
        <f>May!M53+L53</f>
        <v>0</v>
      </c>
      <c r="N53" s="32">
        <f>6+4+4+6+9+1+2+6+21</f>
        <v>59</v>
      </c>
      <c r="O53" s="9">
        <f>May!O53+N53</f>
        <v>105</v>
      </c>
      <c r="P53" s="20"/>
      <c r="Q53" s="33"/>
      <c r="R53" s="9">
        <f>May!R53+Q53</f>
        <v>160</v>
      </c>
    </row>
    <row r="54" spans="1:18" ht="18" customHeight="1" thickBot="1">
      <c r="A54" s="10" t="s">
        <v>58</v>
      </c>
      <c r="B54" s="14"/>
      <c r="C54" s="9">
        <f>May!C54+B54</f>
        <v>0</v>
      </c>
      <c r="D54" s="15">
        <f>2+1+2+2+3</f>
        <v>10</v>
      </c>
      <c r="E54" s="9">
        <f>May!E54+D54</f>
        <v>55</v>
      </c>
      <c r="F54" s="16">
        <f>12+2</f>
        <v>14</v>
      </c>
      <c r="G54" s="9">
        <f>May!G54+F54</f>
        <v>27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2"/>
      <c r="O54" s="9">
        <f>May!O54+N54</f>
        <v>0</v>
      </c>
      <c r="P54" s="20"/>
      <c r="Q54" s="34"/>
      <c r="R54" s="9">
        <f>May!R54+Q54</f>
        <v>0</v>
      </c>
    </row>
    <row r="55" spans="1:18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1370</v>
      </c>
      <c r="E55" s="11"/>
      <c r="F55" s="11">
        <f>SUM(F5:F54)</f>
        <v>2283</v>
      </c>
      <c r="G55" s="11"/>
      <c r="H55" s="11">
        <f>SUM(H5:H54)</f>
        <v>334</v>
      </c>
      <c r="I55" s="11"/>
      <c r="J55" s="11">
        <f>SUM(J5:J54)</f>
        <v>120</v>
      </c>
      <c r="K55" s="11"/>
      <c r="L55" s="11">
        <f>SUM(L5:L54)</f>
        <v>107</v>
      </c>
      <c r="M55" s="11"/>
      <c r="N55" s="11">
        <f>SUM(N5:N54)</f>
        <v>150</v>
      </c>
      <c r="O55" s="11"/>
      <c r="Q55" s="11">
        <f>SUM(Q5:Q54)</f>
        <v>465580</v>
      </c>
      <c r="R55" s="23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8" ht="18" customHeight="1" thickBot="1" thickTop="1">
      <c r="A57" s="13" t="s">
        <v>60</v>
      </c>
      <c r="B57" s="11"/>
      <c r="C57" s="11">
        <f>May!C57+B55</f>
        <v>45</v>
      </c>
      <c r="D57" s="11"/>
      <c r="E57" s="11">
        <f>May!E57+D55</f>
        <v>3556</v>
      </c>
      <c r="F57" s="11"/>
      <c r="G57" s="11">
        <f>May!G57+F55</f>
        <v>7369</v>
      </c>
      <c r="H57" s="11"/>
      <c r="I57" s="11">
        <f>May!I57+H55</f>
        <v>11086</v>
      </c>
      <c r="J57" s="11"/>
      <c r="K57" s="11">
        <f>May!K57+J55</f>
        <v>923</v>
      </c>
      <c r="L57" s="11"/>
      <c r="M57" s="11">
        <f>May!M57+L55</f>
        <v>3843</v>
      </c>
      <c r="N57" s="11"/>
      <c r="O57" s="11">
        <f>May!O57+N55</f>
        <v>226</v>
      </c>
      <c r="Q57" s="23"/>
      <c r="R57" s="11">
        <f>May!R57+Q55</f>
        <v>2225814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6" s="4" customFormat="1" ht="18" customHeight="1">
      <c r="A62" s="4" t="s">
        <v>62</v>
      </c>
      <c r="Y62" s="2"/>
      <c r="Z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78</v>
      </c>
      <c r="H1" s="2" t="s">
        <v>70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2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June!C5+B5</f>
        <v>0</v>
      </c>
      <c r="D5" s="15">
        <f>1+3+1</f>
        <v>5</v>
      </c>
      <c r="E5" s="9">
        <f>June!E5+D5</f>
        <v>16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2"/>
      <c r="O5" s="9">
        <f>June!O5+N5</f>
        <v>0</v>
      </c>
      <c r="P5" s="20"/>
      <c r="Q5" s="33"/>
      <c r="R5" s="9">
        <f>June!R5+Q5</f>
        <v>0</v>
      </c>
    </row>
    <row r="6" spans="1:18" ht="18" customHeight="1">
      <c r="A6" s="9" t="s">
        <v>10</v>
      </c>
      <c r="B6" s="14"/>
      <c r="C6" s="9">
        <f>June!C6+B6</f>
        <v>0</v>
      </c>
      <c r="D6" s="15">
        <f>1</f>
        <v>1</v>
      </c>
      <c r="E6" s="9">
        <f>June!E6+D6</f>
        <v>1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2"/>
      <c r="O6" s="9">
        <f>June!O6+N6</f>
        <v>0</v>
      </c>
      <c r="P6" s="20"/>
      <c r="Q6" s="33"/>
      <c r="R6" s="9">
        <f>June!R6+Q6</f>
        <v>0</v>
      </c>
    </row>
    <row r="7" spans="1:18" ht="18" customHeight="1">
      <c r="A7" s="9" t="s">
        <v>11</v>
      </c>
      <c r="B7" s="14"/>
      <c r="C7" s="9">
        <f>June!C7+B7</f>
        <v>0</v>
      </c>
      <c r="D7" s="15">
        <f>3+1+3+1+2+1+1+3</f>
        <v>15</v>
      </c>
      <c r="E7" s="9">
        <f>June!E7+D7</f>
        <v>139</v>
      </c>
      <c r="F7" s="16"/>
      <c r="G7" s="9">
        <f>June!G7+F7</f>
        <v>0</v>
      </c>
      <c r="H7" s="17"/>
      <c r="I7" s="9">
        <f>June!I7+H7</f>
        <v>0</v>
      </c>
      <c r="J7" s="18">
        <f>2</f>
        <v>2</v>
      </c>
      <c r="K7" s="9">
        <f>June!K7+J7</f>
        <v>2</v>
      </c>
      <c r="L7" s="19"/>
      <c r="M7" s="9">
        <f>June!M7+L7</f>
        <v>0</v>
      </c>
      <c r="N7" s="32"/>
      <c r="O7" s="9">
        <f>June!O7+N7</f>
        <v>0</v>
      </c>
      <c r="P7" s="20"/>
      <c r="Q7" s="33"/>
      <c r="R7" s="9">
        <f>June!R7+Q7</f>
        <v>0</v>
      </c>
    </row>
    <row r="8" spans="1:18" ht="18" customHeight="1">
      <c r="A8" s="9" t="s">
        <v>12</v>
      </c>
      <c r="B8" s="14"/>
      <c r="C8" s="9">
        <f>June!C8+B8</f>
        <v>0</v>
      </c>
      <c r="D8" s="15">
        <f>2+1+6+4+11+1</f>
        <v>25</v>
      </c>
      <c r="E8" s="9">
        <f>June!E8+D8</f>
        <v>50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3</v>
      </c>
      <c r="L8" s="19"/>
      <c r="M8" s="9">
        <f>June!M8+L8</f>
        <v>0</v>
      </c>
      <c r="N8" s="32"/>
      <c r="O8" s="9">
        <f>June!O8+N8</f>
        <v>0</v>
      </c>
      <c r="P8" s="20"/>
      <c r="Q8" s="33"/>
      <c r="R8" s="9">
        <f>June!R8+Q8</f>
        <v>0</v>
      </c>
    </row>
    <row r="9" spans="1:18" ht="18" customHeight="1">
      <c r="A9" s="9" t="s">
        <v>13</v>
      </c>
      <c r="B9" s="14"/>
      <c r="C9" s="9">
        <f>June!C9+B9</f>
        <v>0</v>
      </c>
      <c r="D9" s="15">
        <f>3+1+3+1+1+1+8+7+4</f>
        <v>29</v>
      </c>
      <c r="E9" s="9">
        <f>June!E9+D9</f>
        <v>54</v>
      </c>
      <c r="F9" s="16"/>
      <c r="G9" s="9">
        <f>June!G9+F9</f>
        <v>2</v>
      </c>
      <c r="H9" s="17"/>
      <c r="I9" s="9">
        <f>June!I9+H9</f>
        <v>0</v>
      </c>
      <c r="J9" s="18">
        <f>1+1+1</f>
        <v>3</v>
      </c>
      <c r="K9" s="9">
        <f>June!K9+J9</f>
        <v>3</v>
      </c>
      <c r="L9" s="19"/>
      <c r="M9" s="9">
        <f>June!M9+L9</f>
        <v>0</v>
      </c>
      <c r="N9" s="32"/>
      <c r="O9" s="9">
        <f>June!O9+N9</f>
        <v>0</v>
      </c>
      <c r="P9" s="20"/>
      <c r="Q9" s="33"/>
      <c r="R9" s="9">
        <f>June!R9+Q9</f>
        <v>0</v>
      </c>
    </row>
    <row r="10" spans="1:20" ht="18" customHeight="1">
      <c r="A10" s="9" t="s">
        <v>14</v>
      </c>
      <c r="B10" s="14"/>
      <c r="C10" s="9">
        <f>June!C10+B10</f>
        <v>0</v>
      </c>
      <c r="D10" s="15"/>
      <c r="E10" s="9">
        <f>June!E10+June!D10</f>
        <v>23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2"/>
      <c r="O10" s="9">
        <f>June!O10+N10</f>
        <v>0</v>
      </c>
      <c r="P10" s="20"/>
      <c r="Q10" s="33">
        <f>19700+29040+19700+29040+16880+17800+25000+78480+50640+107480</f>
        <v>393760</v>
      </c>
      <c r="R10" s="9">
        <f>June!R10+Q10</f>
        <v>2167712</v>
      </c>
      <c r="S10" s="2" t="s">
        <v>99</v>
      </c>
      <c r="T10" s="2" t="s">
        <v>104</v>
      </c>
    </row>
    <row r="11" spans="1:18" ht="18" customHeight="1">
      <c r="A11" s="9" t="s">
        <v>15</v>
      </c>
      <c r="B11" s="14"/>
      <c r="C11" s="9">
        <f>June!C11+B11</f>
        <v>0</v>
      </c>
      <c r="D11" s="15">
        <f>1+3+4+3+3+2+1+5+7+2+6+5+4+1+1+1</f>
        <v>49</v>
      </c>
      <c r="E11" s="9">
        <f>June!E11+D11</f>
        <v>120</v>
      </c>
      <c r="F11" s="16">
        <f>2</f>
        <v>2</v>
      </c>
      <c r="G11" s="9">
        <f>June!G11+F11</f>
        <v>7</v>
      </c>
      <c r="H11" s="17"/>
      <c r="I11" s="9">
        <f>June!I11+H11</f>
        <v>0</v>
      </c>
      <c r="J11" s="18">
        <f>2</f>
        <v>2</v>
      </c>
      <c r="K11" s="9">
        <f>June!K11+J11</f>
        <v>8</v>
      </c>
      <c r="L11" s="19"/>
      <c r="M11" s="9">
        <f>June!M11+L11</f>
        <v>0</v>
      </c>
      <c r="N11" s="32">
        <f>2</f>
        <v>2</v>
      </c>
      <c r="O11" s="9">
        <f>June!O11+N11</f>
        <v>2</v>
      </c>
      <c r="P11" s="20"/>
      <c r="Q11" s="33"/>
      <c r="R11" s="9">
        <f>June!R11+Q11</f>
        <v>0</v>
      </c>
    </row>
    <row r="12" spans="1:18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1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2"/>
      <c r="O12" s="9">
        <f>June!O12+N12</f>
        <v>2</v>
      </c>
      <c r="P12" s="20"/>
      <c r="Q12" s="33"/>
      <c r="R12" s="9">
        <f>June!R12+Q12</f>
        <v>228462</v>
      </c>
    </row>
    <row r="13" spans="1:18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5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2"/>
      <c r="O13" s="9">
        <f>June!O13+N13</f>
        <v>0</v>
      </c>
      <c r="P13" s="20"/>
      <c r="Q13" s="33"/>
      <c r="R13" s="9">
        <f>June!R13+Q13</f>
        <v>0</v>
      </c>
    </row>
    <row r="14" spans="1:18" ht="18" customHeight="1">
      <c r="A14" s="9" t="s">
        <v>18</v>
      </c>
      <c r="B14" s="14"/>
      <c r="C14" s="9">
        <f>June!C14+B14</f>
        <v>0</v>
      </c>
      <c r="D14" s="15">
        <f>2+2+3+2+1+1+3+2+6+2+10+4+3+2+1+4</f>
        <v>48</v>
      </c>
      <c r="E14" s="9">
        <f>June!E14+D14</f>
        <v>117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2</v>
      </c>
      <c r="L14" s="19"/>
      <c r="M14" s="9">
        <f>June!M14+L14</f>
        <v>0</v>
      </c>
      <c r="N14" s="32">
        <f>9</f>
        <v>9</v>
      </c>
      <c r="O14" s="9">
        <f>June!O14+N14</f>
        <v>9</v>
      </c>
      <c r="P14" s="20"/>
      <c r="Q14" s="33"/>
      <c r="R14" s="9">
        <f>June!R14+Q14</f>
        <v>0</v>
      </c>
    </row>
    <row r="15" spans="1:18" ht="18" customHeight="1">
      <c r="A15" s="9" t="s">
        <v>19</v>
      </c>
      <c r="B15" s="14"/>
      <c r="C15" s="9">
        <f>June!C15+B15</f>
        <v>0</v>
      </c>
      <c r="D15" s="15">
        <f>2+1+1+3</f>
        <v>7</v>
      </c>
      <c r="E15" s="9">
        <f>June!E15+D15</f>
        <v>20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2"/>
      <c r="O15" s="9">
        <f>June!O15+N15</f>
        <v>9</v>
      </c>
      <c r="P15" s="20"/>
      <c r="Q15" s="33"/>
      <c r="R15" s="9">
        <f>June!R15+Q15</f>
        <v>0</v>
      </c>
    </row>
    <row r="16" spans="1:18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2"/>
      <c r="O16" s="9">
        <f>June!O16+N16</f>
        <v>0</v>
      </c>
      <c r="P16" s="20"/>
      <c r="Q16" s="33"/>
      <c r="R16" s="9">
        <f>June!R16+Q16</f>
        <v>0</v>
      </c>
    </row>
    <row r="17" spans="1:18" ht="18" customHeight="1">
      <c r="A17" s="9" t="s">
        <v>21</v>
      </c>
      <c r="B17" s="14"/>
      <c r="C17" s="9">
        <f>June!C17+B17</f>
        <v>0</v>
      </c>
      <c r="D17" s="15">
        <f>1+3+2+1+1+4+3+1+1+2+2+1+1+2+1</f>
        <v>26</v>
      </c>
      <c r="E17" s="9">
        <f>June!E17+D17</f>
        <v>39</v>
      </c>
      <c r="F17" s="16"/>
      <c r="G17" s="9">
        <f>June!G17+F17</f>
        <v>752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2"/>
      <c r="O17" s="9">
        <f>June!O17+N17</f>
        <v>1</v>
      </c>
      <c r="P17" s="20"/>
      <c r="Q17" s="33"/>
      <c r="R17" s="9">
        <f>June!R17+Q17</f>
        <v>0</v>
      </c>
    </row>
    <row r="18" spans="1:20" ht="18" customHeight="1">
      <c r="A18" s="9" t="s">
        <v>22</v>
      </c>
      <c r="B18" s="14"/>
      <c r="C18" s="9">
        <f>June!C18+B18</f>
        <v>1</v>
      </c>
      <c r="D18" s="15">
        <f>2+2+3+1+2+1+2+2+1+2+2+1+1+1+1+2+1+2+1+1+2+4+3+4+3+1+4+1+3+1+4+1+1+1+2+4+7+2+2+1+7+2+1+3+1+3+1+8+7</f>
        <v>115</v>
      </c>
      <c r="E18" s="9">
        <f>June!E18+D18</f>
        <v>236</v>
      </c>
      <c r="F18" s="16">
        <f>1+2+17+3+38</f>
        <v>61</v>
      </c>
      <c r="G18" s="9">
        <f>June!G18+F18</f>
        <v>175</v>
      </c>
      <c r="H18" s="17"/>
      <c r="I18" s="9">
        <f>June!I18+H18</f>
        <v>0</v>
      </c>
      <c r="J18" s="18">
        <f>13+13+8+20</f>
        <v>54</v>
      </c>
      <c r="K18" s="9">
        <f>June!K18+J18</f>
        <v>69</v>
      </c>
      <c r="L18" s="19"/>
      <c r="M18" s="9">
        <f>June!M18+L18</f>
        <v>0</v>
      </c>
      <c r="N18" s="32">
        <v>1</v>
      </c>
      <c r="O18" s="9">
        <f>June!O18+N18</f>
        <v>3</v>
      </c>
      <c r="P18" s="20" t="s">
        <v>122</v>
      </c>
      <c r="Q18" s="33">
        <v>2</v>
      </c>
      <c r="R18" s="9">
        <f>June!R18+Q18</f>
        <v>2</v>
      </c>
      <c r="S18" s="2" t="s">
        <v>120</v>
      </c>
      <c r="T18" s="2" t="s">
        <v>121</v>
      </c>
    </row>
    <row r="19" spans="1:18" ht="18" customHeight="1">
      <c r="A19" s="9" t="s">
        <v>23</v>
      </c>
      <c r="B19" s="14"/>
      <c r="C19" s="9">
        <f>June!C19+B19</f>
        <v>3</v>
      </c>
      <c r="D19" s="15">
        <f>2+3+1+1+1+2+12</f>
        <v>22</v>
      </c>
      <c r="E19" s="9">
        <f>June!E19+D19</f>
        <v>49</v>
      </c>
      <c r="F19" s="16">
        <f>1</f>
        <v>1</v>
      </c>
      <c r="G19" s="9">
        <f>June!G19+F19</f>
        <v>12</v>
      </c>
      <c r="H19" s="17"/>
      <c r="I19" s="9">
        <f>June!I19+H19</f>
        <v>0</v>
      </c>
      <c r="J19" s="18"/>
      <c r="K19" s="9">
        <f>June!K19+J19</f>
        <v>61</v>
      </c>
      <c r="L19" s="19"/>
      <c r="M19" s="9">
        <f>June!M19+L19</f>
        <v>0</v>
      </c>
      <c r="N19" s="32"/>
      <c r="O19" s="9">
        <f>June!O19+N19</f>
        <v>7</v>
      </c>
      <c r="P19" s="20"/>
      <c r="Q19" s="33"/>
      <c r="R19" s="9">
        <f>June!R19+Q19</f>
        <v>0</v>
      </c>
    </row>
    <row r="20" spans="1:18" ht="18" customHeight="1">
      <c r="A20" s="9" t="s">
        <v>24</v>
      </c>
      <c r="B20" s="14"/>
      <c r="C20" s="9">
        <f>June!C20+B20</f>
        <v>0</v>
      </c>
      <c r="D20" s="15">
        <f>1+2+1+2+1+2+1+1+2+3+1+45</f>
        <v>62</v>
      </c>
      <c r="E20" s="9">
        <f>June!E20+D20</f>
        <v>114</v>
      </c>
      <c r="F20" s="16"/>
      <c r="G20" s="9">
        <f>June!G20+F20</f>
        <v>1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32"/>
      <c r="O20" s="9">
        <f>June!O20+N20</f>
        <v>2</v>
      </c>
      <c r="P20" s="20"/>
      <c r="Q20" s="33"/>
      <c r="R20" s="9">
        <f>June!R20+Q20</f>
        <v>0</v>
      </c>
    </row>
    <row r="21" spans="1:18" ht="18" customHeight="1">
      <c r="A21" s="9" t="s">
        <v>25</v>
      </c>
      <c r="B21" s="14"/>
      <c r="C21" s="9">
        <f>June!C21+B21</f>
        <v>0</v>
      </c>
      <c r="D21" s="15">
        <f>1+2+1+12+1+1+1+5+1+1+2+2+2+1</f>
        <v>33</v>
      </c>
      <c r="E21" s="9">
        <f>June!E21+D21</f>
        <v>113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2"/>
      <c r="O21" s="9">
        <f>June!O21+N21</f>
        <v>4</v>
      </c>
      <c r="P21" s="20"/>
      <c r="Q21" s="33"/>
      <c r="R21" s="9">
        <f>June!R21+Q21</f>
        <v>0</v>
      </c>
    </row>
    <row r="22" spans="1:18" ht="18" customHeight="1">
      <c r="A22" s="9" t="s">
        <v>26</v>
      </c>
      <c r="B22" s="14"/>
      <c r="C22" s="9">
        <f>June!C22+B22</f>
        <v>0</v>
      </c>
      <c r="D22" s="15">
        <f>1</f>
        <v>1</v>
      </c>
      <c r="E22" s="9">
        <f>June!E22+D22</f>
        <v>30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2"/>
      <c r="O22" s="9">
        <f>June!O22+N22</f>
        <v>0</v>
      </c>
      <c r="P22" s="20"/>
      <c r="Q22" s="33"/>
      <c r="R22" s="9">
        <f>June!R22+Q22</f>
        <v>0</v>
      </c>
    </row>
    <row r="23" spans="1:18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2"/>
      <c r="O23" s="9">
        <f>June!O23+N23</f>
        <v>0</v>
      </c>
      <c r="P23" s="20"/>
      <c r="Q23" s="33"/>
      <c r="R23" s="9">
        <f>June!R23+Q23</f>
        <v>0</v>
      </c>
    </row>
    <row r="24" spans="1:18" ht="18" customHeight="1">
      <c r="A24" s="9" t="s">
        <v>28</v>
      </c>
      <c r="B24" s="14"/>
      <c r="C24" s="9">
        <f>June!C24+B24</f>
        <v>0</v>
      </c>
      <c r="D24" s="15">
        <f>1+1</f>
        <v>2</v>
      </c>
      <c r="E24" s="9">
        <f>June!E24+D24</f>
        <v>2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2"/>
      <c r="O24" s="9">
        <f>June!O24+N24</f>
        <v>0</v>
      </c>
      <c r="P24" s="20"/>
      <c r="Q24" s="33"/>
      <c r="R24" s="9">
        <f>June!R24+Q24</f>
        <v>0</v>
      </c>
    </row>
    <row r="25" spans="1:18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0</v>
      </c>
      <c r="F25" s="16"/>
      <c r="G25" s="9">
        <f>June!G25+F25</f>
        <v>12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2">
        <f>1</f>
        <v>1</v>
      </c>
      <c r="O25" s="9">
        <f>June!O25+N25</f>
        <v>1</v>
      </c>
      <c r="P25" s="20"/>
      <c r="Q25" s="33"/>
      <c r="R25" s="9">
        <f>June!R25+Q25</f>
        <v>0</v>
      </c>
    </row>
    <row r="26" spans="1:18" ht="18" customHeight="1">
      <c r="A26" s="9" t="s">
        <v>30</v>
      </c>
      <c r="B26" s="14"/>
      <c r="C26" s="9">
        <f>June!C26+B26</f>
        <v>3</v>
      </c>
      <c r="D26" s="15">
        <f>1+1+6+2</f>
        <v>10</v>
      </c>
      <c r="E26" s="9">
        <f>June!E26+D26</f>
        <v>34</v>
      </c>
      <c r="F26" s="16">
        <v>30</v>
      </c>
      <c r="G26" s="9">
        <f>June!G26+F26</f>
        <v>33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32"/>
      <c r="O26" s="9">
        <f>June!O26+N26</f>
        <v>6</v>
      </c>
      <c r="P26" s="20"/>
      <c r="Q26" s="33"/>
      <c r="R26" s="9">
        <f>June!R26+Q26</f>
        <v>0</v>
      </c>
    </row>
    <row r="27" spans="1:18" ht="18" customHeight="1">
      <c r="A27" s="9" t="s">
        <v>31</v>
      </c>
      <c r="B27" s="14"/>
      <c r="C27" s="9">
        <f>June!C27+B27</f>
        <v>6</v>
      </c>
      <c r="D27" s="15">
        <f>1+2+2+1+1+1+1+1+1+1+1+1+2+2+2+2+1+1+8+3+3+3+1+1+3+1+2+2+1+1+4+1+1+1+2+2+2+5+2+5+1+1+2+2+1+1+2+2+3+5+2+2+2+4+2+3+3+2+1+3+2+6+54</f>
        <v>184</v>
      </c>
      <c r="E27" s="9">
        <f>June!E27+D27</f>
        <v>701</v>
      </c>
      <c r="F27" s="16">
        <f>5+73+5+21+1+43+1+1+1+1+1+1+16</f>
        <v>170</v>
      </c>
      <c r="G27" s="9">
        <f>June!G27+F27</f>
        <v>602</v>
      </c>
      <c r="H27" s="17">
        <f>28</f>
        <v>28</v>
      </c>
      <c r="I27" s="9">
        <f>June!I27+H27</f>
        <v>74</v>
      </c>
      <c r="J27" s="18">
        <f>27+4+4+4</f>
        <v>39</v>
      </c>
      <c r="K27" s="9">
        <f>June!K27+J27</f>
        <v>247</v>
      </c>
      <c r="L27" s="19">
        <f>29</f>
        <v>29</v>
      </c>
      <c r="M27" s="9">
        <f>June!M27+L27</f>
        <v>31</v>
      </c>
      <c r="N27" s="32">
        <f>7</f>
        <v>7</v>
      </c>
      <c r="O27" s="9">
        <f>June!O27+N27</f>
        <v>23</v>
      </c>
      <c r="P27" s="20"/>
      <c r="Q27" s="33"/>
      <c r="R27" s="9">
        <f>June!R27+Q27</f>
        <v>0</v>
      </c>
    </row>
    <row r="28" spans="1:18" ht="18" customHeight="1">
      <c r="A28" s="9" t="s">
        <v>32</v>
      </c>
      <c r="B28" s="14"/>
      <c r="C28" s="9">
        <f>June!C28+B28</f>
        <v>0</v>
      </c>
      <c r="D28" s="15">
        <f>2+1+2+30</f>
        <v>35</v>
      </c>
      <c r="E28" s="9">
        <f>June!E28+D28</f>
        <v>52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2"/>
      <c r="O28" s="9">
        <f>June!O28+N28</f>
        <v>0</v>
      </c>
      <c r="P28" s="20"/>
      <c r="Q28" s="33"/>
      <c r="R28" s="9">
        <f>June!R28+Q28</f>
        <v>0</v>
      </c>
    </row>
    <row r="29" spans="1:18" ht="18" customHeight="1">
      <c r="A29" s="9" t="s">
        <v>33</v>
      </c>
      <c r="B29" s="14">
        <f>4</f>
        <v>4</v>
      </c>
      <c r="C29" s="9">
        <f>June!C29+B29</f>
        <v>11</v>
      </c>
      <c r="D29" s="15">
        <f>2+1+5+4+2+6+1+1+2+3+2+1+3+1+1+3+2+1+3+1+2+1+2+2+1+4+2+2+4+2+1+4+1+6+1+3+1+1+1</f>
        <v>86</v>
      </c>
      <c r="E29" s="9">
        <f>June!E29+D29</f>
        <v>400</v>
      </c>
      <c r="F29" s="16">
        <f>2+2+2+1+2+1+3+1+1+2+4+1+1+1+1+18+1+3+2+1+1+4+1+1+3+3+4+1+1+1+4+1+1+1+2+4+2+1+1+3+2+2+1+1+1+4+2+2+2+1+2+1+1+1</f>
        <v>113</v>
      </c>
      <c r="G29" s="9">
        <f>June!G29+F29</f>
        <v>407</v>
      </c>
      <c r="H29" s="17"/>
      <c r="I29" s="9">
        <f>June!I29+H29</f>
        <v>0</v>
      </c>
      <c r="J29" s="18"/>
      <c r="K29" s="9">
        <f>June!K29+J29</f>
        <v>42</v>
      </c>
      <c r="L29" s="19"/>
      <c r="M29" s="9">
        <f>June!M29+L29</f>
        <v>0</v>
      </c>
      <c r="N29" s="32">
        <f>2</f>
        <v>2</v>
      </c>
      <c r="O29" s="9">
        <f>June!O29+N29</f>
        <v>24</v>
      </c>
      <c r="P29" s="20"/>
      <c r="Q29" s="33"/>
      <c r="R29" s="9">
        <f>June!R29+Q29</f>
        <v>0</v>
      </c>
    </row>
    <row r="30" spans="1:18" ht="18" customHeight="1">
      <c r="A30" s="9" t="s">
        <v>34</v>
      </c>
      <c r="B30" s="14"/>
      <c r="C30" s="9">
        <f>June!C30+B30</f>
        <v>0</v>
      </c>
      <c r="D30" s="15">
        <f>6+2+2+2+1+20</f>
        <v>33</v>
      </c>
      <c r="E30" s="9">
        <f>June!E30+D30</f>
        <v>103</v>
      </c>
      <c r="F30" s="16"/>
      <c r="G30" s="9">
        <f>June!G30+F30</f>
        <v>0</v>
      </c>
      <c r="H30" s="17"/>
      <c r="I30" s="9">
        <f>June!I30+H30</f>
        <v>197</v>
      </c>
      <c r="J30" s="18">
        <f>1</f>
        <v>1</v>
      </c>
      <c r="K30" s="9">
        <f>June!K30+J30</f>
        <v>4</v>
      </c>
      <c r="L30" s="19"/>
      <c r="M30" s="9">
        <f>June!M30+L30</f>
        <v>3</v>
      </c>
      <c r="N30" s="32">
        <f>6</f>
        <v>6</v>
      </c>
      <c r="O30" s="9">
        <f>June!O30+N30</f>
        <v>6</v>
      </c>
      <c r="P30" s="20"/>
      <c r="Q30" s="33"/>
      <c r="R30" s="9">
        <f>June!R30+Q30</f>
        <v>0</v>
      </c>
    </row>
    <row r="31" spans="1:18" ht="18" customHeight="1">
      <c r="A31" s="9" t="s">
        <v>35</v>
      </c>
      <c r="B31" s="14"/>
      <c r="C31" s="9">
        <f>June!C31+B31</f>
        <v>0</v>
      </c>
      <c r="D31" s="15">
        <f>1+1+1+4+2+1+2+4+2+6+2+1+4+1+53</f>
        <v>85</v>
      </c>
      <c r="E31" s="9">
        <f>June!E31+D31</f>
        <v>489</v>
      </c>
      <c r="F31" s="16">
        <f>8+2+9+57+21+157+117+173+153+1+1+8+7+4+21+4+1+76+34</f>
        <v>854</v>
      </c>
      <c r="G31" s="9">
        <f>June!G31+F31</f>
        <v>1518</v>
      </c>
      <c r="H31" s="17"/>
      <c r="I31" s="9">
        <f>June!I31+H31</f>
        <v>585</v>
      </c>
      <c r="J31" s="18">
        <f>1+37+1+6+11+13+6+37+4+5+71</f>
        <v>192</v>
      </c>
      <c r="K31" s="9">
        <f>June!K31+J31</f>
        <v>444</v>
      </c>
      <c r="L31" s="19"/>
      <c r="M31" s="9">
        <f>June!M31+L31</f>
        <v>195</v>
      </c>
      <c r="N31" s="32">
        <f>2+5</f>
        <v>7</v>
      </c>
      <c r="O31" s="9">
        <f>June!O31+N31</f>
        <v>19</v>
      </c>
      <c r="P31" s="20"/>
      <c r="Q31" s="33"/>
      <c r="R31" s="9">
        <f>June!R31+Q31</f>
        <v>0</v>
      </c>
    </row>
    <row r="32" spans="1:18" ht="18" customHeight="1">
      <c r="A32" s="9" t="s">
        <v>36</v>
      </c>
      <c r="B32" s="14"/>
      <c r="C32" s="9">
        <f>June!C32+B32</f>
        <v>0</v>
      </c>
      <c r="D32" s="15">
        <f>2+2+1+3+1+1+3+5+2+2+2+1</f>
        <v>25</v>
      </c>
      <c r="E32" s="9">
        <f>June!E32+D32</f>
        <v>31</v>
      </c>
      <c r="F32" s="16"/>
      <c r="G32" s="9">
        <f>June!G32+F32</f>
        <v>0</v>
      </c>
      <c r="H32" s="17"/>
      <c r="I32" s="9">
        <f>June!I32+H32</f>
        <v>0</v>
      </c>
      <c r="J32" s="18">
        <f>5</f>
        <v>5</v>
      </c>
      <c r="K32" s="9">
        <f>June!K32+J32</f>
        <v>5</v>
      </c>
      <c r="L32" s="19"/>
      <c r="M32" s="9">
        <f>June!M32+L32</f>
        <v>0</v>
      </c>
      <c r="N32" s="32"/>
      <c r="O32" s="9">
        <f>June!O32+N32</f>
        <v>0</v>
      </c>
      <c r="P32" s="20"/>
      <c r="Q32" s="33"/>
      <c r="R32" s="9">
        <f>June!R32+Q32</f>
        <v>0</v>
      </c>
    </row>
    <row r="33" spans="1:18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2"/>
      <c r="O33" s="9">
        <f>June!O33+N33</f>
        <v>0</v>
      </c>
      <c r="P33" s="20"/>
      <c r="Q33" s="33"/>
      <c r="R33" s="9">
        <f>June!R33+Q33</f>
        <v>0</v>
      </c>
    </row>
    <row r="34" spans="1:18" ht="18" customHeight="1">
      <c r="A34" s="9" t="s">
        <v>38</v>
      </c>
      <c r="B34" s="14"/>
      <c r="C34" s="9">
        <f>June!C34+B34</f>
        <v>0</v>
      </c>
      <c r="D34" s="15">
        <f>1</f>
        <v>1</v>
      </c>
      <c r="E34" s="9">
        <f>June!E34+D34</f>
        <v>1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2"/>
      <c r="O34" s="9">
        <f>June!O34+N34</f>
        <v>0</v>
      </c>
      <c r="P34" s="20"/>
      <c r="Q34" s="33"/>
      <c r="R34" s="9">
        <f>June!R34+Q34</f>
        <v>0</v>
      </c>
    </row>
    <row r="35" spans="1:18" ht="18" customHeight="1">
      <c r="A35" s="9" t="s">
        <v>39</v>
      </c>
      <c r="B35" s="14"/>
      <c r="C35" s="9">
        <f>June!C35+B35</f>
        <v>0</v>
      </c>
      <c r="D35" s="15">
        <f>2+1+2</f>
        <v>5</v>
      </c>
      <c r="E35" s="9">
        <f>June!E35+D35</f>
        <v>28</v>
      </c>
      <c r="F35" s="16"/>
      <c r="G35" s="9">
        <f>June!G35+F35</f>
        <v>8</v>
      </c>
      <c r="H35" s="17"/>
      <c r="I35" s="9">
        <f>June!I35+H35</f>
        <v>477</v>
      </c>
      <c r="J35" s="18"/>
      <c r="K35" s="9">
        <f>June!K35+J35</f>
        <v>0</v>
      </c>
      <c r="L35" s="19"/>
      <c r="M35" s="9">
        <f>June!M35+L35</f>
        <v>0</v>
      </c>
      <c r="N35" s="32"/>
      <c r="O35" s="9">
        <f>June!O35+N35</f>
        <v>3</v>
      </c>
      <c r="P35" s="20"/>
      <c r="Q35" s="33"/>
      <c r="R35" s="9">
        <f>June!R35+Q35</f>
        <v>0</v>
      </c>
    </row>
    <row r="36" spans="1:18" ht="18" customHeight="1">
      <c r="A36" s="9" t="s">
        <v>40</v>
      </c>
      <c r="B36" s="14"/>
      <c r="C36" s="9">
        <f>June!C36+B36</f>
        <v>0</v>
      </c>
      <c r="D36" s="15">
        <f>2+1</f>
        <v>3</v>
      </c>
      <c r="E36" s="9">
        <f>June!E36+D36</f>
        <v>9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2"/>
      <c r="O36" s="9">
        <f>June!O36+N36</f>
        <v>1</v>
      </c>
      <c r="P36" s="20"/>
      <c r="Q36" s="33"/>
      <c r="R36" s="9">
        <f>June!R36+Q36</f>
        <v>129960</v>
      </c>
    </row>
    <row r="37" spans="1:18" ht="18" customHeight="1">
      <c r="A37" s="9" t="s">
        <v>41</v>
      </c>
      <c r="B37" s="14"/>
      <c r="C37" s="9">
        <f>June!C37+B37</f>
        <v>0</v>
      </c>
      <c r="D37" s="15">
        <f>3+1</f>
        <v>4</v>
      </c>
      <c r="E37" s="9">
        <f>June!E37+D37</f>
        <v>7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3</v>
      </c>
      <c r="L37" s="19"/>
      <c r="M37" s="9">
        <f>June!M37+L37</f>
        <v>0</v>
      </c>
      <c r="N37" s="32"/>
      <c r="O37" s="9">
        <f>June!O37+N37</f>
        <v>3</v>
      </c>
      <c r="P37" s="20"/>
      <c r="Q37" s="33"/>
      <c r="R37" s="9">
        <f>June!R37+Q37</f>
        <v>93240</v>
      </c>
    </row>
    <row r="38" spans="1:18" ht="18" customHeight="1">
      <c r="A38" s="9" t="s">
        <v>42</v>
      </c>
      <c r="B38" s="14"/>
      <c r="C38" s="9">
        <f>June!C38+B38</f>
        <v>0</v>
      </c>
      <c r="D38" s="15">
        <f>2+1+1+1+1+1+1+8+2+2+1</f>
        <v>21</v>
      </c>
      <c r="E38" s="9">
        <f>June!E38+D38</f>
        <v>77</v>
      </c>
      <c r="F38" s="16"/>
      <c r="G38" s="9">
        <f>June!G38+F38</f>
        <v>29</v>
      </c>
      <c r="H38" s="17"/>
      <c r="I38" s="9">
        <f>June!I38+H38</f>
        <v>226</v>
      </c>
      <c r="J38" s="18"/>
      <c r="K38" s="9">
        <f>June!K38+J38</f>
        <v>12</v>
      </c>
      <c r="L38" s="19"/>
      <c r="M38" s="9">
        <f>June!M38+L38</f>
        <v>0</v>
      </c>
      <c r="N38" s="32"/>
      <c r="O38" s="9">
        <f>June!O38+N38</f>
        <v>0</v>
      </c>
      <c r="P38" s="20"/>
      <c r="Q38" s="33"/>
      <c r="R38" s="9">
        <f>June!R38+Q38</f>
        <v>0</v>
      </c>
    </row>
    <row r="39" spans="1:18" ht="18" customHeight="1">
      <c r="A39" s="9" t="s">
        <v>43</v>
      </c>
      <c r="B39" s="14"/>
      <c r="C39" s="9">
        <f>June!C39+B39</f>
        <v>10</v>
      </c>
      <c r="D39" s="15">
        <f>1+1+1+6+3</f>
        <v>12</v>
      </c>
      <c r="E39" s="9">
        <f>June!E39+D39</f>
        <v>41</v>
      </c>
      <c r="F39" s="16">
        <f>1+3</f>
        <v>4</v>
      </c>
      <c r="G39" s="9">
        <f>June!G39+F39</f>
        <v>73</v>
      </c>
      <c r="H39" s="17"/>
      <c r="I39" s="9">
        <f>June!I39+H39</f>
        <v>0</v>
      </c>
      <c r="J39" s="18"/>
      <c r="K39" s="9">
        <f>June!K39+J39</f>
        <v>1</v>
      </c>
      <c r="L39" s="19"/>
      <c r="M39" s="9">
        <f>June!M39+L39</f>
        <v>0</v>
      </c>
      <c r="N39" s="32">
        <f>6+2</f>
        <v>8</v>
      </c>
      <c r="O39" s="9">
        <f>June!O39+N39</f>
        <v>10</v>
      </c>
      <c r="P39" s="20"/>
      <c r="Q39" s="33"/>
      <c r="R39" s="9">
        <f>June!R39+Q39</f>
        <v>0</v>
      </c>
    </row>
    <row r="40" spans="1:18" ht="18" customHeight="1">
      <c r="A40" s="9" t="s">
        <v>44</v>
      </c>
      <c r="B40" s="14"/>
      <c r="C40" s="9">
        <f>June!C40+B40</f>
        <v>0</v>
      </c>
      <c r="D40" s="15">
        <f>2+3</f>
        <v>5</v>
      </c>
      <c r="E40" s="9">
        <f>June!E40+D40</f>
        <v>229</v>
      </c>
      <c r="F40" s="16"/>
      <c r="G40" s="9">
        <f>June!G40+F40</f>
        <v>67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32"/>
      <c r="O40" s="9">
        <f>June!O40+N40</f>
        <v>4</v>
      </c>
      <c r="P40" s="20"/>
      <c r="Q40" s="33"/>
      <c r="R40" s="9">
        <f>June!R40+Q40</f>
        <v>0</v>
      </c>
    </row>
    <row r="41" spans="1:19" ht="18" customHeight="1">
      <c r="A41" s="9" t="s">
        <v>45</v>
      </c>
      <c r="B41" s="14"/>
      <c r="C41" s="9">
        <f>June!C41+B41</f>
        <v>0</v>
      </c>
      <c r="D41" s="15">
        <f>3+1+1+1+1+1+2</f>
        <v>10</v>
      </c>
      <c r="E41" s="9">
        <f>June!E41+D41</f>
        <v>33</v>
      </c>
      <c r="F41" s="16">
        <f>3</f>
        <v>3</v>
      </c>
      <c r="G41" s="9">
        <f>June!G41+F41</f>
        <v>3</v>
      </c>
      <c r="H41" s="17"/>
      <c r="I41" s="9">
        <f>June!I41+H41</f>
        <v>0</v>
      </c>
      <c r="J41" s="18">
        <f>3</f>
        <v>3</v>
      </c>
      <c r="K41" s="9">
        <f>June!K41+J41</f>
        <v>5</v>
      </c>
      <c r="L41" s="19"/>
      <c r="M41" s="9">
        <f>June!M41+L41</f>
        <v>0</v>
      </c>
      <c r="N41" s="32"/>
      <c r="O41" s="9">
        <f>June!O41+N41</f>
        <v>19</v>
      </c>
      <c r="P41" s="20"/>
      <c r="Q41" s="33">
        <f>10</f>
        <v>10</v>
      </c>
      <c r="R41" s="9">
        <f>June!R41+Q41</f>
        <v>50</v>
      </c>
      <c r="S41" s="2" t="s">
        <v>106</v>
      </c>
    </row>
    <row r="42" spans="1:18" ht="18" customHeight="1">
      <c r="A42" s="9" t="s">
        <v>46</v>
      </c>
      <c r="B42" s="14"/>
      <c r="C42" s="9">
        <f>June!C42+B42</f>
        <v>7</v>
      </c>
      <c r="D42" s="15">
        <f>4+2+4+1+1+5+1+4</f>
        <v>22</v>
      </c>
      <c r="E42" s="9">
        <f>June!E42+D42</f>
        <v>35</v>
      </c>
      <c r="F42" s="16">
        <f>1</f>
        <v>1</v>
      </c>
      <c r="G42" s="9">
        <f>June!G42+F42</f>
        <v>14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2"/>
      <c r="O42" s="9">
        <f>June!O42+N42</f>
        <v>0</v>
      </c>
      <c r="P42" s="20"/>
      <c r="Q42" s="33"/>
      <c r="R42" s="9">
        <f>June!R42+Q42</f>
        <v>0</v>
      </c>
    </row>
    <row r="43" spans="1:18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2"/>
      <c r="O43" s="9">
        <f>June!O43+N43</f>
        <v>0</v>
      </c>
      <c r="P43" s="20"/>
      <c r="Q43" s="33"/>
      <c r="R43" s="9">
        <f>June!R43+Q43</f>
        <v>0</v>
      </c>
    </row>
    <row r="44" spans="1:18" ht="18" customHeight="1">
      <c r="A44" s="9" t="s">
        <v>48</v>
      </c>
      <c r="B44" s="14"/>
      <c r="C44" s="9">
        <f>June!C44+B44</f>
        <v>0</v>
      </c>
      <c r="D44" s="15">
        <f>4+2+4</f>
        <v>10</v>
      </c>
      <c r="E44" s="9">
        <f>June!E44+D44</f>
        <v>27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2"/>
      <c r="O44" s="9">
        <f>June!O44+N44</f>
        <v>0</v>
      </c>
      <c r="P44" s="20"/>
      <c r="Q44" s="33"/>
      <c r="R44" s="9">
        <f>June!R44+Q44</f>
        <v>0</v>
      </c>
    </row>
    <row r="45" spans="1:18" ht="18" customHeight="1">
      <c r="A45" s="9" t="s">
        <v>49</v>
      </c>
      <c r="B45" s="14"/>
      <c r="C45" s="9">
        <f>June!C45+B45</f>
        <v>0</v>
      </c>
      <c r="D45" s="15">
        <f>10+5+1+2+1+2+2+1+2+1+1+2+2+2+1+1+1+2+1+1+1+2+1+1+1+1+1+2+8+1+1+1+2+3</f>
        <v>67</v>
      </c>
      <c r="E45" s="9">
        <f>June!E45+D45</f>
        <v>417</v>
      </c>
      <c r="F45" s="16">
        <f>9+127+3+99+74+60+27</f>
        <v>399</v>
      </c>
      <c r="G45" s="9">
        <f>June!G45+F45</f>
        <v>2834</v>
      </c>
      <c r="H45" s="17">
        <f>62+100+24+335+111+90+56+100+11+131+141+45</f>
        <v>1206</v>
      </c>
      <c r="I45" s="9">
        <f>June!I45+H45</f>
        <v>10761</v>
      </c>
      <c r="J45" s="18">
        <f>1+1+10</f>
        <v>12</v>
      </c>
      <c r="K45" s="9">
        <f>June!K45+J45</f>
        <v>303</v>
      </c>
      <c r="L45" s="19">
        <f>41+14+22+29+81+10+27+12+8</f>
        <v>244</v>
      </c>
      <c r="M45" s="9">
        <f>June!M45+L45</f>
        <v>3887</v>
      </c>
      <c r="N45" s="32"/>
      <c r="O45" s="9">
        <f>June!O45+N45</f>
        <v>0</v>
      </c>
      <c r="P45" s="20"/>
      <c r="Q45" s="33"/>
      <c r="R45" s="9">
        <f>June!R45+Q45</f>
        <v>0</v>
      </c>
    </row>
    <row r="46" spans="1:18" ht="18" customHeight="1">
      <c r="A46" s="9" t="s">
        <v>50</v>
      </c>
      <c r="B46" s="14"/>
      <c r="C46" s="9">
        <f>June!C46+B46</f>
        <v>0</v>
      </c>
      <c r="D46" s="15">
        <f>8+3+1+2+6+2+2</f>
        <v>24</v>
      </c>
      <c r="E46" s="9">
        <f>June!E46+D46</f>
        <v>54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32"/>
      <c r="O46" s="9">
        <f>June!O46+N46</f>
        <v>0</v>
      </c>
      <c r="P46" s="20"/>
      <c r="Q46" s="33"/>
      <c r="R46" s="9">
        <f>June!R46+Q46</f>
        <v>0</v>
      </c>
    </row>
    <row r="47" spans="1:18" ht="18" customHeight="1">
      <c r="A47" s="9" t="s">
        <v>51</v>
      </c>
      <c r="B47" s="14"/>
      <c r="C47" s="9">
        <f>June!C47+B47</f>
        <v>0</v>
      </c>
      <c r="D47" s="15">
        <f>12+6+1+8+5+20+5+8+2+11</f>
        <v>78</v>
      </c>
      <c r="E47" s="9">
        <f>June!E47+D47</f>
        <v>180</v>
      </c>
      <c r="F47" s="16">
        <f>3+1</f>
        <v>4</v>
      </c>
      <c r="G47" s="9">
        <f>June!G47+F47</f>
        <v>18</v>
      </c>
      <c r="H47" s="17">
        <f>603+1150</f>
        <v>1753</v>
      </c>
      <c r="I47" s="9">
        <f>June!I47+H47</f>
        <v>1753</v>
      </c>
      <c r="J47" s="18">
        <f>192</f>
        <v>192</v>
      </c>
      <c r="K47" s="9">
        <f>June!K47+J47</f>
        <v>195</v>
      </c>
      <c r="L47" s="19"/>
      <c r="M47" s="9">
        <f>June!M47+L47</f>
        <v>0</v>
      </c>
      <c r="N47" s="32">
        <f>11</f>
        <v>11</v>
      </c>
      <c r="O47" s="9">
        <f>June!O47+N47</f>
        <v>11</v>
      </c>
      <c r="P47" s="20"/>
      <c r="Q47" s="33"/>
      <c r="R47" s="9">
        <f>June!R47+Q47</f>
        <v>0</v>
      </c>
    </row>
    <row r="48" spans="1:18" ht="18" customHeight="1">
      <c r="A48" s="9" t="s">
        <v>52</v>
      </c>
      <c r="B48" s="14"/>
      <c r="C48" s="9">
        <f>June!C48+B48</f>
        <v>0</v>
      </c>
      <c r="D48" s="15">
        <f>1+3+1+1+2+4+1+1+2+2+3+3+2+2</f>
        <v>28</v>
      </c>
      <c r="E48" s="9">
        <f>June!E48+D48</f>
        <v>32</v>
      </c>
      <c r="F48" s="16">
        <f>1+6+1</f>
        <v>8</v>
      </c>
      <c r="G48" s="9">
        <f>June!G48+F48</f>
        <v>8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2"/>
      <c r="O48" s="9">
        <f>June!O48+N48</f>
        <v>0</v>
      </c>
      <c r="P48" s="20"/>
      <c r="Q48" s="33"/>
      <c r="R48" s="9">
        <f>June!R48+Q48</f>
        <v>0</v>
      </c>
    </row>
    <row r="49" spans="1:18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2"/>
      <c r="O49" s="9">
        <f>June!O49+N49</f>
        <v>0</v>
      </c>
      <c r="P49" s="20"/>
      <c r="Q49" s="33"/>
      <c r="R49" s="9">
        <f>June!R49+Q49</f>
        <v>0</v>
      </c>
    </row>
    <row r="50" spans="1:18" ht="18" customHeight="1">
      <c r="A50" s="9" t="s">
        <v>54</v>
      </c>
      <c r="B50" s="14"/>
      <c r="C50" s="9">
        <f>June!C50+B50</f>
        <v>0</v>
      </c>
      <c r="D50" s="15">
        <f>1</f>
        <v>1</v>
      </c>
      <c r="E50" s="9">
        <f>June!E50+D50</f>
        <v>3</v>
      </c>
      <c r="F50" s="16">
        <f>5</f>
        <v>5</v>
      </c>
      <c r="G50" s="9">
        <f>June!G50+F50</f>
        <v>5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2"/>
      <c r="O50" s="9">
        <f>June!O50+N50</f>
        <v>6</v>
      </c>
      <c r="P50" s="20"/>
      <c r="Q50" s="33"/>
      <c r="R50" s="9">
        <f>June!R50+Q50</f>
        <v>0</v>
      </c>
    </row>
    <row r="51" spans="1:18" ht="18" customHeight="1">
      <c r="A51" s="9" t="s">
        <v>55</v>
      </c>
      <c r="B51" s="14"/>
      <c r="C51" s="9">
        <f>June!C51+B51</f>
        <v>0</v>
      </c>
      <c r="D51" s="15">
        <f>1+6+1+1+2+2+1</f>
        <v>14</v>
      </c>
      <c r="E51" s="9">
        <f>June!E51+D51</f>
        <v>37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2"/>
      <c r="O51" s="9">
        <f>June!O51+N51</f>
        <v>0</v>
      </c>
      <c r="P51" s="20"/>
      <c r="Q51" s="33"/>
      <c r="R51" s="9">
        <f>June!R51+Q51</f>
        <v>0</v>
      </c>
    </row>
    <row r="52" spans="1:18" ht="18" customHeight="1">
      <c r="A52" s="9" t="s">
        <v>56</v>
      </c>
      <c r="B52" s="14"/>
      <c r="C52" s="9">
        <f>June!C52+B52</f>
        <v>0</v>
      </c>
      <c r="D52" s="15">
        <f>2+1</f>
        <v>3</v>
      </c>
      <c r="E52" s="9">
        <f>June!E52+D52</f>
        <v>3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2"/>
      <c r="O52" s="9">
        <f>June!O52+N52</f>
        <v>0</v>
      </c>
      <c r="P52" s="20"/>
      <c r="Q52" s="33"/>
      <c r="R52" s="9">
        <f>June!R52+Q52</f>
        <v>0</v>
      </c>
    </row>
    <row r="53" spans="1:18" ht="18" customHeight="1">
      <c r="A53" s="9" t="s">
        <v>57</v>
      </c>
      <c r="B53" s="14">
        <f>1</f>
        <v>1</v>
      </c>
      <c r="C53" s="9">
        <f>June!C53+B53</f>
        <v>9</v>
      </c>
      <c r="D53" s="15">
        <f>2+6+1+2+2+2+1+1+3+3+3+1+2+3+8+3+2+10+5+9+3+3+2+3+1+4+9+3+10+2+6+1+1+1+1+1+2+4+5+86</f>
        <v>217</v>
      </c>
      <c r="E53" s="9">
        <f>June!E53+D53</f>
        <v>772</v>
      </c>
      <c r="F53" s="16">
        <f>4+2+6+1+1+1+1+1+1+1+1+1+5</f>
        <v>26</v>
      </c>
      <c r="G53" s="9">
        <f>June!G53+F53</f>
        <v>72</v>
      </c>
      <c r="H53" s="17"/>
      <c r="I53" s="9">
        <f>June!I53+H53</f>
        <v>0</v>
      </c>
      <c r="J53" s="18">
        <v>1</v>
      </c>
      <c r="K53" s="9">
        <f>June!K53+J53</f>
        <v>19</v>
      </c>
      <c r="L53" s="19"/>
      <c r="M53" s="9">
        <f>June!M53+L53</f>
        <v>0</v>
      </c>
      <c r="N53" s="32"/>
      <c r="O53" s="9">
        <f>June!O53+N53</f>
        <v>105</v>
      </c>
      <c r="P53" s="20"/>
      <c r="Q53" s="33"/>
      <c r="R53" s="9">
        <f>June!R53+Q53</f>
        <v>160</v>
      </c>
    </row>
    <row r="54" spans="1:18" ht="18" customHeight="1" thickBot="1">
      <c r="A54" s="10" t="s">
        <v>58</v>
      </c>
      <c r="B54" s="14"/>
      <c r="C54" s="9">
        <f>June!C54+B54</f>
        <v>0</v>
      </c>
      <c r="D54" s="15">
        <f>2+1+3+1+1+2+2+2+2+2+1+1+1+1+2+1+1+1+1+1+2+2+2+1+2+1+3</f>
        <v>42</v>
      </c>
      <c r="E54" s="9">
        <f>June!E54+D54</f>
        <v>97</v>
      </c>
      <c r="F54" s="16">
        <f>2</f>
        <v>2</v>
      </c>
      <c r="G54" s="9">
        <f>June!G54+F54</f>
        <v>29</v>
      </c>
      <c r="H54" s="17"/>
      <c r="I54" s="9">
        <f>June!I54+H54</f>
        <v>0</v>
      </c>
      <c r="J54" s="18">
        <f>1</f>
        <v>1</v>
      </c>
      <c r="K54" s="9">
        <f>June!K54+J54</f>
        <v>1</v>
      </c>
      <c r="L54" s="19"/>
      <c r="M54" s="9">
        <f>June!M54+L54</f>
        <v>0</v>
      </c>
      <c r="N54" s="32"/>
      <c r="O54" s="9">
        <f>June!O54+N54</f>
        <v>0</v>
      </c>
      <c r="P54" s="20"/>
      <c r="Q54" s="34"/>
      <c r="R54" s="9">
        <f>June!R54+Q54</f>
        <v>0</v>
      </c>
    </row>
    <row r="55" spans="1:18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1465</v>
      </c>
      <c r="E55" s="11"/>
      <c r="F55" s="11">
        <f>SUM(F5:F54)</f>
        <v>1683</v>
      </c>
      <c r="G55" s="11"/>
      <c r="H55" s="11">
        <f>SUM(H5:H54)</f>
        <v>2987</v>
      </c>
      <c r="I55" s="11"/>
      <c r="J55" s="11">
        <f>SUM(J5:J54)</f>
        <v>507</v>
      </c>
      <c r="K55" s="11"/>
      <c r="L55" s="11">
        <f>SUM(L5:L54)</f>
        <v>273</v>
      </c>
      <c r="M55" s="11"/>
      <c r="N55" s="11">
        <f>SUM(N5:N54)</f>
        <v>54</v>
      </c>
      <c r="O55" s="11"/>
      <c r="Q55" s="11">
        <f>SUM(Q5:Q54)</f>
        <v>393772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June!C57+B55</f>
        <v>50</v>
      </c>
      <c r="D57" s="11"/>
      <c r="E57" s="11">
        <f>June!E57+D55</f>
        <v>5021</v>
      </c>
      <c r="F57" s="11"/>
      <c r="G57" s="11">
        <f>June!G57+F55</f>
        <v>9052</v>
      </c>
      <c r="H57" s="11"/>
      <c r="I57" s="11">
        <f>June!I57+H55</f>
        <v>14073</v>
      </c>
      <c r="J57" s="11"/>
      <c r="K57" s="11">
        <f>June!K57+J55</f>
        <v>1430</v>
      </c>
      <c r="L57" s="11"/>
      <c r="M57" s="11">
        <f>June!M57+L55</f>
        <v>4116</v>
      </c>
      <c r="N57" s="11"/>
      <c r="O57" s="11">
        <f>June!O57+N55</f>
        <v>280</v>
      </c>
      <c r="Q57" s="23"/>
      <c r="R57" s="11">
        <f>June!R57+Q55</f>
        <v>2619586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5" s="4" customFormat="1" ht="18" customHeight="1">
      <c r="A62" s="4" t="s">
        <v>62</v>
      </c>
      <c r="Y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2"/>
  <sheetViews>
    <sheetView zoomScale="90" zoomScaleNormal="90" zoomScalePageLayoutView="0" workbookViewId="0" topLeftCell="A1">
      <pane xSplit="1" ySplit="4" topLeftCell="D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8" width="9.00390625" style="2" customWidth="1"/>
    <col min="19" max="19" width="8.375" style="2" customWidth="1"/>
    <col min="20" max="25" width="6.75390625" style="2" customWidth="1"/>
    <col min="26" max="16384" width="9.00390625" style="2" customWidth="1"/>
  </cols>
  <sheetData>
    <row r="1" spans="1:10" ht="23.25">
      <c r="A1" s="1" t="s">
        <v>78</v>
      </c>
      <c r="H1" s="2" t="s">
        <v>71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2.7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77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July!C5+B5</f>
        <v>0</v>
      </c>
      <c r="D5" s="15"/>
      <c r="E5" s="9">
        <f>July!E5+D5</f>
        <v>16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32"/>
      <c r="O5" s="9">
        <f>July!O5+N5</f>
        <v>0</v>
      </c>
      <c r="P5" s="20"/>
      <c r="Q5" s="33"/>
      <c r="R5" s="9">
        <f>July!R5+Q5</f>
        <v>0</v>
      </c>
    </row>
    <row r="6" spans="1:18" ht="18" customHeight="1">
      <c r="A6" s="9" t="s">
        <v>10</v>
      </c>
      <c r="B6" s="14"/>
      <c r="C6" s="9">
        <f>July!C6+B6</f>
        <v>0</v>
      </c>
      <c r="D6" s="15"/>
      <c r="E6" s="9">
        <f>July!E6+D6</f>
        <v>1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32"/>
      <c r="O6" s="9">
        <f>July!O6+N6</f>
        <v>0</v>
      </c>
      <c r="P6" s="20"/>
      <c r="Q6" s="33"/>
      <c r="R6" s="9">
        <f>July!R6+Q6</f>
        <v>0</v>
      </c>
    </row>
    <row r="7" spans="1:18" ht="18" customHeight="1">
      <c r="A7" s="9" t="s">
        <v>11</v>
      </c>
      <c r="B7" s="14"/>
      <c r="C7" s="9">
        <f>July!C7+B7</f>
        <v>0</v>
      </c>
      <c r="D7" s="15">
        <f>1</f>
        <v>1</v>
      </c>
      <c r="E7" s="9">
        <f>July!E7+D7</f>
        <v>140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2</v>
      </c>
      <c r="L7" s="19"/>
      <c r="M7" s="9">
        <f>July!M7+L7</f>
        <v>0</v>
      </c>
      <c r="N7" s="32"/>
      <c r="O7" s="9">
        <f>July!O7+N7</f>
        <v>0</v>
      </c>
      <c r="P7" s="20"/>
      <c r="Q7" s="33"/>
      <c r="R7" s="9">
        <f>July!R7+Q7</f>
        <v>0</v>
      </c>
    </row>
    <row r="8" spans="1:18" ht="18" customHeight="1">
      <c r="A8" s="9" t="s">
        <v>12</v>
      </c>
      <c r="B8" s="14"/>
      <c r="C8" s="9">
        <f>July!C8+B8</f>
        <v>0</v>
      </c>
      <c r="D8" s="15">
        <f>6+2+1+3</f>
        <v>12</v>
      </c>
      <c r="E8" s="9">
        <f>July!E8+D8</f>
        <v>62</v>
      </c>
      <c r="F8" s="16"/>
      <c r="G8" s="9">
        <f>July!G8+F8</f>
        <v>0</v>
      </c>
      <c r="H8" s="17"/>
      <c r="I8" s="9">
        <f>July!I8+H8</f>
        <v>0</v>
      </c>
      <c r="J8" s="18">
        <f>4+4+4+4</f>
        <v>16</v>
      </c>
      <c r="K8" s="9">
        <f>July!K8+J8</f>
        <v>19</v>
      </c>
      <c r="L8" s="19"/>
      <c r="M8" s="9">
        <f>July!M8+L8</f>
        <v>0</v>
      </c>
      <c r="N8" s="32"/>
      <c r="O8" s="9">
        <f>July!O8+N8</f>
        <v>0</v>
      </c>
      <c r="P8" s="20"/>
      <c r="Q8" s="33"/>
      <c r="R8" s="9">
        <f>July!R8+Q8</f>
        <v>0</v>
      </c>
    </row>
    <row r="9" spans="1:18" ht="18" customHeight="1">
      <c r="A9" s="9" t="s">
        <v>13</v>
      </c>
      <c r="B9" s="14"/>
      <c r="C9" s="9">
        <f>July!C9+B9</f>
        <v>0</v>
      </c>
      <c r="D9" s="15"/>
      <c r="E9" s="9">
        <f>July!E9+D9</f>
        <v>54</v>
      </c>
      <c r="F9" s="16"/>
      <c r="G9" s="9">
        <f>July!G9+F9</f>
        <v>2</v>
      </c>
      <c r="H9" s="17"/>
      <c r="I9" s="9">
        <f>July!I9+H9</f>
        <v>0</v>
      </c>
      <c r="J9" s="18">
        <f>15+13</f>
        <v>28</v>
      </c>
      <c r="K9" s="9">
        <f>July!K9+J9</f>
        <v>31</v>
      </c>
      <c r="L9" s="19"/>
      <c r="M9" s="9">
        <f>July!M9+L9</f>
        <v>0</v>
      </c>
      <c r="N9" s="32"/>
      <c r="O9" s="9">
        <f>July!O9+N9</f>
        <v>0</v>
      </c>
      <c r="P9" s="20"/>
      <c r="Q9" s="33"/>
      <c r="R9" s="9">
        <f>July!R9+Q9</f>
        <v>0</v>
      </c>
    </row>
    <row r="10" spans="1:21" ht="18" customHeight="1">
      <c r="A10" s="9" t="s">
        <v>14</v>
      </c>
      <c r="B10" s="14"/>
      <c r="C10" s="9">
        <f>July!C10+B10</f>
        <v>0</v>
      </c>
      <c r="D10" s="15">
        <f>1+9</f>
        <v>10</v>
      </c>
      <c r="E10" s="9">
        <f>July!E10+D10</f>
        <v>33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32"/>
      <c r="O10" s="9">
        <f>July!O10+N10</f>
        <v>0</v>
      </c>
      <c r="P10" s="20"/>
      <c r="Q10" s="33">
        <f>2040+2698+4524+16225+16225+12840+28800+24500+13900</f>
        <v>121752</v>
      </c>
      <c r="R10" s="9">
        <f>July!R10+Q10</f>
        <v>2289464</v>
      </c>
      <c r="S10" s="2" t="s">
        <v>109</v>
      </c>
      <c r="T10" s="2" t="s">
        <v>92</v>
      </c>
      <c r="U10" s="2" t="s">
        <v>110</v>
      </c>
    </row>
    <row r="11" spans="1:18" ht="18" customHeight="1">
      <c r="A11" s="9" t="s">
        <v>15</v>
      </c>
      <c r="B11" s="14"/>
      <c r="C11" s="9">
        <f>July!C11+B11</f>
        <v>0</v>
      </c>
      <c r="D11" s="15">
        <f>1+6+1+23+1</f>
        <v>32</v>
      </c>
      <c r="E11" s="9">
        <f>July!E11+D11</f>
        <v>152</v>
      </c>
      <c r="F11" s="16">
        <f>1</f>
        <v>1</v>
      </c>
      <c r="G11" s="9">
        <f>July!G11+F11</f>
        <v>8</v>
      </c>
      <c r="H11" s="17"/>
      <c r="I11" s="9">
        <f>July!I11+H11</f>
        <v>0</v>
      </c>
      <c r="J11" s="18"/>
      <c r="K11" s="9">
        <f>July!K11+J11</f>
        <v>8</v>
      </c>
      <c r="L11" s="19"/>
      <c r="M11" s="9">
        <f>July!M11+L11</f>
        <v>0</v>
      </c>
      <c r="N11" s="32"/>
      <c r="O11" s="9">
        <f>July!O11+N11</f>
        <v>2</v>
      </c>
      <c r="P11" s="20"/>
      <c r="Q11" s="33"/>
      <c r="R11" s="9">
        <f>July!R11+Q11</f>
        <v>0</v>
      </c>
    </row>
    <row r="12" spans="1:19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1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32"/>
      <c r="O12" s="9">
        <f>July!O12+N12</f>
        <v>2</v>
      </c>
      <c r="P12" s="20"/>
      <c r="Q12" s="33">
        <f>4320+11160+16560+14040+8280+6480+7920+5760+4320+4680+15480+3600</f>
        <v>102600</v>
      </c>
      <c r="R12" s="9">
        <f>July!R12+Q12</f>
        <v>331062</v>
      </c>
      <c r="S12" s="2" t="s">
        <v>101</v>
      </c>
    </row>
    <row r="13" spans="1:18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5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32"/>
      <c r="O13" s="9">
        <f>July!O13+N13</f>
        <v>0</v>
      </c>
      <c r="P13" s="20"/>
      <c r="Q13" s="33"/>
      <c r="R13" s="9">
        <f>July!R13+Q13</f>
        <v>0</v>
      </c>
    </row>
    <row r="14" spans="1:18" ht="18" customHeight="1">
      <c r="A14" s="9" t="s">
        <v>18</v>
      </c>
      <c r="B14" s="14"/>
      <c r="C14" s="9">
        <f>July!C14+B14</f>
        <v>0</v>
      </c>
      <c r="D14" s="15">
        <f>3+2</f>
        <v>5</v>
      </c>
      <c r="E14" s="9">
        <f>July!E14+D14</f>
        <v>122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2</v>
      </c>
      <c r="L14" s="19"/>
      <c r="M14" s="9">
        <f>July!M14+L14</f>
        <v>0</v>
      </c>
      <c r="N14" s="32"/>
      <c r="O14" s="9">
        <f>July!O14+N14</f>
        <v>9</v>
      </c>
      <c r="P14" s="20"/>
      <c r="Q14" s="33"/>
      <c r="R14" s="9">
        <f>July!R14+Q14</f>
        <v>0</v>
      </c>
    </row>
    <row r="15" spans="1:18" ht="18" customHeight="1">
      <c r="A15" s="9" t="s">
        <v>19</v>
      </c>
      <c r="B15" s="14"/>
      <c r="C15" s="9">
        <f>July!C15+B15</f>
        <v>0</v>
      </c>
      <c r="D15" s="15">
        <f>1</f>
        <v>1</v>
      </c>
      <c r="E15" s="9">
        <f>July!E15+D15</f>
        <v>21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32"/>
      <c r="O15" s="9">
        <f>July!O15+N15</f>
        <v>9</v>
      </c>
      <c r="P15" s="20"/>
      <c r="Q15" s="33"/>
      <c r="R15" s="9">
        <f>July!R15+Q15</f>
        <v>0</v>
      </c>
    </row>
    <row r="16" spans="1:18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32"/>
      <c r="O16" s="9">
        <f>July!O16+N16</f>
        <v>0</v>
      </c>
      <c r="P16" s="20"/>
      <c r="Q16" s="33"/>
      <c r="R16" s="9">
        <f>July!R16+Q16</f>
        <v>0</v>
      </c>
    </row>
    <row r="17" spans="1:18" ht="18" customHeight="1">
      <c r="A17" s="9" t="s">
        <v>21</v>
      </c>
      <c r="B17" s="14"/>
      <c r="C17" s="9">
        <f>July!C17+B17</f>
        <v>0</v>
      </c>
      <c r="D17" s="15">
        <f>1+1+1+1+1+2+4+7+7</f>
        <v>25</v>
      </c>
      <c r="E17" s="9">
        <f>July!E17+D17</f>
        <v>64</v>
      </c>
      <c r="F17" s="16"/>
      <c r="G17" s="9">
        <f>July!G17+F17</f>
        <v>752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32"/>
      <c r="O17" s="9">
        <f>July!O17+N17</f>
        <v>1</v>
      </c>
      <c r="P17" s="20"/>
      <c r="Q17" s="33"/>
      <c r="R17" s="9">
        <f>July!R17+Q17</f>
        <v>0</v>
      </c>
    </row>
    <row r="18" spans="1:18" ht="18" customHeight="1">
      <c r="A18" s="9" t="s">
        <v>22</v>
      </c>
      <c r="B18" s="14"/>
      <c r="C18" s="9">
        <f>July!C18+B18</f>
        <v>1</v>
      </c>
      <c r="D18" s="15">
        <f>2+3+3+1+2+1+6+1+2+1+2+2+5+6+1+2+8+9</f>
        <v>57</v>
      </c>
      <c r="E18" s="9">
        <f>July!E18+D18</f>
        <v>293</v>
      </c>
      <c r="F18" s="16">
        <f>2+14+28+17</f>
        <v>61</v>
      </c>
      <c r="G18" s="9">
        <f>July!G18+F18</f>
        <v>236</v>
      </c>
      <c r="H18" s="17"/>
      <c r="I18" s="9">
        <f>July!I18+H18</f>
        <v>0</v>
      </c>
      <c r="J18" s="18">
        <f>5+6+20+2</f>
        <v>33</v>
      </c>
      <c r="K18" s="9">
        <f>July!K18+J18</f>
        <v>102</v>
      </c>
      <c r="L18" s="19"/>
      <c r="M18" s="9">
        <f>July!M18+L18</f>
        <v>0</v>
      </c>
      <c r="N18" s="32">
        <f>1+1</f>
        <v>2</v>
      </c>
      <c r="O18" s="9">
        <f>July!O18+N18</f>
        <v>5</v>
      </c>
      <c r="P18" s="20"/>
      <c r="Q18" s="33"/>
      <c r="R18" s="9">
        <f>July!R18+Q18</f>
        <v>2</v>
      </c>
    </row>
    <row r="19" spans="1:18" ht="18" customHeight="1">
      <c r="A19" s="9" t="s">
        <v>23</v>
      </c>
      <c r="B19" s="14">
        <f>1</f>
        <v>1</v>
      </c>
      <c r="C19" s="9">
        <f>July!C19+B19</f>
        <v>4</v>
      </c>
      <c r="D19" s="15">
        <f>1+1+3+25</f>
        <v>30</v>
      </c>
      <c r="E19" s="9">
        <f>July!E19+D19</f>
        <v>79</v>
      </c>
      <c r="F19" s="16">
        <f>6+3</f>
        <v>9</v>
      </c>
      <c r="G19" s="9">
        <f>July!G19+F19</f>
        <v>21</v>
      </c>
      <c r="H19" s="17"/>
      <c r="I19" s="9">
        <f>July!I19+H19</f>
        <v>0</v>
      </c>
      <c r="J19" s="18">
        <f>16</f>
        <v>16</v>
      </c>
      <c r="K19" s="9">
        <f>July!K19+J19</f>
        <v>77</v>
      </c>
      <c r="L19" s="19"/>
      <c r="M19" s="9">
        <f>July!M19+L19</f>
        <v>0</v>
      </c>
      <c r="N19" s="32"/>
      <c r="O19" s="9">
        <f>July!O19+N19</f>
        <v>7</v>
      </c>
      <c r="P19" s="20"/>
      <c r="Q19" s="33"/>
      <c r="R19" s="9">
        <f>July!R19+Q19</f>
        <v>0</v>
      </c>
    </row>
    <row r="20" spans="1:18" ht="18" customHeight="1">
      <c r="A20" s="9" t="s">
        <v>24</v>
      </c>
      <c r="B20" s="14"/>
      <c r="C20" s="9">
        <f>July!C20+B20</f>
        <v>0</v>
      </c>
      <c r="D20" s="15">
        <f>27+10+2+5+5+2+2+2+1+1+1+1+1+1+2+1+1+2+1+2+5+1+4+19</f>
        <v>99</v>
      </c>
      <c r="E20" s="9">
        <f>July!E20+D20</f>
        <v>213</v>
      </c>
      <c r="F20" s="16"/>
      <c r="G20" s="9">
        <f>July!G20+F20</f>
        <v>1</v>
      </c>
      <c r="H20" s="17"/>
      <c r="I20" s="9">
        <f>July!I20+H20</f>
        <v>0</v>
      </c>
      <c r="J20" s="18">
        <f>3</f>
        <v>3</v>
      </c>
      <c r="K20" s="9">
        <f>July!K20+J20</f>
        <v>4</v>
      </c>
      <c r="L20" s="19"/>
      <c r="M20" s="9">
        <f>July!M20+L20</f>
        <v>0</v>
      </c>
      <c r="N20" s="32"/>
      <c r="O20" s="9">
        <f>July!O20+N20</f>
        <v>2</v>
      </c>
      <c r="P20" s="20"/>
      <c r="Q20" s="33"/>
      <c r="R20" s="9">
        <f>July!R20+Q20</f>
        <v>0</v>
      </c>
    </row>
    <row r="21" spans="1:18" ht="18" customHeight="1">
      <c r="A21" s="9" t="s">
        <v>25</v>
      </c>
      <c r="B21" s="14"/>
      <c r="C21" s="9">
        <f>July!C21+B21</f>
        <v>0</v>
      </c>
      <c r="D21" s="15">
        <f>1+1+1+1</f>
        <v>4</v>
      </c>
      <c r="E21" s="9">
        <f>July!E21+D21</f>
        <v>117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32"/>
      <c r="O21" s="9">
        <f>July!O21+N21</f>
        <v>4</v>
      </c>
      <c r="P21" s="20"/>
      <c r="Q21" s="33"/>
      <c r="R21" s="9">
        <f>July!R21+Q21</f>
        <v>0</v>
      </c>
    </row>
    <row r="22" spans="1:18" ht="18" customHeight="1">
      <c r="A22" s="9" t="s">
        <v>26</v>
      </c>
      <c r="B22" s="14"/>
      <c r="C22" s="9">
        <f>July!C22+B22</f>
        <v>0</v>
      </c>
      <c r="D22" s="15">
        <f>1</f>
        <v>1</v>
      </c>
      <c r="E22" s="9">
        <f>July!E22+D22</f>
        <v>31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32"/>
      <c r="O22" s="9">
        <f>July!O22+N22</f>
        <v>0</v>
      </c>
      <c r="P22" s="20"/>
      <c r="Q22" s="33"/>
      <c r="R22" s="9">
        <f>July!R22+Q22</f>
        <v>0</v>
      </c>
    </row>
    <row r="23" spans="1:18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0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32"/>
      <c r="O23" s="9">
        <f>July!O23+N23</f>
        <v>0</v>
      </c>
      <c r="P23" s="20"/>
      <c r="Q23" s="33"/>
      <c r="R23" s="9">
        <f>July!R23+Q23</f>
        <v>0</v>
      </c>
    </row>
    <row r="24" spans="1:18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2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32"/>
      <c r="O24" s="9">
        <f>July!O24+N24</f>
        <v>0</v>
      </c>
      <c r="P24" s="20"/>
      <c r="Q24" s="33"/>
      <c r="R24" s="9">
        <f>July!R24+Q24</f>
        <v>0</v>
      </c>
    </row>
    <row r="25" spans="1:18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0</v>
      </c>
      <c r="F25" s="16"/>
      <c r="G25" s="9">
        <f>July!G25+F25</f>
        <v>12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32"/>
      <c r="O25" s="9">
        <f>July!O25+N25</f>
        <v>1</v>
      </c>
      <c r="P25" s="20"/>
      <c r="Q25" s="33"/>
      <c r="R25" s="9">
        <f>July!R25+Q25</f>
        <v>0</v>
      </c>
    </row>
    <row r="26" spans="1:18" ht="18" customHeight="1">
      <c r="A26" s="9" t="s">
        <v>30</v>
      </c>
      <c r="B26" s="14"/>
      <c r="C26" s="9">
        <f>July!C26+B26</f>
        <v>3</v>
      </c>
      <c r="D26" s="15">
        <f>2+3+7+3+5+3+1+2</f>
        <v>26</v>
      </c>
      <c r="E26" s="9">
        <f>July!E26+D26</f>
        <v>60</v>
      </c>
      <c r="F26" s="16">
        <f>1+1+1+1+2+1+1+1+1+1+1+1+1+1+1+1+1+1+1+1+1+1+1+1+1+6</f>
        <v>32</v>
      </c>
      <c r="G26" s="9">
        <f>July!G26+F26</f>
        <v>65</v>
      </c>
      <c r="H26" s="17"/>
      <c r="I26" s="9">
        <f>July!I26+H26</f>
        <v>0</v>
      </c>
      <c r="J26" s="18">
        <f>2</f>
        <v>2</v>
      </c>
      <c r="K26" s="9">
        <f>July!K26+J26</f>
        <v>2</v>
      </c>
      <c r="L26" s="19"/>
      <c r="M26" s="9">
        <f>July!M26+L26</f>
        <v>0</v>
      </c>
      <c r="N26" s="32"/>
      <c r="O26" s="9">
        <f>July!O26+N26</f>
        <v>6</v>
      </c>
      <c r="P26" s="20"/>
      <c r="Q26" s="33"/>
      <c r="R26" s="9">
        <f>July!R26+Q26</f>
        <v>0</v>
      </c>
    </row>
    <row r="27" spans="1:18" ht="18" customHeight="1">
      <c r="A27" s="9" t="s">
        <v>31</v>
      </c>
      <c r="B27" s="14">
        <f>2+20+33</f>
        <v>55</v>
      </c>
      <c r="C27" s="9">
        <f>July!C27+B27</f>
        <v>61</v>
      </c>
      <c r="D27" s="15">
        <f>3+15+2+15+1+2+1+2+1+2+2+2+8+1+4+1+2+1+1+8+6+6+3+15+9+1+1+1+1+1+1+4+4+6+4+6+3+5+2+14+14+4+12+4+1+1+2+1+4+7+6+4+1+1+2+2+2+1+1+2+3+2+9+3+38</f>
        <v>294</v>
      </c>
      <c r="E27" s="9">
        <f>July!E27+D27</f>
        <v>995</v>
      </c>
      <c r="F27" s="16">
        <f>78+1+1+1+1+1+1+1+1+1+1+6+4+4+2+25+41</f>
        <v>170</v>
      </c>
      <c r="G27" s="9">
        <f>July!G27+F27</f>
        <v>772</v>
      </c>
      <c r="H27" s="17">
        <f>98</f>
        <v>98</v>
      </c>
      <c r="I27" s="9">
        <f>July!I27+H27</f>
        <v>172</v>
      </c>
      <c r="J27" s="18">
        <f>5+7+14+6+28+28</f>
        <v>88</v>
      </c>
      <c r="K27" s="9">
        <f>July!K27+J27</f>
        <v>335</v>
      </c>
      <c r="L27" s="19">
        <f>4</f>
        <v>4</v>
      </c>
      <c r="M27" s="9">
        <f>July!M26+L26</f>
        <v>0</v>
      </c>
      <c r="N27" s="32"/>
      <c r="O27" s="9">
        <f>July!O27+N27</f>
        <v>23</v>
      </c>
      <c r="P27" s="20"/>
      <c r="Q27" s="33"/>
      <c r="R27" s="9">
        <f>July!R27+Q27</f>
        <v>0</v>
      </c>
    </row>
    <row r="28" spans="1:18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52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32"/>
      <c r="O28" s="9">
        <f>July!O28+N28</f>
        <v>0</v>
      </c>
      <c r="P28" s="20"/>
      <c r="Q28" s="33"/>
      <c r="R28" s="9">
        <f>July!R28+Q28</f>
        <v>0</v>
      </c>
    </row>
    <row r="29" spans="1:18" ht="18" customHeight="1">
      <c r="A29" s="9" t="s">
        <v>33</v>
      </c>
      <c r="B29" s="14"/>
      <c r="C29" s="9">
        <f>July!C29+B29</f>
        <v>11</v>
      </c>
      <c r="D29" s="15">
        <f>2+3+1+2+2+1+6+2+2+2+1+6+3+4+1+4+1+5+3+1+2+2+1+1+4+1+3+4+6+3+1+6+2+2+2+2+1+1+1+46</f>
        <v>143</v>
      </c>
      <c r="E29" s="9">
        <f>July!E29+D29</f>
        <v>543</v>
      </c>
      <c r="F29" s="16">
        <f>6+1+1+1+7</f>
        <v>16</v>
      </c>
      <c r="G29" s="9">
        <f>July!G29+F29</f>
        <v>423</v>
      </c>
      <c r="H29" s="17"/>
      <c r="I29" s="9">
        <f>July!I29+H29</f>
        <v>0</v>
      </c>
      <c r="J29" s="18">
        <f>10+7</f>
        <v>17</v>
      </c>
      <c r="K29" s="9">
        <f>July!K29+J29</f>
        <v>59</v>
      </c>
      <c r="L29" s="19"/>
      <c r="M29" s="9">
        <f>July!M29+L29</f>
        <v>0</v>
      </c>
      <c r="N29" s="32">
        <f>8</f>
        <v>8</v>
      </c>
      <c r="O29" s="9">
        <f>July!O29+N29</f>
        <v>32</v>
      </c>
      <c r="P29" s="20"/>
      <c r="Q29" s="33"/>
      <c r="R29" s="9">
        <f>July!R29+Q29</f>
        <v>0</v>
      </c>
    </row>
    <row r="30" spans="1:18" ht="18" customHeight="1">
      <c r="A30" s="9" t="s">
        <v>34</v>
      </c>
      <c r="B30" s="14"/>
      <c r="C30" s="9">
        <f>July!C30+B30</f>
        <v>0</v>
      </c>
      <c r="D30" s="15">
        <f>9+2+3+1+1+2+15+1</f>
        <v>34</v>
      </c>
      <c r="E30" s="9">
        <f>July!E30+D30</f>
        <v>137</v>
      </c>
      <c r="F30" s="16">
        <f>130+320</f>
        <v>450</v>
      </c>
      <c r="G30" s="9">
        <f>July!G30+F30</f>
        <v>450</v>
      </c>
      <c r="H30" s="17"/>
      <c r="I30" s="9">
        <f>July!I30+H30</f>
        <v>197</v>
      </c>
      <c r="J30" s="18"/>
      <c r="K30" s="9">
        <f>July!K30+J30</f>
        <v>4</v>
      </c>
      <c r="L30" s="19"/>
      <c r="M30" s="9">
        <f>July!M30+L30</f>
        <v>3</v>
      </c>
      <c r="N30" s="32"/>
      <c r="O30" s="9">
        <f>July!O30+N30</f>
        <v>6</v>
      </c>
      <c r="P30" s="20"/>
      <c r="Q30" s="33"/>
      <c r="R30" s="9">
        <f>July!R30+Q30</f>
        <v>0</v>
      </c>
    </row>
    <row r="31" spans="1:18" ht="18" customHeight="1">
      <c r="A31" s="9" t="s">
        <v>35</v>
      </c>
      <c r="B31" s="14"/>
      <c r="C31" s="9">
        <f>July!C31+B31</f>
        <v>0</v>
      </c>
      <c r="D31" s="15">
        <f>2+1+1+2+2+3+4+1+3+1+2+1+2+2+5+1+58</f>
        <v>91</v>
      </c>
      <c r="E31" s="9">
        <f>July!E31+D31</f>
        <v>580</v>
      </c>
      <c r="F31" s="16">
        <f>22+93+10+6+19+7+2+4+9+4+4</f>
        <v>180</v>
      </c>
      <c r="G31" s="9">
        <f>July!G31+F31</f>
        <v>1698</v>
      </c>
      <c r="H31" s="17">
        <f>7+1</f>
        <v>8</v>
      </c>
      <c r="I31" s="9">
        <f>July!I31+H31</f>
        <v>593</v>
      </c>
      <c r="J31" s="18">
        <f>10+8+22+18+7+12</f>
        <v>77</v>
      </c>
      <c r="K31" s="9">
        <f>July!K31+J31</f>
        <v>521</v>
      </c>
      <c r="L31" s="19">
        <f>3+3</f>
        <v>6</v>
      </c>
      <c r="M31" s="9">
        <f>July!M31+L31</f>
        <v>201</v>
      </c>
      <c r="N31" s="32"/>
      <c r="O31" s="9">
        <f>July!O31+N31</f>
        <v>19</v>
      </c>
      <c r="P31" s="20"/>
      <c r="Q31" s="33"/>
      <c r="R31" s="9">
        <f>July!R31+Q31</f>
        <v>0</v>
      </c>
    </row>
    <row r="32" spans="1:18" ht="18" customHeight="1">
      <c r="A32" s="9" t="s">
        <v>36</v>
      </c>
      <c r="B32" s="14"/>
      <c r="C32" s="9">
        <f>July!C32+B32</f>
        <v>0</v>
      </c>
      <c r="D32" s="15">
        <f>1+1</f>
        <v>2</v>
      </c>
      <c r="E32" s="9">
        <f>July!E32+D32</f>
        <v>33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5</v>
      </c>
      <c r="L32" s="19"/>
      <c r="M32" s="9">
        <f>July!M32+L32</f>
        <v>0</v>
      </c>
      <c r="N32" s="32"/>
      <c r="O32" s="9">
        <f>July!O32+N32</f>
        <v>0</v>
      </c>
      <c r="P32" s="20"/>
      <c r="Q32" s="33"/>
      <c r="R32" s="9">
        <f>July!R32+Q32</f>
        <v>0</v>
      </c>
    </row>
    <row r="33" spans="1:18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32"/>
      <c r="O33" s="9">
        <f>July!O33+N33</f>
        <v>0</v>
      </c>
      <c r="P33" s="20"/>
      <c r="Q33" s="33"/>
      <c r="R33" s="9">
        <f>July!R33+Q33</f>
        <v>0</v>
      </c>
    </row>
    <row r="34" spans="1:18" ht="18" customHeight="1">
      <c r="A34" s="9" t="s">
        <v>38</v>
      </c>
      <c r="B34" s="14"/>
      <c r="C34" s="9">
        <f>July!C34+B34</f>
        <v>0</v>
      </c>
      <c r="D34" s="15">
        <v>1</v>
      </c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32"/>
      <c r="O34" s="9">
        <f>July!O34+N34</f>
        <v>0</v>
      </c>
      <c r="P34" s="20"/>
      <c r="Q34" s="33"/>
      <c r="R34" s="9">
        <f>July!R34+Q34</f>
        <v>0</v>
      </c>
    </row>
    <row r="35" spans="1:18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28</v>
      </c>
      <c r="F35" s="16"/>
      <c r="G35" s="9">
        <f>July!G35+F35</f>
        <v>8</v>
      </c>
      <c r="H35" s="17"/>
      <c r="I35" s="9">
        <f>July!I35+H35</f>
        <v>477</v>
      </c>
      <c r="J35" s="18"/>
      <c r="K35" s="9">
        <f>July!K35+J35</f>
        <v>0</v>
      </c>
      <c r="L35" s="19"/>
      <c r="M35" s="9">
        <f>July!M35+L35</f>
        <v>0</v>
      </c>
      <c r="N35" s="32"/>
      <c r="O35" s="9">
        <f>July!O35+N35</f>
        <v>3</v>
      </c>
      <c r="P35" s="20"/>
      <c r="Q35" s="33"/>
      <c r="R35" s="9">
        <f>July!R35+Q35</f>
        <v>0</v>
      </c>
    </row>
    <row r="36" spans="1:18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9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32"/>
      <c r="O36" s="9">
        <f>July!O36+N36</f>
        <v>1</v>
      </c>
      <c r="P36" s="20"/>
      <c r="Q36" s="33"/>
      <c r="R36" s="9">
        <f>July!R36+Q36</f>
        <v>129960</v>
      </c>
    </row>
    <row r="37" spans="1:19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7</v>
      </c>
      <c r="F37" s="16"/>
      <c r="G37" s="9">
        <f>July!G37+F37</f>
        <v>1</v>
      </c>
      <c r="H37" s="17"/>
      <c r="I37" s="9">
        <f>July!I37+H37</f>
        <v>0</v>
      </c>
      <c r="J37" s="18"/>
      <c r="K37" s="9">
        <f>July!K37+J37</f>
        <v>3</v>
      </c>
      <c r="L37" s="19"/>
      <c r="M37" s="9">
        <f>July!M37+L37</f>
        <v>0</v>
      </c>
      <c r="N37" s="32"/>
      <c r="O37" s="9">
        <f>July!O37+N37</f>
        <v>3</v>
      </c>
      <c r="P37" s="20"/>
      <c r="Q37" s="33">
        <f>5000+1050</f>
        <v>6050</v>
      </c>
      <c r="R37" s="9">
        <f>July!R37+Q37</f>
        <v>99290</v>
      </c>
      <c r="S37" s="2" t="s">
        <v>108</v>
      </c>
    </row>
    <row r="38" spans="1:18" ht="18" customHeight="1">
      <c r="A38" s="9" t="s">
        <v>42</v>
      </c>
      <c r="B38" s="14"/>
      <c r="C38" s="9">
        <f>July!C38+B38</f>
        <v>0</v>
      </c>
      <c r="D38" s="15">
        <f>1+1+1+1</f>
        <v>4</v>
      </c>
      <c r="E38" s="9">
        <f>July!E38+D38</f>
        <v>81</v>
      </c>
      <c r="F38" s="16"/>
      <c r="G38" s="9">
        <f>July!G38+F38</f>
        <v>29</v>
      </c>
      <c r="H38" s="17"/>
      <c r="I38" s="9">
        <f>July!I38+H38</f>
        <v>226</v>
      </c>
      <c r="J38" s="18"/>
      <c r="K38" s="9">
        <f>July!K38+J38</f>
        <v>12</v>
      </c>
      <c r="L38" s="19"/>
      <c r="M38" s="9">
        <f>July!M38+L38</f>
        <v>0</v>
      </c>
      <c r="N38" s="32"/>
      <c r="O38" s="9">
        <f>July!O38+N38</f>
        <v>0</v>
      </c>
      <c r="P38" s="20"/>
      <c r="Q38" s="33"/>
      <c r="R38" s="9">
        <f>July!R38+Q38</f>
        <v>0</v>
      </c>
    </row>
    <row r="39" spans="1:18" ht="18" customHeight="1">
      <c r="A39" s="9" t="s">
        <v>43</v>
      </c>
      <c r="B39" s="14"/>
      <c r="C39" s="9">
        <f>July!C39+B39</f>
        <v>10</v>
      </c>
      <c r="D39" s="15">
        <f>1+9+1+10+1+1+4+7+2</f>
        <v>36</v>
      </c>
      <c r="E39" s="9">
        <f>July!E39+D39</f>
        <v>77</v>
      </c>
      <c r="F39" s="16">
        <f>54+35</f>
        <v>89</v>
      </c>
      <c r="G39" s="9">
        <f>July!G39+F39</f>
        <v>162</v>
      </c>
      <c r="H39" s="17"/>
      <c r="I39" s="9">
        <f>July!I39+H39</f>
        <v>0</v>
      </c>
      <c r="J39" s="18"/>
      <c r="K39" s="9">
        <f>July!K39+J39</f>
        <v>1</v>
      </c>
      <c r="L39" s="19"/>
      <c r="M39" s="9">
        <f>July!M39+L39</f>
        <v>0</v>
      </c>
      <c r="N39" s="32"/>
      <c r="O39" s="9">
        <f>July!O39+N39</f>
        <v>10</v>
      </c>
      <c r="P39" s="20"/>
      <c r="Q39" s="33"/>
      <c r="R39" s="9">
        <f>July!R39+Q39</f>
        <v>0</v>
      </c>
    </row>
    <row r="40" spans="1:18" ht="18" customHeight="1">
      <c r="A40" s="9" t="s">
        <v>44</v>
      </c>
      <c r="B40" s="14"/>
      <c r="C40" s="9">
        <f>July!C40+B40</f>
        <v>0</v>
      </c>
      <c r="D40" s="15">
        <f>2+1+5+1+1+1+1+1+1+1+1+1+1+3+2+3+2+1+1+6+8+8+1+1+1+1+3+1+3+2+6+10+1+3+1+1+1+8+4+66+1</f>
        <v>167</v>
      </c>
      <c r="E40" s="9">
        <f>July!E40+D40</f>
        <v>396</v>
      </c>
      <c r="F40" s="16">
        <f>1+2+3+9</f>
        <v>15</v>
      </c>
      <c r="G40" s="9">
        <f>July!G40+F40</f>
        <v>82</v>
      </c>
      <c r="H40" s="17"/>
      <c r="I40" s="9">
        <f>July!I40+H40</f>
        <v>0</v>
      </c>
      <c r="J40" s="18">
        <f>5</f>
        <v>5</v>
      </c>
      <c r="K40" s="9">
        <f>July!K40+J40</f>
        <v>5</v>
      </c>
      <c r="L40" s="19"/>
      <c r="M40" s="9">
        <f>July!M40+L40</f>
        <v>0</v>
      </c>
      <c r="N40" s="32"/>
      <c r="O40" s="9">
        <f>July!O40+N40</f>
        <v>4</v>
      </c>
      <c r="P40" s="20"/>
      <c r="Q40" s="33"/>
      <c r="R40" s="9">
        <f>July!R40+Q40</f>
        <v>0</v>
      </c>
    </row>
    <row r="41" spans="1:19" ht="18" customHeight="1">
      <c r="A41" s="9" t="s">
        <v>45</v>
      </c>
      <c r="B41" s="14"/>
      <c r="C41" s="9">
        <f>July!C41+B41</f>
        <v>0</v>
      </c>
      <c r="D41" s="15"/>
      <c r="E41" s="9">
        <f>July!E41+D41</f>
        <v>33</v>
      </c>
      <c r="F41" s="16"/>
      <c r="G41" s="9">
        <f>July!G41+F41</f>
        <v>3</v>
      </c>
      <c r="H41" s="17"/>
      <c r="I41" s="9">
        <f>July!I41+H41</f>
        <v>0</v>
      </c>
      <c r="J41" s="18"/>
      <c r="K41" s="9">
        <f>July!K41+J41</f>
        <v>5</v>
      </c>
      <c r="L41" s="19"/>
      <c r="M41" s="9">
        <f>July!M41+L41</f>
        <v>0</v>
      </c>
      <c r="N41" s="32"/>
      <c r="O41" s="9">
        <f>July!O41+N41</f>
        <v>19</v>
      </c>
      <c r="P41" s="20"/>
      <c r="Q41" s="33">
        <f>7</f>
        <v>7</v>
      </c>
      <c r="R41" s="9">
        <f>July!R41+Q41</f>
        <v>57</v>
      </c>
      <c r="S41" s="2" t="s">
        <v>107</v>
      </c>
    </row>
    <row r="42" spans="1:18" ht="18" customHeight="1">
      <c r="A42" s="9" t="s">
        <v>46</v>
      </c>
      <c r="B42" s="14"/>
      <c r="C42" s="9">
        <f>July!C42+B42</f>
        <v>7</v>
      </c>
      <c r="D42" s="15">
        <f>1+1+20</f>
        <v>22</v>
      </c>
      <c r="E42" s="9">
        <f>July!E42+D42</f>
        <v>57</v>
      </c>
      <c r="F42" s="16"/>
      <c r="G42" s="9">
        <f>July!G42+F42</f>
        <v>14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32">
        <f>1</f>
        <v>1</v>
      </c>
      <c r="O42" s="9">
        <f>July!O42+N42</f>
        <v>1</v>
      </c>
      <c r="P42" s="20"/>
      <c r="Q42" s="33"/>
      <c r="R42" s="9">
        <f>July!R42+Q42</f>
        <v>0</v>
      </c>
    </row>
    <row r="43" spans="1:18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32"/>
      <c r="O43" s="9">
        <f>July!O43+N43</f>
        <v>0</v>
      </c>
      <c r="P43" s="20"/>
      <c r="Q43" s="33"/>
      <c r="R43" s="9">
        <f>July!R43+Q43</f>
        <v>0</v>
      </c>
    </row>
    <row r="44" spans="1:18" ht="18" customHeight="1">
      <c r="A44" s="9" t="s">
        <v>48</v>
      </c>
      <c r="B44" s="14"/>
      <c r="C44" s="9">
        <f>July!C44+B44</f>
        <v>0</v>
      </c>
      <c r="D44" s="15"/>
      <c r="E44" s="9">
        <f>July!E44+D44</f>
        <v>27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32"/>
      <c r="O44" s="9">
        <f>July!O44+N44</f>
        <v>0</v>
      </c>
      <c r="P44" s="20"/>
      <c r="Q44" s="33"/>
      <c r="R44" s="9">
        <f>July!R44+Q44</f>
        <v>0</v>
      </c>
    </row>
    <row r="45" spans="1:18" ht="18" customHeight="1">
      <c r="A45" s="9" t="s">
        <v>49</v>
      </c>
      <c r="B45" s="14"/>
      <c r="C45" s="9">
        <f>July!C45+B45</f>
        <v>0</v>
      </c>
      <c r="D45" s="15">
        <f>1+2+1+3+3+3+1+1+5+2+2+2+1+3+3+2+1+4+1+14+3+8+1+13+1+2+1+5+1+1</f>
        <v>91</v>
      </c>
      <c r="E45" s="9">
        <f>July!E45+D45</f>
        <v>508</v>
      </c>
      <c r="F45" s="16">
        <f>4+27+2+139+283+4+96+174+84+281+52+8+15+232+132+47+9+8+20+19+2+22+124+158+15+54+27+1+23+17+94+26+6</f>
        <v>2205</v>
      </c>
      <c r="G45" s="9">
        <f>July!G45+F45</f>
        <v>5039</v>
      </c>
      <c r="H45" s="17">
        <f>116+78+218+3+27+2+68+149</f>
        <v>661</v>
      </c>
      <c r="I45" s="9">
        <f>July!I45+H45</f>
        <v>11422</v>
      </c>
      <c r="J45" s="18">
        <f>36+9+16+10+3+20</f>
        <v>94</v>
      </c>
      <c r="K45" s="9">
        <f>July!K45+J45</f>
        <v>397</v>
      </c>
      <c r="L45" s="19">
        <f>35+78+7+68+24+9</f>
        <v>221</v>
      </c>
      <c r="M45" s="9">
        <f>July!M45+L45</f>
        <v>4108</v>
      </c>
      <c r="N45" s="32"/>
      <c r="O45" s="9">
        <f>July!O45+N45</f>
        <v>0</v>
      </c>
      <c r="P45" s="20"/>
      <c r="Q45" s="33"/>
      <c r="R45" s="9">
        <f>July!R45+Q45</f>
        <v>0</v>
      </c>
    </row>
    <row r="46" spans="1:18" ht="18" customHeight="1">
      <c r="A46" s="9" t="s">
        <v>50</v>
      </c>
      <c r="B46" s="14"/>
      <c r="C46" s="9">
        <f>July!C46+B46</f>
        <v>0</v>
      </c>
      <c r="D46" s="15">
        <v>4</v>
      </c>
      <c r="E46" s="9">
        <f>July!E46+D46</f>
        <v>58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32"/>
      <c r="O46" s="9">
        <f>July!O46+N46</f>
        <v>0</v>
      </c>
      <c r="P46" s="20"/>
      <c r="Q46" s="33"/>
      <c r="R46" s="9">
        <f>July!R46+Q46</f>
        <v>0</v>
      </c>
    </row>
    <row r="47" spans="1:18" ht="18" customHeight="1">
      <c r="A47" s="9" t="s">
        <v>51</v>
      </c>
      <c r="B47" s="14">
        <f>5</f>
        <v>5</v>
      </c>
      <c r="C47" s="9">
        <f>July!C47+B47</f>
        <v>5</v>
      </c>
      <c r="D47" s="15">
        <f>5+5+1+16+1+11+8+18+2+2+1</f>
        <v>70</v>
      </c>
      <c r="E47" s="9">
        <f>July!E47+D47</f>
        <v>250</v>
      </c>
      <c r="F47" s="16"/>
      <c r="G47" s="9">
        <f>July!G47+F47</f>
        <v>18</v>
      </c>
      <c r="H47" s="17"/>
      <c r="I47" s="9">
        <f>July!I47+H47</f>
        <v>1753</v>
      </c>
      <c r="J47" s="18"/>
      <c r="K47" s="9">
        <f>July!K47+J47</f>
        <v>195</v>
      </c>
      <c r="L47" s="19"/>
      <c r="M47" s="9">
        <f>July!M47+L47</f>
        <v>0</v>
      </c>
      <c r="N47" s="32">
        <f>9+9</f>
        <v>18</v>
      </c>
      <c r="O47" s="9">
        <f>July!O47+N47</f>
        <v>29</v>
      </c>
      <c r="P47" s="20"/>
      <c r="Q47" s="33"/>
      <c r="R47" s="9">
        <f>July!R47+Q47</f>
        <v>0</v>
      </c>
    </row>
    <row r="48" spans="1:18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32</v>
      </c>
      <c r="F48" s="16"/>
      <c r="G48" s="9">
        <f>July!G48+F48</f>
        <v>8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32"/>
      <c r="O48" s="9">
        <f>July!O48+N48</f>
        <v>0</v>
      </c>
      <c r="P48" s="20"/>
      <c r="Q48" s="33"/>
      <c r="R48" s="9">
        <f>July!R48+Q48</f>
        <v>0</v>
      </c>
    </row>
    <row r="49" spans="1:18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32"/>
      <c r="O49" s="9">
        <f>July!O49+N49</f>
        <v>0</v>
      </c>
      <c r="P49" s="20"/>
      <c r="Q49" s="33"/>
      <c r="R49" s="9">
        <f>July!R49+Q49</f>
        <v>0</v>
      </c>
    </row>
    <row r="50" spans="1:18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3</v>
      </c>
      <c r="F50" s="16"/>
      <c r="G50" s="9">
        <f>July!G50+F50</f>
        <v>5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32"/>
      <c r="O50" s="9">
        <f>July!O50+N50</f>
        <v>6</v>
      </c>
      <c r="P50" s="20"/>
      <c r="Q50" s="33"/>
      <c r="R50" s="9">
        <f>July!R50+Q50</f>
        <v>0</v>
      </c>
    </row>
    <row r="51" spans="1:18" ht="18" customHeight="1">
      <c r="A51" s="9" t="s">
        <v>55</v>
      </c>
      <c r="B51" s="14"/>
      <c r="C51" s="9">
        <f>July!C51+B51</f>
        <v>0</v>
      </c>
      <c r="D51" s="15"/>
      <c r="E51" s="9">
        <f>July!E51+D51</f>
        <v>37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32"/>
      <c r="O51" s="9">
        <f>July!O51+N51</f>
        <v>0</v>
      </c>
      <c r="P51" s="20"/>
      <c r="Q51" s="33"/>
      <c r="R51" s="9">
        <f>July!R51+Q51</f>
        <v>0</v>
      </c>
    </row>
    <row r="52" spans="1:18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3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32"/>
      <c r="O52" s="9">
        <f>July!O52+N52</f>
        <v>0</v>
      </c>
      <c r="P52" s="20"/>
      <c r="Q52" s="33"/>
      <c r="R52" s="9">
        <f>July!R52+Q52</f>
        <v>0</v>
      </c>
    </row>
    <row r="53" spans="1:18" ht="18" customHeight="1">
      <c r="A53" s="9" t="s">
        <v>57</v>
      </c>
      <c r="B53" s="14"/>
      <c r="C53" s="9">
        <f>July!C53+B53</f>
        <v>9</v>
      </c>
      <c r="D53" s="15">
        <f>1+2+1+2+10+1+3+3+5+4+1+4+4+1+3+9+1+8+1+1+1+10+2+6+1+1+4+10+4+5+9+2+8+69</f>
        <v>197</v>
      </c>
      <c r="E53" s="9">
        <f>July!E53+D53</f>
        <v>969</v>
      </c>
      <c r="F53" s="16">
        <f>14+22+1+1+1+5+1+1+1+1+1+20+1</f>
        <v>70</v>
      </c>
      <c r="G53" s="9">
        <f>July!G53+F53</f>
        <v>142</v>
      </c>
      <c r="H53" s="17"/>
      <c r="I53" s="9">
        <f>July!I53+H53</f>
        <v>0</v>
      </c>
      <c r="J53" s="18">
        <f>2+9+33+6</f>
        <v>50</v>
      </c>
      <c r="K53" s="9">
        <f>July!K53+J53</f>
        <v>69</v>
      </c>
      <c r="L53" s="19"/>
      <c r="M53" s="9">
        <f>July!M53+L53</f>
        <v>0</v>
      </c>
      <c r="N53" s="32">
        <f>6+6</f>
        <v>12</v>
      </c>
      <c r="O53" s="9">
        <f>July!O53+N53</f>
        <v>117</v>
      </c>
      <c r="P53" s="20"/>
      <c r="Q53" s="33"/>
      <c r="R53" s="9">
        <f>July!R53+Q53</f>
        <v>160</v>
      </c>
    </row>
    <row r="54" spans="1:18" ht="18" customHeight="1" thickBot="1">
      <c r="A54" s="10" t="s">
        <v>58</v>
      </c>
      <c r="B54" s="14"/>
      <c r="C54" s="9">
        <f>July!C54+B54</f>
        <v>0</v>
      </c>
      <c r="D54" s="15">
        <f>1+1+6+2+10</f>
        <v>20</v>
      </c>
      <c r="E54" s="9">
        <f>July!E54+D54</f>
        <v>117</v>
      </c>
      <c r="F54" s="16"/>
      <c r="G54" s="9">
        <f>July!G54+F54</f>
        <v>29</v>
      </c>
      <c r="H54" s="17"/>
      <c r="I54" s="9">
        <f>July!I54+H54</f>
        <v>0</v>
      </c>
      <c r="J54" s="18"/>
      <c r="K54" s="9">
        <f>July!K54+J54</f>
        <v>1</v>
      </c>
      <c r="L54" s="19"/>
      <c r="M54" s="9">
        <f>July!M54+L54</f>
        <v>0</v>
      </c>
      <c r="N54" s="32"/>
      <c r="O54" s="9">
        <f>July!O54+N54</f>
        <v>0</v>
      </c>
      <c r="P54" s="20"/>
      <c r="Q54" s="34"/>
      <c r="R54" s="9">
        <f>July!R54+Q54</f>
        <v>0</v>
      </c>
    </row>
    <row r="55" spans="1:18" ht="18" customHeight="1" thickBot="1" thickTop="1">
      <c r="A55" s="11" t="s">
        <v>59</v>
      </c>
      <c r="B55" s="11">
        <f>SUM(B5:B54)</f>
        <v>61</v>
      </c>
      <c r="C55" s="11"/>
      <c r="D55" s="11">
        <f>SUM(D5:D54)</f>
        <v>1479</v>
      </c>
      <c r="E55" s="11"/>
      <c r="F55" s="11">
        <f>SUM(F5:F54)</f>
        <v>3298</v>
      </c>
      <c r="G55" s="11"/>
      <c r="H55" s="11">
        <f>SUM(H5:H54)</f>
        <v>767</v>
      </c>
      <c r="I55" s="11"/>
      <c r="J55" s="11">
        <f>SUM(J5:J54)</f>
        <v>429</v>
      </c>
      <c r="K55" s="11"/>
      <c r="L55" s="11">
        <f>SUM(L5:L54)</f>
        <v>231</v>
      </c>
      <c r="M55" s="11"/>
      <c r="N55" s="11">
        <f>SUM(N5:N54)</f>
        <v>41</v>
      </c>
      <c r="O55" s="11"/>
      <c r="Q55" s="11">
        <f>SUM(Q5:Q54)</f>
        <v>230409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July!C57+B55</f>
        <v>111</v>
      </c>
      <c r="D57" s="11"/>
      <c r="E57" s="11">
        <f>July!E57+D55</f>
        <v>6500</v>
      </c>
      <c r="F57" s="11"/>
      <c r="G57" s="11">
        <f>July!G57+F55</f>
        <v>12350</v>
      </c>
      <c r="H57" s="11"/>
      <c r="I57" s="11">
        <f>July!I57+H55</f>
        <v>14840</v>
      </c>
      <c r="J57" s="11"/>
      <c r="K57" s="11">
        <f>July!K57+J55</f>
        <v>1859</v>
      </c>
      <c r="L57" s="11"/>
      <c r="M57" s="11">
        <f>July!M57+L55</f>
        <v>4347</v>
      </c>
      <c r="N57" s="11"/>
      <c r="O57" s="11">
        <f>July!O57+N55</f>
        <v>321</v>
      </c>
      <c r="Q57" s="23"/>
      <c r="R57" s="11">
        <f>July!R57+Q55</f>
        <v>2849995</v>
      </c>
    </row>
    <row r="58" spans="1:25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Y58" s="4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5" s="4" customFormat="1" ht="18" customHeight="1">
      <c r="A62" s="4" t="s">
        <v>62</v>
      </c>
      <c r="T62" s="2"/>
      <c r="U62" s="2"/>
      <c r="V62" s="2"/>
      <c r="W62" s="2"/>
      <c r="X62" s="2"/>
      <c r="Y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8" width="9.00390625" style="2" customWidth="1"/>
    <col min="19" max="26" width="9.125" style="2" customWidth="1"/>
    <col min="27" max="16384" width="9.00390625" style="2" customWidth="1"/>
  </cols>
  <sheetData>
    <row r="1" spans="1:10" ht="23.25">
      <c r="A1" s="1" t="s">
        <v>78</v>
      </c>
      <c r="H1" s="2" t="s">
        <v>72</v>
      </c>
      <c r="J1" s="2" t="s">
        <v>79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42.75" customHeight="1">
      <c r="A3" s="4"/>
      <c r="B3" s="50" t="s">
        <v>0</v>
      </c>
      <c r="C3" s="51"/>
      <c r="D3" s="50" t="s">
        <v>2</v>
      </c>
      <c r="E3" s="51"/>
      <c r="F3" s="50" t="s">
        <v>3</v>
      </c>
      <c r="G3" s="51"/>
      <c r="H3" s="46" t="s">
        <v>5</v>
      </c>
      <c r="I3" s="52"/>
      <c r="J3" s="50" t="s">
        <v>4</v>
      </c>
      <c r="K3" s="53"/>
      <c r="L3" s="46" t="s">
        <v>63</v>
      </c>
      <c r="M3" s="52"/>
      <c r="N3" s="54" t="s">
        <v>76</v>
      </c>
      <c r="O3" s="55"/>
      <c r="Q3" s="46" t="s">
        <v>80</v>
      </c>
      <c r="R3" s="47"/>
    </row>
    <row r="4" spans="1:19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  <c r="Q4" s="6" t="s">
        <v>7</v>
      </c>
      <c r="R4" s="6" t="s">
        <v>8</v>
      </c>
      <c r="S4" s="8" t="s">
        <v>81</v>
      </c>
    </row>
    <row r="5" spans="1:18" ht="18" customHeight="1">
      <c r="A5" s="9" t="s">
        <v>9</v>
      </c>
      <c r="B5" s="14"/>
      <c r="C5" s="9">
        <f>August!C5+B5</f>
        <v>0</v>
      </c>
      <c r="D5" s="15"/>
      <c r="E5" s="9">
        <f>August!E5+D5</f>
        <v>16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32"/>
      <c r="O5" s="9">
        <f>August!O5+N5</f>
        <v>0</v>
      </c>
      <c r="P5" s="20"/>
      <c r="Q5" s="33"/>
      <c r="R5" s="9">
        <f>August!R5+Q5</f>
        <v>0</v>
      </c>
    </row>
    <row r="6" spans="1:18" ht="18" customHeight="1">
      <c r="A6" s="9" t="s">
        <v>10</v>
      </c>
      <c r="B6" s="14"/>
      <c r="C6" s="9">
        <f>August!C6+B6</f>
        <v>0</v>
      </c>
      <c r="D6" s="15"/>
      <c r="E6" s="9">
        <f>August!E6+D6</f>
        <v>1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32"/>
      <c r="O6" s="9">
        <f>August!O6+N6</f>
        <v>0</v>
      </c>
      <c r="P6" s="20"/>
      <c r="Q6" s="33"/>
      <c r="R6" s="9">
        <f>August!R6+Q6</f>
        <v>0</v>
      </c>
    </row>
    <row r="7" spans="1:18" ht="18" customHeight="1">
      <c r="A7" s="9" t="s">
        <v>11</v>
      </c>
      <c r="B7" s="14"/>
      <c r="C7" s="9">
        <f>August!C7+B7</f>
        <v>0</v>
      </c>
      <c r="D7" s="15">
        <f>2+1</f>
        <v>3</v>
      </c>
      <c r="E7" s="9">
        <f>August!E7+D7</f>
        <v>143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2</v>
      </c>
      <c r="L7" s="19"/>
      <c r="M7" s="9">
        <f>August!M7+L7</f>
        <v>0</v>
      </c>
      <c r="N7" s="32"/>
      <c r="O7" s="9">
        <f>August!O7+N7</f>
        <v>0</v>
      </c>
      <c r="P7" s="20"/>
      <c r="Q7" s="33"/>
      <c r="R7" s="9">
        <f>August!R7+Q7</f>
        <v>0</v>
      </c>
    </row>
    <row r="8" spans="1:18" ht="18" customHeight="1">
      <c r="A8" s="9" t="s">
        <v>12</v>
      </c>
      <c r="B8" s="14"/>
      <c r="C8" s="9">
        <f>August!C8+B8</f>
        <v>0</v>
      </c>
      <c r="D8" s="15">
        <f>1+1+1+5+1+1+1</f>
        <v>11</v>
      </c>
      <c r="E8" s="9">
        <f>August!E8+D8</f>
        <v>73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19</v>
      </c>
      <c r="L8" s="19"/>
      <c r="M8" s="9">
        <f>August!M8+L8</f>
        <v>0</v>
      </c>
      <c r="N8" s="32"/>
      <c r="O8" s="9">
        <f>August!O8+N8</f>
        <v>0</v>
      </c>
      <c r="P8" s="20"/>
      <c r="Q8" s="33"/>
      <c r="R8" s="9">
        <f>August!R8+Q8</f>
        <v>0</v>
      </c>
    </row>
    <row r="9" spans="1:18" ht="18" customHeight="1">
      <c r="A9" s="9" t="s">
        <v>13</v>
      </c>
      <c r="B9" s="14"/>
      <c r="C9" s="9">
        <f>August!C9+B9</f>
        <v>0</v>
      </c>
      <c r="D9" s="15">
        <f>1+3+1+1+3</f>
        <v>9</v>
      </c>
      <c r="E9" s="9">
        <f>August!E9+D9</f>
        <v>63</v>
      </c>
      <c r="F9" s="16"/>
      <c r="G9" s="9">
        <f>August!G9+F9</f>
        <v>2</v>
      </c>
      <c r="H9" s="17"/>
      <c r="I9" s="9">
        <f>August!I9+H9</f>
        <v>0</v>
      </c>
      <c r="J9" s="18">
        <f>2</f>
        <v>2</v>
      </c>
      <c r="K9" s="9">
        <f>August!K9+J9</f>
        <v>33</v>
      </c>
      <c r="L9" s="19"/>
      <c r="M9" s="9">
        <f>August!M9+L9</f>
        <v>0</v>
      </c>
      <c r="N9" s="32"/>
      <c r="O9" s="9">
        <f>August!O9+N9</f>
        <v>0</v>
      </c>
      <c r="P9" s="20"/>
      <c r="Q9" s="33"/>
      <c r="R9" s="9">
        <f>August!R9+Q9</f>
        <v>0</v>
      </c>
    </row>
    <row r="10" spans="1:22" ht="18" customHeight="1">
      <c r="A10" s="9" t="s">
        <v>14</v>
      </c>
      <c r="B10" s="14"/>
      <c r="C10" s="9">
        <f>August!C10+B10</f>
        <v>0</v>
      </c>
      <c r="D10" s="15">
        <f>8</f>
        <v>8</v>
      </c>
      <c r="E10" s="9">
        <f>August!E10+D10</f>
        <v>41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32"/>
      <c r="O10" s="9">
        <f>August!O10+N10</f>
        <v>0</v>
      </c>
      <c r="P10" s="20"/>
      <c r="Q10" s="33">
        <f>20600+29000+18950+4050+30700+19040+1621+1621+15840+8000</f>
        <v>149422</v>
      </c>
      <c r="R10" s="9">
        <f>August!R10+Q10</f>
        <v>2438886</v>
      </c>
      <c r="S10" s="2" t="s">
        <v>99</v>
      </c>
      <c r="T10" s="2" t="s">
        <v>111</v>
      </c>
      <c r="U10" s="2" t="s">
        <v>92</v>
      </c>
      <c r="V10" s="2" t="s">
        <v>112</v>
      </c>
    </row>
    <row r="11" spans="1:18" ht="18" customHeight="1">
      <c r="A11" s="9" t="s">
        <v>15</v>
      </c>
      <c r="B11" s="14"/>
      <c r="C11" s="9">
        <f>August!C11+B11</f>
        <v>0</v>
      </c>
      <c r="D11" s="15">
        <f>6+4+13+6+2+6+2+1+2+1+3</f>
        <v>46</v>
      </c>
      <c r="E11" s="9">
        <f>August!E11+D11</f>
        <v>198</v>
      </c>
      <c r="F11" s="16"/>
      <c r="G11" s="9">
        <f>August!G11+F11</f>
        <v>8</v>
      </c>
      <c r="H11" s="17"/>
      <c r="I11" s="9">
        <f>August!I11+H11</f>
        <v>0</v>
      </c>
      <c r="J11" s="18"/>
      <c r="K11" s="9">
        <f>August!K11+J11</f>
        <v>8</v>
      </c>
      <c r="L11" s="19"/>
      <c r="M11" s="9">
        <f>August!M11+L11</f>
        <v>0</v>
      </c>
      <c r="N11" s="32"/>
      <c r="O11" s="9">
        <f>August!O11+N11</f>
        <v>2</v>
      </c>
      <c r="P11" s="20"/>
      <c r="Q11" s="33"/>
      <c r="R11" s="9">
        <f>August!R11+Q11</f>
        <v>0</v>
      </c>
    </row>
    <row r="12" spans="1:18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1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32"/>
      <c r="O12" s="9">
        <f>August!O12+N12</f>
        <v>2</v>
      </c>
      <c r="P12" s="20"/>
      <c r="Q12" s="33"/>
      <c r="R12" s="9">
        <f>August!R12+Q12</f>
        <v>331062</v>
      </c>
    </row>
    <row r="13" spans="1:18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5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32"/>
      <c r="O13" s="9">
        <f>August!O13+N13</f>
        <v>0</v>
      </c>
      <c r="P13" s="20"/>
      <c r="Q13" s="33"/>
      <c r="R13" s="9">
        <f>August!R13+Q13</f>
        <v>0</v>
      </c>
    </row>
    <row r="14" spans="1:18" ht="18" customHeight="1">
      <c r="A14" s="9" t="s">
        <v>18</v>
      </c>
      <c r="B14" s="14"/>
      <c r="C14" s="9">
        <f>August!C14+B14</f>
        <v>0</v>
      </c>
      <c r="D14" s="15">
        <f>1+1+1+1+2</f>
        <v>6</v>
      </c>
      <c r="E14" s="9">
        <f>August!E14+D14</f>
        <v>128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2</v>
      </c>
      <c r="L14" s="19"/>
      <c r="M14" s="9">
        <f>August!M14+L14</f>
        <v>0</v>
      </c>
      <c r="N14" s="32"/>
      <c r="O14" s="9">
        <f>August!O14+N14</f>
        <v>9</v>
      </c>
      <c r="P14" s="20"/>
      <c r="Q14" s="33"/>
      <c r="R14" s="9">
        <f>August!R14+Q14</f>
        <v>0</v>
      </c>
    </row>
    <row r="15" spans="1:18" ht="18" customHeight="1">
      <c r="A15" s="9" t="s">
        <v>19</v>
      </c>
      <c r="B15" s="14"/>
      <c r="C15" s="9">
        <f>August!C15+B15</f>
        <v>0</v>
      </c>
      <c r="D15" s="15">
        <f>1+1+1+1+1</f>
        <v>5</v>
      </c>
      <c r="E15" s="9">
        <f>August!E15+D15</f>
        <v>26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32"/>
      <c r="O15" s="9">
        <f>August!O15+N15</f>
        <v>9</v>
      </c>
      <c r="P15" s="20"/>
      <c r="Q15" s="33"/>
      <c r="R15" s="9">
        <f>August!R15+Q15</f>
        <v>0</v>
      </c>
    </row>
    <row r="16" spans="1:18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32"/>
      <c r="O16" s="9">
        <f>August!O16+N16</f>
        <v>0</v>
      </c>
      <c r="P16" s="20"/>
      <c r="Q16" s="33"/>
      <c r="R16" s="9">
        <f>August!R16+Q16</f>
        <v>0</v>
      </c>
    </row>
    <row r="17" spans="1:18" ht="18" customHeight="1">
      <c r="A17" s="9" t="s">
        <v>21</v>
      </c>
      <c r="B17" s="14"/>
      <c r="C17" s="9">
        <f>August!C17+B17</f>
        <v>0</v>
      </c>
      <c r="D17" s="15">
        <f>1+3+2</f>
        <v>6</v>
      </c>
      <c r="E17" s="9">
        <f>August!E17+D17</f>
        <v>70</v>
      </c>
      <c r="F17" s="16">
        <f>443+83</f>
        <v>526</v>
      </c>
      <c r="G17" s="9">
        <f>August!G17+F17</f>
        <v>1278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32"/>
      <c r="O17" s="9">
        <f>August!O17+N17</f>
        <v>1</v>
      </c>
      <c r="P17" s="20"/>
      <c r="Q17" s="33"/>
      <c r="R17" s="9">
        <f>August!R17+Q17</f>
        <v>0</v>
      </c>
    </row>
    <row r="18" spans="1:18" ht="18" customHeight="1">
      <c r="A18" s="9" t="s">
        <v>22</v>
      </c>
      <c r="B18" s="14">
        <f>3+4+2+23</f>
        <v>32</v>
      </c>
      <c r="C18" s="9">
        <f>August!C18+B18</f>
        <v>33</v>
      </c>
      <c r="D18" s="15">
        <f>2+1+2+1+1+2+1+3+2+6+1+1+2+1+2+3+3+3+1+1+4+2+4+3+3+1+1+2+1+1+1+1+1+1+1+10+2+10</f>
        <v>88</v>
      </c>
      <c r="E18" s="9">
        <f>August!E18+D18</f>
        <v>381</v>
      </c>
      <c r="F18" s="16">
        <f>73+8+333</f>
        <v>414</v>
      </c>
      <c r="G18" s="9">
        <f>August!G18+F18</f>
        <v>650</v>
      </c>
      <c r="H18" s="17"/>
      <c r="I18" s="9">
        <f>August!I18+H18</f>
        <v>0</v>
      </c>
      <c r="J18" s="18">
        <f>1+10+4</f>
        <v>15</v>
      </c>
      <c r="K18" s="9">
        <f>August!K18+J18</f>
        <v>117</v>
      </c>
      <c r="L18" s="19"/>
      <c r="M18" s="9">
        <f>August!M18+L18</f>
        <v>0</v>
      </c>
      <c r="N18" s="32"/>
      <c r="O18" s="9">
        <f>August!O18+N18</f>
        <v>5</v>
      </c>
      <c r="P18" s="20"/>
      <c r="Q18" s="33"/>
      <c r="R18" s="9">
        <f>August!R18+Q18</f>
        <v>2</v>
      </c>
    </row>
    <row r="19" spans="1:18" ht="18" customHeight="1">
      <c r="A19" s="9" t="s">
        <v>23</v>
      </c>
      <c r="B19" s="14"/>
      <c r="C19" s="9">
        <f>August!C19+B19</f>
        <v>4</v>
      </c>
      <c r="D19" s="15">
        <f>1+1+3+2+1+1+1+1+1+1</f>
        <v>13</v>
      </c>
      <c r="E19" s="9">
        <f>August!E19+D19</f>
        <v>92</v>
      </c>
      <c r="F19" s="16"/>
      <c r="G19" s="9">
        <f>August!G19+F19</f>
        <v>21</v>
      </c>
      <c r="H19" s="17"/>
      <c r="I19" s="9">
        <f>August!I19+H19</f>
        <v>0</v>
      </c>
      <c r="J19" s="18">
        <f>1</f>
        <v>1</v>
      </c>
      <c r="K19" s="9">
        <f>August!K19+J19</f>
        <v>78</v>
      </c>
      <c r="L19" s="19"/>
      <c r="M19" s="9">
        <f>August!M19+L19</f>
        <v>0</v>
      </c>
      <c r="N19" s="32"/>
      <c r="O19" s="9">
        <f>August!O19+N19</f>
        <v>7</v>
      </c>
      <c r="P19" s="20"/>
      <c r="Q19" s="33"/>
      <c r="R19" s="9">
        <f>August!R19+Q19</f>
        <v>0</v>
      </c>
    </row>
    <row r="20" spans="1:18" ht="18" customHeight="1">
      <c r="A20" s="9" t="s">
        <v>24</v>
      </c>
      <c r="B20" s="14"/>
      <c r="C20" s="9">
        <f>August!C20+B20</f>
        <v>0</v>
      </c>
      <c r="D20" s="15">
        <f>1+4+1+1+1+2+3+3+4+7+1+1+1+1+2+5+16+5+4+2+2+1+10</f>
        <v>78</v>
      </c>
      <c r="E20" s="9">
        <f>August!E20+D20</f>
        <v>291</v>
      </c>
      <c r="F20" s="16">
        <f>14</f>
        <v>14</v>
      </c>
      <c r="G20" s="9">
        <f>August!G20+F20</f>
        <v>15</v>
      </c>
      <c r="H20" s="17"/>
      <c r="I20" s="9">
        <f>August!I20+H20</f>
        <v>0</v>
      </c>
      <c r="J20" s="18"/>
      <c r="K20" s="9">
        <f>August!K20+J20</f>
        <v>4</v>
      </c>
      <c r="L20" s="19"/>
      <c r="M20" s="9">
        <f>August!M20+L20</f>
        <v>0</v>
      </c>
      <c r="N20" s="32"/>
      <c r="O20" s="9">
        <f>August!O20+N20</f>
        <v>2</v>
      </c>
      <c r="P20" s="20"/>
      <c r="Q20" s="33"/>
      <c r="R20" s="9">
        <f>August!R20+Q20</f>
        <v>0</v>
      </c>
    </row>
    <row r="21" spans="1:18" ht="18" customHeight="1">
      <c r="A21" s="9" t="s">
        <v>25</v>
      </c>
      <c r="B21" s="14"/>
      <c r="C21" s="9">
        <f>August!C21+B21</f>
        <v>0</v>
      </c>
      <c r="D21" s="15">
        <f>1+11+1+4+4+1</f>
        <v>22</v>
      </c>
      <c r="E21" s="9">
        <f>August!E21+D21</f>
        <v>139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32"/>
      <c r="O21" s="9">
        <f>August!O21+N21</f>
        <v>4</v>
      </c>
      <c r="P21" s="20"/>
      <c r="Q21" s="33"/>
      <c r="R21" s="9">
        <f>August!R21+Q21</f>
        <v>0</v>
      </c>
    </row>
    <row r="22" spans="1:18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31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32"/>
      <c r="O22" s="9">
        <f>August!O22+N22</f>
        <v>0</v>
      </c>
      <c r="P22" s="20"/>
      <c r="Q22" s="33"/>
      <c r="R22" s="9">
        <f>August!R22+Q22</f>
        <v>0</v>
      </c>
    </row>
    <row r="23" spans="1:18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0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32"/>
      <c r="O23" s="9">
        <f>August!O23+N23</f>
        <v>0</v>
      </c>
      <c r="P23" s="20"/>
      <c r="Q23" s="33"/>
      <c r="R23" s="9">
        <f>August!R23+Q23</f>
        <v>0</v>
      </c>
    </row>
    <row r="24" spans="1:18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2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32"/>
      <c r="O24" s="9">
        <f>August!O24+N24</f>
        <v>0</v>
      </c>
      <c r="P24" s="20"/>
      <c r="Q24" s="33"/>
      <c r="R24" s="9">
        <f>August!R24+Q24</f>
        <v>0</v>
      </c>
    </row>
    <row r="25" spans="1:18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0</v>
      </c>
      <c r="F25" s="16"/>
      <c r="G25" s="9">
        <f>August!G25+F25</f>
        <v>12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32"/>
      <c r="O25" s="9">
        <f>August!O25+N25</f>
        <v>1</v>
      </c>
      <c r="P25" s="20"/>
      <c r="Q25" s="33"/>
      <c r="R25" s="9">
        <f>August!R25+Q25</f>
        <v>0</v>
      </c>
    </row>
    <row r="26" spans="1:18" ht="18" customHeight="1">
      <c r="A26" s="9" t="s">
        <v>30</v>
      </c>
      <c r="B26" s="14"/>
      <c r="C26" s="9">
        <f>August!C26+B26</f>
        <v>3</v>
      </c>
      <c r="D26" s="15">
        <f>1+1+4+1+3</f>
        <v>10</v>
      </c>
      <c r="E26" s="9">
        <f>August!E26+D26</f>
        <v>70</v>
      </c>
      <c r="F26" s="16"/>
      <c r="G26" s="9">
        <f>August!G26+F26</f>
        <v>65</v>
      </c>
      <c r="H26" s="17"/>
      <c r="I26" s="9">
        <f>August!I26+H26</f>
        <v>0</v>
      </c>
      <c r="J26" s="18"/>
      <c r="K26" s="9">
        <f>August!K26+J26</f>
        <v>2</v>
      </c>
      <c r="L26" s="19"/>
      <c r="M26" s="9">
        <f>August!M26+L26</f>
        <v>0</v>
      </c>
      <c r="N26" s="32"/>
      <c r="O26" s="9">
        <f>August!O26+N26</f>
        <v>6</v>
      </c>
      <c r="P26" s="20"/>
      <c r="Q26" s="33"/>
      <c r="R26" s="9">
        <f>August!R26+Q26</f>
        <v>0</v>
      </c>
    </row>
    <row r="27" spans="1:18" ht="18" customHeight="1">
      <c r="A27" s="9" t="s">
        <v>31</v>
      </c>
      <c r="B27" s="14">
        <f>33+3+20+17+1</f>
        <v>74</v>
      </c>
      <c r="C27" s="9">
        <f>August!C27+B27</f>
        <v>135</v>
      </c>
      <c r="D27" s="15">
        <f>1+1+1+3+1+3+3+2+2+1+2+1+2+2+1+1+2+3+3+4+7+4+8+4+3+1+2+7+7+5+2+9+15+2+2+4+1+9+2+2+1+3+11+3+1+4+1+1+1+3+1+1+6+10+1+1+1+4+4+1+1+6+8+2+1+6+2+6+2+2+1+3+1+3+1+1+1+1+2+6+1+4+1+3+1+1+4+1+2+1+2+2+3+1+1+2+1+3+2+1+4+1+3+2+1+2+2+1+2+9+8+1+6+8+1+3+1+1+20</f>
        <v>363</v>
      </c>
      <c r="E27" s="9">
        <f>August!E27+D27</f>
        <v>1358</v>
      </c>
      <c r="F27" s="16">
        <f>6+9+11+15+24+1+6+11+10+61+2+76</f>
        <v>232</v>
      </c>
      <c r="G27" s="9">
        <f>August!G27+F27</f>
        <v>1004</v>
      </c>
      <c r="H27" s="17"/>
      <c r="I27" s="9">
        <f>August!I27+H27</f>
        <v>172</v>
      </c>
      <c r="J27" s="18">
        <f>1+9+6+21+10+11+1+3+21+3+4+4+1+2+35+6</f>
        <v>138</v>
      </c>
      <c r="K27" s="9">
        <f>August!K27+J27</f>
        <v>473</v>
      </c>
      <c r="L27" s="19"/>
      <c r="M27" s="9">
        <f>August!M27+L27</f>
        <v>0</v>
      </c>
      <c r="N27" s="32">
        <f>2+1+1+5</f>
        <v>9</v>
      </c>
      <c r="O27" s="9">
        <f>August!O27+N27</f>
        <v>32</v>
      </c>
      <c r="P27" s="20"/>
      <c r="Q27" s="33"/>
      <c r="R27" s="9">
        <f>August!R27+Q27</f>
        <v>0</v>
      </c>
    </row>
    <row r="28" spans="1:18" ht="18" customHeight="1">
      <c r="A28" s="9" t="s">
        <v>32</v>
      </c>
      <c r="B28" s="14"/>
      <c r="C28" s="9">
        <f>August!C28+B28</f>
        <v>0</v>
      </c>
      <c r="D28" s="15">
        <f>3</f>
        <v>3</v>
      </c>
      <c r="E28" s="9">
        <f>August!E28+D28</f>
        <v>55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32"/>
      <c r="O28" s="9">
        <f>August!O28+N28</f>
        <v>0</v>
      </c>
      <c r="P28" s="20"/>
      <c r="Q28" s="33"/>
      <c r="R28" s="9">
        <f>August!R28+Q28</f>
        <v>0</v>
      </c>
    </row>
    <row r="29" spans="1:18" ht="18" customHeight="1">
      <c r="A29" s="9" t="s">
        <v>33</v>
      </c>
      <c r="B29" s="14"/>
      <c r="C29" s="9">
        <f>August!C29+B29</f>
        <v>11</v>
      </c>
      <c r="D29" s="15">
        <f>1+6+1+4+1+2+1+1+1+1+1+1+1+1+1+1+2+1+2+4+1+1+1+1+1+2+4+22+1+1+3+2+1+1+2+2+10</f>
        <v>90</v>
      </c>
      <c r="E29" s="9">
        <f>August!E29+D29</f>
        <v>633</v>
      </c>
      <c r="F29" s="16">
        <f>166+177</f>
        <v>343</v>
      </c>
      <c r="G29" s="9">
        <f>August!G29+F29</f>
        <v>766</v>
      </c>
      <c r="H29" s="17"/>
      <c r="I29" s="9">
        <f>August!I29+H29</f>
        <v>0</v>
      </c>
      <c r="J29" s="18"/>
      <c r="K29" s="9">
        <f>August!K29+J29</f>
        <v>59</v>
      </c>
      <c r="L29" s="19"/>
      <c r="M29" s="9">
        <f>August!M29+L29</f>
        <v>0</v>
      </c>
      <c r="N29" s="32">
        <f>6+2</f>
        <v>8</v>
      </c>
      <c r="O29" s="9">
        <f>August!O29+N29</f>
        <v>40</v>
      </c>
      <c r="P29" s="20"/>
      <c r="Q29" s="33"/>
      <c r="R29" s="9">
        <f>August!R29+Q29</f>
        <v>0</v>
      </c>
    </row>
    <row r="30" spans="1:18" ht="18" customHeight="1">
      <c r="A30" s="9" t="s">
        <v>34</v>
      </c>
      <c r="B30" s="14"/>
      <c r="C30" s="9">
        <f>August!C30+B30</f>
        <v>0</v>
      </c>
      <c r="D30" s="15">
        <f>1+2+47+1+2</f>
        <v>53</v>
      </c>
      <c r="E30" s="9">
        <f>August!E30+D30</f>
        <v>190</v>
      </c>
      <c r="F30" s="16">
        <f>513+223+551+9+13</f>
        <v>1309</v>
      </c>
      <c r="G30" s="9">
        <f>August!G30+F30</f>
        <v>1759</v>
      </c>
      <c r="H30" s="17"/>
      <c r="I30" s="9">
        <f>August!I30+H30</f>
        <v>197</v>
      </c>
      <c r="J30" s="18"/>
      <c r="K30" s="9">
        <f>August!K30+J30</f>
        <v>4</v>
      </c>
      <c r="L30" s="19"/>
      <c r="M30" s="9">
        <f>August!M30+L30</f>
        <v>3</v>
      </c>
      <c r="N30" s="32"/>
      <c r="O30" s="9">
        <f>August!O30+N30</f>
        <v>6</v>
      </c>
      <c r="P30" s="20"/>
      <c r="Q30" s="33"/>
      <c r="R30" s="9">
        <f>August!R30+Q30</f>
        <v>0</v>
      </c>
    </row>
    <row r="31" spans="1:18" ht="18" customHeight="1">
      <c r="A31" s="9" t="s">
        <v>35</v>
      </c>
      <c r="B31" s="14">
        <f>1+1</f>
        <v>2</v>
      </c>
      <c r="C31" s="9">
        <f>August!C31+B31</f>
        <v>2</v>
      </c>
      <c r="D31" s="15">
        <f>2+1+4+1+2+1+1+1+15+12+3+1+1+1+1+1+1+1+1+1+1+1+1+1+1+1+1+1+1+1+1+1+1+1+1+1+1+1+14+1+1+1+1+1+1+2+1+1+21+1</f>
        <v>116</v>
      </c>
      <c r="E31" s="9">
        <f>August!E31+D31</f>
        <v>696</v>
      </c>
      <c r="F31" s="16">
        <f>14+201</f>
        <v>215</v>
      </c>
      <c r="G31" s="9">
        <f>August!G31+F31</f>
        <v>1913</v>
      </c>
      <c r="H31" s="17">
        <f>435</f>
        <v>435</v>
      </c>
      <c r="I31" s="9">
        <f>August!I31+H31</f>
        <v>1028</v>
      </c>
      <c r="J31" s="18">
        <f>14+10+6</f>
        <v>30</v>
      </c>
      <c r="K31" s="9">
        <f>August!K31+J31</f>
        <v>551</v>
      </c>
      <c r="L31" s="19"/>
      <c r="M31" s="9">
        <f>August!M31+L31</f>
        <v>201</v>
      </c>
      <c r="N31" s="32"/>
      <c r="O31" s="9">
        <f>August!O31+N31</f>
        <v>19</v>
      </c>
      <c r="P31" s="20"/>
      <c r="Q31" s="33"/>
      <c r="R31" s="9">
        <f>August!R31+Q31</f>
        <v>0</v>
      </c>
    </row>
    <row r="32" spans="1:18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33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5</v>
      </c>
      <c r="L32" s="19"/>
      <c r="M32" s="9">
        <f>August!M32+L32</f>
        <v>0</v>
      </c>
      <c r="N32" s="32"/>
      <c r="O32" s="9">
        <f>August!O32+N32</f>
        <v>0</v>
      </c>
      <c r="P32" s="20"/>
      <c r="Q32" s="33"/>
      <c r="R32" s="9">
        <f>August!R32+Q32</f>
        <v>0</v>
      </c>
    </row>
    <row r="33" spans="1:18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32"/>
      <c r="O33" s="9">
        <f>August!O33+N33</f>
        <v>0</v>
      </c>
      <c r="P33" s="20"/>
      <c r="Q33" s="33"/>
      <c r="R33" s="9">
        <f>August!R33+Q33</f>
        <v>0</v>
      </c>
    </row>
    <row r="34" spans="1:18" ht="18" customHeight="1">
      <c r="A34" s="9" t="s">
        <v>38</v>
      </c>
      <c r="B34" s="14"/>
      <c r="C34" s="9">
        <f>August!C34+B34</f>
        <v>0</v>
      </c>
      <c r="D34" s="15">
        <f>2</f>
        <v>2</v>
      </c>
      <c r="E34" s="9">
        <f>August!E34+D34</f>
        <v>4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32"/>
      <c r="O34" s="9">
        <f>August!O34+N34</f>
        <v>0</v>
      </c>
      <c r="P34" s="20"/>
      <c r="Q34" s="33"/>
      <c r="R34" s="9">
        <f>August!R34+Q34</f>
        <v>0</v>
      </c>
    </row>
    <row r="35" spans="1:18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28</v>
      </c>
      <c r="F35" s="16"/>
      <c r="G35" s="9">
        <f>August!G35+F35</f>
        <v>8</v>
      </c>
      <c r="H35" s="17"/>
      <c r="I35" s="9">
        <f>August!I35+H35</f>
        <v>477</v>
      </c>
      <c r="J35" s="18"/>
      <c r="K35" s="9">
        <f>August!K35+J35</f>
        <v>0</v>
      </c>
      <c r="L35" s="19"/>
      <c r="M35" s="9">
        <f>August!M35+L35</f>
        <v>0</v>
      </c>
      <c r="N35" s="32"/>
      <c r="O35" s="9">
        <f>August!O35+N35</f>
        <v>3</v>
      </c>
      <c r="P35" s="20"/>
      <c r="Q35" s="33"/>
      <c r="R35" s="9">
        <f>August!R35+Q35</f>
        <v>0</v>
      </c>
    </row>
    <row r="36" spans="1:18" ht="18" customHeight="1">
      <c r="A36" s="9" t="s">
        <v>40</v>
      </c>
      <c r="B36" s="14"/>
      <c r="C36" s="9">
        <f>August!C36+B36</f>
        <v>0</v>
      </c>
      <c r="D36" s="15">
        <f>1+2</f>
        <v>3</v>
      </c>
      <c r="E36" s="9">
        <f>August!E36+D36</f>
        <v>12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32"/>
      <c r="O36" s="9">
        <f>August!O36+N36</f>
        <v>1</v>
      </c>
      <c r="P36" s="20"/>
      <c r="Q36" s="33"/>
      <c r="R36" s="9">
        <f>August!R36+Q36</f>
        <v>129960</v>
      </c>
    </row>
    <row r="37" spans="1:18" ht="18" customHeight="1">
      <c r="A37" s="9" t="s">
        <v>41</v>
      </c>
      <c r="B37" s="14"/>
      <c r="C37" s="9">
        <f>August!C37+B37</f>
        <v>0</v>
      </c>
      <c r="D37" s="15">
        <f>2+2+1</f>
        <v>5</v>
      </c>
      <c r="E37" s="9">
        <f>August!E37+D37</f>
        <v>12</v>
      </c>
      <c r="F37" s="16"/>
      <c r="G37" s="9">
        <f>August!G37+F37</f>
        <v>1</v>
      </c>
      <c r="H37" s="17"/>
      <c r="I37" s="9">
        <f>August!I37+H37</f>
        <v>0</v>
      </c>
      <c r="J37" s="18"/>
      <c r="K37" s="9">
        <f>August!K37+J37</f>
        <v>3</v>
      </c>
      <c r="L37" s="19"/>
      <c r="M37" s="9">
        <f>August!M37+L37</f>
        <v>0</v>
      </c>
      <c r="N37" s="32"/>
      <c r="O37" s="9">
        <f>August!O37+N37</f>
        <v>3</v>
      </c>
      <c r="P37" s="20"/>
      <c r="Q37" s="33"/>
      <c r="R37" s="9">
        <f>August!R37+Q37</f>
        <v>99290</v>
      </c>
    </row>
    <row r="38" spans="1:18" ht="18" customHeight="1">
      <c r="A38" s="9" t="s">
        <v>42</v>
      </c>
      <c r="B38" s="14"/>
      <c r="C38" s="9">
        <f>August!C38+B38</f>
        <v>0</v>
      </c>
      <c r="D38" s="15">
        <f>2+1+2+1+1+2+1+2+2+1</f>
        <v>15</v>
      </c>
      <c r="E38" s="9">
        <f>August!E38+D38</f>
        <v>96</v>
      </c>
      <c r="F38" s="16"/>
      <c r="G38" s="9">
        <f>August!G38+F38</f>
        <v>29</v>
      </c>
      <c r="H38" s="17"/>
      <c r="I38" s="9">
        <f>August!I38+H38</f>
        <v>226</v>
      </c>
      <c r="J38" s="18"/>
      <c r="K38" s="9">
        <f>August!K38+J38</f>
        <v>12</v>
      </c>
      <c r="L38" s="19"/>
      <c r="M38" s="9">
        <f>August!M38+L38</f>
        <v>0</v>
      </c>
      <c r="N38" s="32"/>
      <c r="O38" s="9">
        <f>August!O38+N38</f>
        <v>0</v>
      </c>
      <c r="P38" s="20"/>
      <c r="Q38" s="33"/>
      <c r="R38" s="9">
        <f>August!R38+Q38</f>
        <v>0</v>
      </c>
    </row>
    <row r="39" spans="1:18" ht="18" customHeight="1">
      <c r="A39" s="9" t="s">
        <v>43</v>
      </c>
      <c r="B39" s="14">
        <f>1+7+1</f>
        <v>9</v>
      </c>
      <c r="C39" s="9">
        <f>August!C39+B39</f>
        <v>19</v>
      </c>
      <c r="D39" s="15">
        <f>1+2+1+1</f>
        <v>5</v>
      </c>
      <c r="E39" s="9">
        <f>August!E39+D39</f>
        <v>82</v>
      </c>
      <c r="F39" s="16"/>
      <c r="G39" s="9">
        <f>August!G39+F39</f>
        <v>162</v>
      </c>
      <c r="H39" s="17"/>
      <c r="I39" s="9">
        <f>August!I39+H39</f>
        <v>0</v>
      </c>
      <c r="J39" s="18"/>
      <c r="K39" s="9">
        <f>August!K39+J39</f>
        <v>1</v>
      </c>
      <c r="L39" s="19"/>
      <c r="M39" s="9">
        <f>August!M39+L39</f>
        <v>0</v>
      </c>
      <c r="N39" s="32">
        <f>2</f>
        <v>2</v>
      </c>
      <c r="O39" s="9">
        <f>August!O39+N39</f>
        <v>12</v>
      </c>
      <c r="P39" s="20"/>
      <c r="Q39" s="33"/>
      <c r="R39" s="9">
        <f>August!R39+Q39</f>
        <v>0</v>
      </c>
    </row>
    <row r="40" spans="1:18" ht="18" customHeight="1">
      <c r="A40" s="9" t="s">
        <v>44</v>
      </c>
      <c r="B40" s="14"/>
      <c r="C40" s="9">
        <f>August!C40+B40</f>
        <v>0</v>
      </c>
      <c r="D40" s="15">
        <f>4+1+5+2+1+2+3+9+10+1+1+1+1+1+2+1+1+3+4</f>
        <v>53</v>
      </c>
      <c r="E40" s="9">
        <f>August!E40+D40</f>
        <v>449</v>
      </c>
      <c r="F40" s="16">
        <f>2</f>
        <v>2</v>
      </c>
      <c r="G40" s="9">
        <f>August!G40+F40</f>
        <v>84</v>
      </c>
      <c r="H40" s="17"/>
      <c r="I40" s="9">
        <f>August!I40+H40</f>
        <v>0</v>
      </c>
      <c r="J40" s="18"/>
      <c r="K40" s="9">
        <f>August!K40+J40</f>
        <v>5</v>
      </c>
      <c r="L40" s="19"/>
      <c r="M40" s="9">
        <f>August!M40+L40</f>
        <v>0</v>
      </c>
      <c r="N40" s="32"/>
      <c r="O40" s="9">
        <f>August!O40+N40</f>
        <v>4</v>
      </c>
      <c r="P40" s="20"/>
      <c r="Q40" s="33"/>
      <c r="R40" s="9">
        <f>August!R40+Q40</f>
        <v>0</v>
      </c>
    </row>
    <row r="41" spans="1:18" ht="18" customHeight="1">
      <c r="A41" s="9" t="s">
        <v>45</v>
      </c>
      <c r="B41" s="14"/>
      <c r="C41" s="9">
        <f>August!C41+B41</f>
        <v>0</v>
      </c>
      <c r="D41" s="15">
        <f>1+2</f>
        <v>3</v>
      </c>
      <c r="E41" s="9">
        <f>August!E41+D41</f>
        <v>36</v>
      </c>
      <c r="F41" s="16"/>
      <c r="G41" s="9">
        <f>August!G41+F41</f>
        <v>3</v>
      </c>
      <c r="H41" s="17"/>
      <c r="I41" s="9">
        <f>August!I41+H41</f>
        <v>0</v>
      </c>
      <c r="J41" s="18"/>
      <c r="K41" s="9">
        <f>August!K41+J41</f>
        <v>5</v>
      </c>
      <c r="L41" s="19"/>
      <c r="M41" s="9">
        <f>August!M41+L41</f>
        <v>0</v>
      </c>
      <c r="N41" s="32"/>
      <c r="O41" s="9">
        <f>August!O41+N41</f>
        <v>19</v>
      </c>
      <c r="P41" s="20"/>
      <c r="Q41" s="33"/>
      <c r="R41" s="9">
        <f>August!R41+Q41</f>
        <v>57</v>
      </c>
    </row>
    <row r="42" spans="1:18" ht="18" customHeight="1">
      <c r="A42" s="9" t="s">
        <v>46</v>
      </c>
      <c r="B42" s="14"/>
      <c r="C42" s="9">
        <f>August!C42+B42</f>
        <v>7</v>
      </c>
      <c r="D42" s="15">
        <f>1+2</f>
        <v>3</v>
      </c>
      <c r="E42" s="9">
        <f>August!E42+D42</f>
        <v>60</v>
      </c>
      <c r="F42" s="16">
        <f>1</f>
        <v>1</v>
      </c>
      <c r="G42" s="9">
        <f>August!G42+F42</f>
        <v>15</v>
      </c>
      <c r="H42" s="17"/>
      <c r="I42" s="9">
        <f>August!I42+H42</f>
        <v>0</v>
      </c>
      <c r="J42" s="18">
        <f>9</f>
        <v>9</v>
      </c>
      <c r="K42" s="9">
        <f>August!K42+J42</f>
        <v>9</v>
      </c>
      <c r="L42" s="19"/>
      <c r="M42" s="9">
        <f>August!M42+L42</f>
        <v>0</v>
      </c>
      <c r="N42" s="32"/>
      <c r="O42" s="9">
        <f>August!O42+N42</f>
        <v>1</v>
      </c>
      <c r="P42" s="20"/>
      <c r="Q42" s="33"/>
      <c r="R42" s="9">
        <f>August!R42+Q42</f>
        <v>0</v>
      </c>
    </row>
    <row r="43" spans="1:18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32"/>
      <c r="O43" s="9">
        <f>August!O43+N43</f>
        <v>0</v>
      </c>
      <c r="P43" s="20"/>
      <c r="Q43" s="33"/>
      <c r="R43" s="9">
        <f>August!R43+Q43</f>
        <v>0</v>
      </c>
    </row>
    <row r="44" spans="1:18" ht="18" customHeight="1">
      <c r="A44" s="9" t="s">
        <v>48</v>
      </c>
      <c r="B44" s="14"/>
      <c r="C44" s="9">
        <f>August!C44+B44</f>
        <v>0</v>
      </c>
      <c r="D44" s="15">
        <f>5</f>
        <v>5</v>
      </c>
      <c r="E44" s="9">
        <f>August!E44+D44</f>
        <v>32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32"/>
      <c r="O44" s="9">
        <f>August!O44+N44</f>
        <v>0</v>
      </c>
      <c r="P44" s="20"/>
      <c r="Q44" s="33"/>
      <c r="R44" s="9">
        <f>August!R44+Q44</f>
        <v>0</v>
      </c>
    </row>
    <row r="45" spans="1:18" ht="18" customHeight="1">
      <c r="A45" s="9" t="s">
        <v>49</v>
      </c>
      <c r="B45" s="14"/>
      <c r="C45" s="9">
        <f>August!C45+B45</f>
        <v>0</v>
      </c>
      <c r="D45" s="15">
        <f>1+1+2+1+3+3+1+2+1+2+2+1+2+4+3+1+1+4+1+6+1+1+1+1+1+1+3+4+4+1+1+2+2+1+1+5</f>
        <v>72</v>
      </c>
      <c r="E45" s="9">
        <f>August!E45+D45</f>
        <v>580</v>
      </c>
      <c r="F45" s="16">
        <f>5+28+20+8+12+95+31+34+8+178+92+11+154+264+241</f>
        <v>1181</v>
      </c>
      <c r="G45" s="9">
        <f>August!G45+F45</f>
        <v>6220</v>
      </c>
      <c r="H45" s="17">
        <f>518+302+50+5+103+289+497+105</f>
        <v>1869</v>
      </c>
      <c r="I45" s="9">
        <f>August!I45+H45</f>
        <v>13291</v>
      </c>
      <c r="J45" s="18">
        <f>15</f>
        <v>15</v>
      </c>
      <c r="K45" s="9">
        <f>August!K45+J45</f>
        <v>412</v>
      </c>
      <c r="L45" s="19">
        <f>6+61+20+12</f>
        <v>99</v>
      </c>
      <c r="M45" s="9">
        <f>August!M45+L45</f>
        <v>4207</v>
      </c>
      <c r="N45" s="32"/>
      <c r="O45" s="9">
        <f>August!O45+N45</f>
        <v>0</v>
      </c>
      <c r="P45" s="20"/>
      <c r="Q45" s="33"/>
      <c r="R45" s="9">
        <f>August!R45+Q45</f>
        <v>0</v>
      </c>
    </row>
    <row r="46" spans="1:18" ht="18" customHeight="1">
      <c r="A46" s="9" t="s">
        <v>50</v>
      </c>
      <c r="B46" s="14"/>
      <c r="C46" s="9">
        <f>August!C46+B46</f>
        <v>0</v>
      </c>
      <c r="D46" s="15">
        <f>10+1+3</f>
        <v>14</v>
      </c>
      <c r="E46" s="9">
        <f>August!E46+D46</f>
        <v>72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32"/>
      <c r="O46" s="9">
        <f>August!O46+N46</f>
        <v>0</v>
      </c>
      <c r="P46" s="20"/>
      <c r="Q46" s="33"/>
      <c r="R46" s="9">
        <f>August!R46+Q46</f>
        <v>0</v>
      </c>
    </row>
    <row r="47" spans="1:18" ht="18" customHeight="1">
      <c r="A47" s="9" t="s">
        <v>51</v>
      </c>
      <c r="B47" s="14">
        <f>3</f>
        <v>3</v>
      </c>
      <c r="C47" s="9">
        <f>August!C47+B47</f>
        <v>8</v>
      </c>
      <c r="D47" s="15">
        <f>17+17+2+12+25+5+5+10</f>
        <v>93</v>
      </c>
      <c r="E47" s="9">
        <f>August!E47+D47</f>
        <v>343</v>
      </c>
      <c r="F47" s="16">
        <f>8+1</f>
        <v>9</v>
      </c>
      <c r="G47" s="9">
        <f>August!G47+F47</f>
        <v>27</v>
      </c>
      <c r="H47" s="17"/>
      <c r="I47" s="9">
        <f>August!I47+H47</f>
        <v>1753</v>
      </c>
      <c r="J47" s="18">
        <f>15</f>
        <v>15</v>
      </c>
      <c r="K47" s="9">
        <f>August!K47+J47</f>
        <v>210</v>
      </c>
      <c r="L47" s="19"/>
      <c r="M47" s="9">
        <f>August!M47+L47</f>
        <v>0</v>
      </c>
      <c r="N47" s="32"/>
      <c r="O47" s="9">
        <f>August!O47+N47</f>
        <v>29</v>
      </c>
      <c r="P47" s="20"/>
      <c r="Q47" s="33"/>
      <c r="R47" s="9">
        <f>August!R47+Q47</f>
        <v>0</v>
      </c>
    </row>
    <row r="48" spans="1:18" ht="18" customHeight="1">
      <c r="A48" s="9" t="s">
        <v>52</v>
      </c>
      <c r="B48" s="14"/>
      <c r="C48" s="9">
        <f>August!C48+B48</f>
        <v>0</v>
      </c>
      <c r="D48" s="15">
        <f>2</f>
        <v>2</v>
      </c>
      <c r="E48" s="9">
        <f>August!E48+D48</f>
        <v>34</v>
      </c>
      <c r="F48" s="16"/>
      <c r="G48" s="9">
        <f>August!G48+F48</f>
        <v>8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32"/>
      <c r="O48" s="9">
        <f>August!O48+N48</f>
        <v>0</v>
      </c>
      <c r="P48" s="20"/>
      <c r="Q48" s="33"/>
      <c r="R48" s="9">
        <f>August!R48+Q48</f>
        <v>0</v>
      </c>
    </row>
    <row r="49" spans="1:18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32"/>
      <c r="O49" s="9">
        <f>August!O49+N49</f>
        <v>0</v>
      </c>
      <c r="P49" s="20"/>
      <c r="Q49" s="33"/>
      <c r="R49" s="9">
        <f>August!R49+Q49</f>
        <v>0</v>
      </c>
    </row>
    <row r="50" spans="1:18" ht="18" customHeight="1">
      <c r="A50" s="9" t="s">
        <v>54</v>
      </c>
      <c r="B50" s="14"/>
      <c r="C50" s="9">
        <f>August!C50+B50</f>
        <v>0</v>
      </c>
      <c r="D50" s="15">
        <f>1+1</f>
        <v>2</v>
      </c>
      <c r="E50" s="9">
        <f>August!E50+D50</f>
        <v>5</v>
      </c>
      <c r="F50" s="16"/>
      <c r="G50" s="9">
        <f>August!G50+F50</f>
        <v>5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32"/>
      <c r="O50" s="9">
        <f>August!O50+N50</f>
        <v>6</v>
      </c>
      <c r="P50" s="20"/>
      <c r="Q50" s="33"/>
      <c r="R50" s="9">
        <f>August!R50+Q50</f>
        <v>0</v>
      </c>
    </row>
    <row r="51" spans="1:18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37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32"/>
      <c r="O51" s="9">
        <f>August!O51+N51</f>
        <v>0</v>
      </c>
      <c r="P51" s="20"/>
      <c r="Q51" s="33"/>
      <c r="R51" s="9">
        <f>August!R51+Q51</f>
        <v>0</v>
      </c>
    </row>
    <row r="52" spans="1:18" ht="18" customHeight="1">
      <c r="A52" s="9" t="s">
        <v>56</v>
      </c>
      <c r="B52" s="14"/>
      <c r="C52" s="9">
        <f>August!C52+B52</f>
        <v>0</v>
      </c>
      <c r="D52" s="15">
        <f>1+1</f>
        <v>2</v>
      </c>
      <c r="E52" s="9">
        <f>August!E52+D52</f>
        <v>5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32"/>
      <c r="O52" s="9">
        <f>August!O52+N52</f>
        <v>0</v>
      </c>
      <c r="P52" s="20"/>
      <c r="Q52" s="33"/>
      <c r="R52" s="9">
        <f>August!R52+Q52</f>
        <v>0</v>
      </c>
    </row>
    <row r="53" spans="1:18" ht="18" customHeight="1">
      <c r="A53" s="9" t="s">
        <v>57</v>
      </c>
      <c r="B53" s="14">
        <f>4+1</f>
        <v>5</v>
      </c>
      <c r="C53" s="9">
        <f>August!C53+B53</f>
        <v>14</v>
      </c>
      <c r="D53" s="15">
        <f>1+1+7+1+7+1+4+1+3+5+2+2+3+1+1+2+10+1+6+3+3+2+1+1+4+6+3+1+2+1+1+2+1+6+2+38</f>
        <v>136</v>
      </c>
      <c r="E53" s="9">
        <f>August!E53+D53</f>
        <v>1105</v>
      </c>
      <c r="F53" s="16">
        <f>2+3</f>
        <v>5</v>
      </c>
      <c r="G53" s="9">
        <f>August!G53+F53</f>
        <v>147</v>
      </c>
      <c r="H53" s="17"/>
      <c r="I53" s="9">
        <f>August!I53+H53</f>
        <v>0</v>
      </c>
      <c r="J53" s="18">
        <f>50+3+9</f>
        <v>62</v>
      </c>
      <c r="K53" s="9">
        <f>August!K53+J53</f>
        <v>131</v>
      </c>
      <c r="L53" s="19"/>
      <c r="M53" s="9">
        <f>August!M53+L53</f>
        <v>0</v>
      </c>
      <c r="N53" s="32">
        <f>6+4+5+7</f>
        <v>22</v>
      </c>
      <c r="O53" s="9">
        <f>August!O53+N53</f>
        <v>139</v>
      </c>
      <c r="P53" s="20"/>
      <c r="Q53" s="33"/>
      <c r="R53" s="9">
        <f>August!R53+Q53</f>
        <v>160</v>
      </c>
    </row>
    <row r="54" spans="1:18" ht="18" customHeight="1" thickBot="1">
      <c r="A54" s="10" t="s">
        <v>58</v>
      </c>
      <c r="B54" s="14"/>
      <c r="C54" s="9">
        <f>August!C54+B54</f>
        <v>0</v>
      </c>
      <c r="D54" s="15">
        <f>1+3+2+3+2</f>
        <v>11</v>
      </c>
      <c r="E54" s="9">
        <f>August!E54+D54</f>
        <v>128</v>
      </c>
      <c r="F54" s="16">
        <v>210</v>
      </c>
      <c r="G54" s="9">
        <f>August!G54+F54</f>
        <v>239</v>
      </c>
      <c r="H54" s="17"/>
      <c r="I54" s="9">
        <f>August!I54+H54</f>
        <v>0</v>
      </c>
      <c r="J54" s="18">
        <f>1</f>
        <v>1</v>
      </c>
      <c r="K54" s="9">
        <f>August!K54+J54</f>
        <v>2</v>
      </c>
      <c r="L54" s="19"/>
      <c r="M54" s="9">
        <f>August!M54+L54</f>
        <v>0</v>
      </c>
      <c r="N54" s="32"/>
      <c r="O54" s="9">
        <f>August!O54+N54</f>
        <v>0</v>
      </c>
      <c r="P54" s="20"/>
      <c r="Q54" s="34"/>
      <c r="R54" s="9">
        <f>August!R54+Q54</f>
        <v>0</v>
      </c>
    </row>
    <row r="55" spans="1:18" ht="18" customHeight="1" thickBot="1" thickTop="1">
      <c r="A55" s="11" t="s">
        <v>59</v>
      </c>
      <c r="B55" s="11">
        <f>SUM(B5:B54)</f>
        <v>125</v>
      </c>
      <c r="C55" s="11"/>
      <c r="D55" s="11">
        <f>SUM(D5:D54)</f>
        <v>1356</v>
      </c>
      <c r="E55" s="11"/>
      <c r="F55" s="11">
        <f>SUM(F5:F54)</f>
        <v>4461</v>
      </c>
      <c r="G55" s="11"/>
      <c r="H55" s="11">
        <f>SUM(H5:H54)</f>
        <v>2304</v>
      </c>
      <c r="I55" s="11"/>
      <c r="J55" s="11">
        <f>SUM(J5:J54)</f>
        <v>288</v>
      </c>
      <c r="K55" s="11"/>
      <c r="L55" s="11">
        <f>SUM(L5:L54)</f>
        <v>99</v>
      </c>
      <c r="M55" s="11"/>
      <c r="N55" s="11">
        <f>SUM(N5:N54)</f>
        <v>41</v>
      </c>
      <c r="O55" s="11"/>
      <c r="Q55" s="11">
        <f>SUM(Q5:Q54)</f>
        <v>149422</v>
      </c>
      <c r="R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8" ht="18" customHeight="1" thickBot="1" thickTop="1">
      <c r="A57" s="13" t="s">
        <v>60</v>
      </c>
      <c r="B57" s="11"/>
      <c r="C57" s="11">
        <f>August!C57+B55</f>
        <v>236</v>
      </c>
      <c r="D57" s="11"/>
      <c r="E57" s="11">
        <f>August!E57+D55</f>
        <v>7856</v>
      </c>
      <c r="F57" s="11"/>
      <c r="G57" s="11">
        <f>August!G57+F55</f>
        <v>16811</v>
      </c>
      <c r="H57" s="11"/>
      <c r="I57" s="11">
        <f>August!I57+H55</f>
        <v>17144</v>
      </c>
      <c r="J57" s="11"/>
      <c r="K57" s="11">
        <f>August!K57+J55</f>
        <v>2147</v>
      </c>
      <c r="L57" s="11"/>
      <c r="M57" s="11">
        <f>August!M57+L55</f>
        <v>4446</v>
      </c>
      <c r="N57" s="11"/>
      <c r="O57" s="11">
        <f>August!O57+N55</f>
        <v>362</v>
      </c>
      <c r="Q57" s="23"/>
      <c r="R57" s="11">
        <f>August!R57+Q55</f>
        <v>2999417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552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pans="1:23" s="4" customFormat="1" ht="18" customHeight="1">
      <c r="A62" s="4" t="s">
        <v>62</v>
      </c>
      <c r="S62" s="2"/>
      <c r="T62" s="2"/>
      <c r="U62" s="2"/>
      <c r="V62" s="2"/>
      <c r="W62" s="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8">
    <mergeCell ref="Q3:R3"/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2010-12-22T16:56:11Z</cp:lastPrinted>
  <dcterms:created xsi:type="dcterms:W3CDTF">2010-10-14T14:44:25Z</dcterms:created>
  <dcterms:modified xsi:type="dcterms:W3CDTF">2015-02-02T13:46:39Z</dcterms:modified>
  <cp:category/>
  <cp:version/>
  <cp:contentType/>
  <cp:contentStatus/>
</cp:coreProperties>
</file>