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4640" windowHeight="7830" tabRatio="784" firstSheet="4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<sst xmlns="http://schemas.openxmlformats.org/spreadsheetml/2006/main" count="852" uniqueCount="76">
  <si>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</si>
  <si>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</si>
  <si>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</si>
  <si>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</si>
  <si>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</si>
  <si>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</si>
  <si>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</si>
  <si>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</si>
  <si>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</si>
  <si>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</si>
  <si>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</si>
  <si>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</si>
  <si>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</si>
  <si>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</si>
  <si>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</si>
  <si>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</si>
  <si>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</si>
  <si>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</si>
  <si>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</si>
  <si>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</si>
  <si>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</si>
  <si>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</si>
  <si>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</si>
  <si>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</si>
  <si>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</si>
  <si>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</si>
  <si>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</si>
  <si>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</si>
  <si>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</si>
  <si>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</si>
  <si>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</si>
  <si>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</si>
  <si>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</si>
  <si>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</si>
  <si>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</si>
  <si>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</si>
  <si>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</si>
  <si>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</si>
  <si>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</si>
  <si>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</si>
  <si>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</si>
  <si>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</si>
  <si>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</si>
  <si>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</si>
  <si>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</si>
  <si>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</si>
  <si>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</si>
  <si>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</si>
  <si>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</si>
  <si>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</si>
  <si>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</si>
  <si>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</si>
  <si>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</si>
  <si>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</si>
  <si>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</si>
  <si>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</si>
  <si>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</si>
  <si>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</si>
  <si>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</si>
  <si>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</si>
  <si>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</si>
  <si>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</si>
  <si>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</si>
  <si>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</si>
  <si>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</si>
  <si>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</si>
  <si>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</si>
  <si>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</si>
  <si>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</si>
  <si>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</si>
  <si>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</si>
  <si>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</si>
  <si>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</si>
  <si>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</si>
  <si>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</si>
  <si>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2012 Cattle Imported Into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</si>
</sst>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>
        <f>264+80</f>
        <v>344</v>
      </c>
      <c r="C7" s="9">
        <f t="shared" si="0"/>
        <v>344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>
        <f>73+92+86+98+113</f>
        <v>462</v>
      </c>
      <c r="C8" s="9">
        <f t="shared" si="0"/>
        <v>462</v>
      </c>
      <c r="D8" s="15">
        <f>25</f>
        <v>25</v>
      </c>
      <c r="E8" s="9">
        <f t="shared" si="1"/>
        <v>25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>
        <f>544+309+638</f>
        <v>1491</v>
      </c>
      <c r="G9" s="9">
        <f t="shared" si="2"/>
        <v>1491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/>
      <c r="C10" s="9">
        <f t="shared" si="0"/>
        <v>0</v>
      </c>
      <c r="D10" s="15">
        <v>23</v>
      </c>
      <c r="E10" s="9">
        <f t="shared" si="1"/>
        <v>23</v>
      </c>
      <c r="F10" s="17">
        <v>9</v>
      </c>
      <c r="G10" s="9">
        <f t="shared" si="2"/>
        <v>9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>
        <f>43+35+75+67</f>
        <v>220</v>
      </c>
      <c r="C11" s="9">
        <f t="shared" si="0"/>
        <v>220</v>
      </c>
      <c r="D11" s="15">
        <f>35+8+1+8+1+1+46+3</f>
        <v>103</v>
      </c>
      <c r="E11" s="9">
        <f t="shared" si="1"/>
        <v>103</v>
      </c>
      <c r="F11" s="17">
        <f>1</f>
        <v>1</v>
      </c>
      <c r="G11" s="9">
        <f t="shared" si="2"/>
        <v>1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>
        <f>37+26+70</f>
        <v>133</v>
      </c>
      <c r="C15" s="9">
        <f t="shared" si="0"/>
        <v>133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>
        <f>80+147+83+30+42+234+64</f>
        <v>680</v>
      </c>
      <c r="C17" s="9">
        <f t="shared" si="0"/>
        <v>680</v>
      </c>
      <c r="D17" s="15">
        <v>3</v>
      </c>
      <c r="E17" s="9">
        <f t="shared" si="1"/>
        <v>3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>
        <f>5+27+16+4+38+162+8+12+30+48+54+8+9+10+5+85+86+71+8+13+58</f>
        <v>757</v>
      </c>
      <c r="C18" s="9">
        <f t="shared" si="0"/>
        <v>757</v>
      </c>
      <c r="D18" s="15">
        <f>10+11+60+7+29+1+1+1+1+4+84+4+4+2+4+8+3+4+17+4+28+1+1</f>
        <v>289</v>
      </c>
      <c r="E18" s="9">
        <f t="shared" si="1"/>
        <v>289</v>
      </c>
      <c r="F18" s="17">
        <f>12+12</f>
        <v>24</v>
      </c>
      <c r="G18" s="9">
        <f t="shared" si="2"/>
        <v>24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>
        <f>67+60+28+100+242</f>
        <v>497</v>
      </c>
      <c r="C19" s="9">
        <f t="shared" si="0"/>
        <v>497</v>
      </c>
      <c r="D19" s="15">
        <f>1+1+1+1+1+1</f>
        <v>6</v>
      </c>
      <c r="E19" s="9">
        <f t="shared" si="1"/>
        <v>6</v>
      </c>
      <c r="F19" s="17"/>
      <c r="G19" s="9">
        <f t="shared" si="2"/>
        <v>0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>
        <f>57+60+361+63+60+263+45+72+134+123+196+104+70+83+44+172+10+14+108+1+17+63+195+29+68+80</f>
        <v>2492</v>
      </c>
      <c r="C20" s="9">
        <f t="shared" si="0"/>
        <v>2492</v>
      </c>
      <c r="D20" s="15">
        <f>2+4+1+10+60+2+3+1+2+3+12</f>
        <v>100</v>
      </c>
      <c r="E20" s="9">
        <f t="shared" si="1"/>
        <v>100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>
        <f>191+130+60+78+126+69+69+190+344+66+122+67+140+215+64+60+81+78+117+94+60+73+65+675+7+53+59+131+69+72+202+108+68+83+71+82+61+58+118+81+52+132+60+148+30+1+8+11+139+70+129+64+79+50+252+66+37+72+71+151+61+62+74+190+61+81+57+39+20+123+58+134+222+122+65+188+64+73+225+64+65+66+74+70+770+61+62</f>
        <v>9330</v>
      </c>
      <c r="C21" s="9">
        <f t="shared" si="0"/>
        <v>9330</v>
      </c>
      <c r="D21" s="15">
        <f>1+3+6</f>
        <v>10</v>
      </c>
      <c r="E21" s="9">
        <f t="shared" si="1"/>
        <v>10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>
        <f>4</f>
        <v>4</v>
      </c>
      <c r="E24" s="9">
        <f t="shared" si="1"/>
        <v>4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>
        <v>490</v>
      </c>
      <c r="C26" s="9">
        <f t="shared" si="0"/>
        <v>490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>
        <f>25+4+14+80+55+60+89+5+7+83+26+77+6+1+115+676+25+3+4+110+65+39+132+114+118+22+44+27+25+27+60+3+68+83+185+50+5+18+16+35+54+10+96+45+175+320+665+16+35+26+32+27+65+27+26+51+80+75+30+29+48+54+19+4+1+34+3+4+19+39+44+45+3+6+58+30+26+34+45+12+32+8+59+5+10+85+131+150+72+79+57+72+82+2</f>
        <v>5857</v>
      </c>
      <c r="C27" s="9">
        <f t="shared" si="0"/>
        <v>5857</v>
      </c>
      <c r="D27" s="15">
        <f>4+8+15+9+10+14+5+5+3+1+9+20+9+1</f>
        <v>113</v>
      </c>
      <c r="E27" s="9">
        <f t="shared" si="1"/>
        <v>113</v>
      </c>
      <c r="F27" s="17">
        <f>9+3+54+60+120+11+2+125+27+3+30+19+4+105+132+2</f>
        <v>706</v>
      </c>
      <c r="G27" s="9">
        <f t="shared" si="2"/>
        <v>706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>
        <f>63+70+60+68</f>
        <v>261</v>
      </c>
      <c r="C28" s="9">
        <f t="shared" si="0"/>
        <v>261</v>
      </c>
      <c r="D28" s="15">
        <f>2+4</f>
        <v>6</v>
      </c>
      <c r="E28" s="9">
        <f t="shared" si="1"/>
        <v>6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>
        <f>136+72+39+42+54+58+87+83+51+33+40+204+37+12+18+47+29+100+50+23+21+85+84+92+260+33+63+110+104+84+32+100+60+60+238+56+67+52+47+33+63+84+70+70+70+70+84+35+77+21+86+122+56+68+86+125+89+67+21+86+122+56+68+86+125+89+67+85+55+30+107+81+143+65+56+31+101+70+82+58+264+130+45+145+222+131+40+77+198+81+151+67+16+80+17+53+80+79+60+76+70+132+34+96+53+78+52+74+88+79+76+75+82+84+162+62+61+190+156+100+79+85+81+70+150+92+45+69+14+32+38+28+68+35+74+74+128+63+18+45+16+114+109+46+84+151+81+170+70+50+33+35+139+13+190+211+97+70+73+85+85+156+158+81+67+97+13+21+85+72+202+98+65+70+125+74+90+99+96+84+78+80+84+124+82+59+82+80+41+23+78+79+80+80+39+2+60+71+62+81+86+78+76+172+28+31+31+81+46+77+18+82+86+36+16+99+96+84+78+80+84+124+82+59+82+80+41+23+78+79+80+80+39+2+71+62+81+86+78+76+172+28+31+31+81+46+77+18+82</f>
        <v>19401</v>
      </c>
      <c r="C29" s="9">
        <f t="shared" si="0"/>
        <v>19401</v>
      </c>
      <c r="D29" s="15">
        <f>1+2+11+16+64+18+9+13+16+14+12+4+39+5+39+39+40+12+22+22+12+15+22+16+76+36+65+3+1+8+8+16+8+8+4+10+11+62+20+46+62+60</f>
        <v>967</v>
      </c>
      <c r="E29" s="9">
        <f t="shared" si="1"/>
        <v>967</v>
      </c>
      <c r="F29" s="17"/>
      <c r="G29" s="9">
        <f t="shared" si="2"/>
        <v>0</v>
      </c>
      <c r="H29" s="19">
        <f>3</f>
        <v>3</v>
      </c>
      <c r="I29" s="9">
        <f t="shared" si="3"/>
        <v>3</v>
      </c>
    </row>
    <row r="30" spans="1:9" s="5" customFormat="1" ht="18" customHeight="1">
      <c r="A30" s="9" t="s">
        <v>32</v>
      </c>
      <c r="B30" s="13">
        <f>30+135+309+309+47+9+213+42+12+14+530+68+7+58+133+69+12+24+61+27+7+104+24+22+75+10+2+36+72+17+50+4+4+37+10+9+7+10+34+77+92+180+67+60+158+95+193+786+26+500+40+35+22+28+357+90+8+62+87+77+79+12+20+11+1+2</f>
        <v>5808</v>
      </c>
      <c r="C30" s="9">
        <f t="shared" si="0"/>
        <v>5808</v>
      </c>
      <c r="D30" s="15">
        <f>56+205+206+305+160+2</f>
        <v>934</v>
      </c>
      <c r="E30" s="9">
        <f t="shared" si="1"/>
        <v>934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>
        <f>5+281+74+118+45+94+94+95</f>
        <v>806</v>
      </c>
      <c r="C31" s="9">
        <f t="shared" si="0"/>
        <v>806</v>
      </c>
      <c r="D31" s="15">
        <f>2+29+94+118+65+49+46+2+50+50+1+1+18+11+24+8+60+18+11+46+4+61+30+2+20+60+10</f>
        <v>890</v>
      </c>
      <c r="E31" s="9">
        <f t="shared" si="1"/>
        <v>890</v>
      </c>
      <c r="F31" s="17">
        <f>40+98</f>
        <v>138</v>
      </c>
      <c r="G31" s="9">
        <f t="shared" si="2"/>
        <v>138</v>
      </c>
      <c r="H31" s="19"/>
      <c r="I31" s="9">
        <f t="shared" si="3"/>
        <v>0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>
        <f>101+262</f>
        <v>363</v>
      </c>
      <c r="C35" s="9">
        <f t="shared" si="0"/>
        <v>363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>
        <f>40+8+6+5+10+7+9+14</f>
        <v>99</v>
      </c>
      <c r="E36" s="9">
        <f t="shared" si="1"/>
        <v>99</v>
      </c>
      <c r="F36" s="17">
        <f>37+49+10+24+177+87</f>
        <v>384</v>
      </c>
      <c r="G36" s="9">
        <f t="shared" si="2"/>
        <v>384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>
        <f>97</f>
        <v>97</v>
      </c>
      <c r="C37" s="9">
        <f aca="true" t="shared" si="4" ref="C37:C54">B37</f>
        <v>97</v>
      </c>
      <c r="D37" s="15"/>
      <c r="E37" s="9">
        <f aca="true" t="shared" si="5" ref="E37:E54">D37</f>
        <v>0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>
        <f>31+16+80+93+80+11+39+36+28+96+95+80+102+324+78+82+327+20+202+8+5+161+79+77+308+780+25+86+618</f>
        <v>3967</v>
      </c>
      <c r="C38" s="9">
        <f t="shared" si="4"/>
        <v>3967</v>
      </c>
      <c r="D38" s="15">
        <f>23+40+96+15+76+27+4</f>
        <v>281</v>
      </c>
      <c r="E38" s="9">
        <f t="shared" si="5"/>
        <v>281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>
        <f>50+44+60+90+90+10+90+2+266+5+263+25+94+224+326+211+91+18+32+61+134+44+308+83+79+177+150+175+225+194+80+88+179+137+90+104+43+40+92+35+66+208+95+105+93+62+65+196+111+80+152+74+105+19+75+102+82+106+27+140+145+32+70+65+70+246+65+65+65+10+97+160+114+250+210+52+45+87+87+92+102+55+66+39+110+20+71+45+54+37+83+95+72+151+140+227+155+150</f>
        <v>10171</v>
      </c>
      <c r="C39" s="9">
        <f t="shared" si="4"/>
        <v>10171</v>
      </c>
      <c r="D39" s="15">
        <f>1</f>
        <v>1</v>
      </c>
      <c r="E39" s="9">
        <f t="shared" si="5"/>
        <v>1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>
        <f>83+39</f>
        <v>122</v>
      </c>
      <c r="C40" s="9">
        <f t="shared" si="4"/>
        <v>122</v>
      </c>
      <c r="D40" s="15">
        <f>51+1+1+51+7+16+16+32+16+16+1+16+2+1+1+1+2+3+8+1+1+70+15+15</f>
        <v>344</v>
      </c>
      <c r="E40" s="9">
        <f t="shared" si="5"/>
        <v>344</v>
      </c>
      <c r="F40" s="17"/>
      <c r="G40" s="9">
        <f t="shared" si="6"/>
        <v>0</v>
      </c>
      <c r="H40" s="19">
        <f>39</f>
        <v>39</v>
      </c>
      <c r="I40" s="9">
        <f t="shared" si="7"/>
        <v>39</v>
      </c>
    </row>
    <row r="41" spans="1:9" s="5" customFormat="1" ht="18" customHeight="1">
      <c r="A41" s="9" t="s">
        <v>43</v>
      </c>
      <c r="B41" s="13">
        <f>49+185+74</f>
        <v>308</v>
      </c>
      <c r="C41" s="9">
        <f t="shared" si="4"/>
        <v>308</v>
      </c>
      <c r="D41" s="21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>
        <f>90</f>
        <v>90</v>
      </c>
      <c r="C42" s="9">
        <f t="shared" si="4"/>
        <v>90</v>
      </c>
      <c r="D42" s="15">
        <f>10+2</f>
        <v>12</v>
      </c>
      <c r="E42" s="9">
        <f t="shared" si="5"/>
        <v>12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>
        <f>129+11+99+85+124+88+64+29+86</f>
        <v>715</v>
      </c>
      <c r="C44" s="9">
        <f t="shared" si="4"/>
        <v>715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>
        <f>192+96+48+100+34+80+123+66+90+90+95+110+107+80+102+21+56+10+67+54+80+94+67+67+97+145+91+96+231+117+149+76+21+15+89+51+83+65+54+8+93+116+43+34+48+11+19+181+158+29+90+34+14+80+170+10+24+45+17+392+380+48+51+12+106+68+66+86+44+142+60+117+56+150+43+22+63+13+26+53+13+77+3+17+160+16+72+32+56+18+207+50+71+15+61+23+4+67+22+21+27+15+8+1+23+66+82+75+28+58+28+29+30+56+11+5+22+47+154+4+17+29+93+65+28+42+68+18+1+43+21+210+75+58+24+86+47+91+62+82+244+161+4+42+45+25+100+165+138+10+13+16+28+96+128+152+75+162+291+88+80+71+80+193+91+277+315+9+2+153+71+35+31+41+27+14+35+71+25+84+94+70+50+103+35+75+52+103+187+104+95+11+12+157+63+100+435+160+319+73+33+15+89+73+34+35+54+118+87+250+7+70+136+75+713+93+80+215+90+146+13+18+125+37+209+21+35+83+80+35+86+100+101+20+113+50+78+8+36+76+38+136+44+16+5+39+19+29+41+13+5+23+12+3+57+11+11+33+84+101+333+92+13+85+108+86+77+211+164+62+80+34+83+103+371+72+85+78+86+80+147+4+19+109+21+29+60+63+52+36+17+26+25+123+71+12+16+21+26+7+403+54+106+35+153+76+11+68+47+76+14+86+174+80+141+21+9+108+16+4+86+62+23+17+16+108+160+69+66+166+71+50+105+118+225+142+160+53+19+195+87+168+177+33+46+129+93+62+5+5+152+65+54+42+5+80+92+61+81+169+15+39+85+94+66+214+72+104+17+169+127+177+102+87+58+89+87+76+6+11+54+31+86+14+20+79+97+60+23+89+102+6+34+27+230+33+23+41+61+22+5+65+279+11+36+37+10+19+88+80+123+14+16+24+68+15+15+81+59+89+219+113+21+82+93+28+91+20</f>
        <v>32922</v>
      </c>
      <c r="C45" s="9">
        <f t="shared" si="4"/>
        <v>32922</v>
      </c>
      <c r="D45" s="15">
        <f>1+17+24+19+46+15+4+8+15+25+61+44+24+24+21+26+24+4+12+40+17+13+26+39+7+95+16+4+41+10+50+6+30+44+10+11+28+91+15+15+8+15+11+10+5+14+11+44+59+31+15+15+15+19+15+10+50+20+3+36+8+4+15+15+30+8+15+12+15+1+6+15+12+13+10+6+16+9+10</f>
        <v>1648</v>
      </c>
      <c r="E45" s="9">
        <f t="shared" si="5"/>
        <v>1648</v>
      </c>
      <c r="F45" s="17">
        <f>1+1</f>
        <v>2</v>
      </c>
      <c r="G45" s="9">
        <f t="shared" si="6"/>
        <v>2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/>
      <c r="C46" s="9">
        <f t="shared" si="4"/>
        <v>0</v>
      </c>
      <c r="D46" s="15"/>
      <c r="E46" s="9">
        <f t="shared" si="5"/>
        <v>0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>
        <f>100+100+233+127</f>
        <v>560</v>
      </c>
      <c r="C47" s="9">
        <f t="shared" si="4"/>
        <v>560</v>
      </c>
      <c r="D47" s="15">
        <f>31+15+2+11</f>
        <v>59</v>
      </c>
      <c r="E47" s="9">
        <f t="shared" si="5"/>
        <v>59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/>
      <c r="C48" s="9">
        <f t="shared" si="4"/>
        <v>0</v>
      </c>
      <c r="D48" s="15">
        <f>80</f>
        <v>80</v>
      </c>
      <c r="E48" s="9">
        <f t="shared" si="5"/>
        <v>80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>
        <f>153+133+120+100+64+150+180+58+58+175+62+57+64+1289+67+155+125+90+91+150+72+65+76+56+131+108+65+170+78+60+32+32+130+32+32+113</f>
        <v>4593</v>
      </c>
      <c r="C50" s="9">
        <f t="shared" si="4"/>
        <v>4593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/>
      <c r="C51" s="9">
        <f t="shared" si="4"/>
        <v>0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>
        <f>53+63+34+53+55+114+65+70</f>
        <v>507</v>
      </c>
      <c r="C52" s="9">
        <f t="shared" si="4"/>
        <v>507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>
        <f>135+58+245+85+149+31+15+19+45+20+30+12+15+8+7+74+26+281+66+244+34+58+70+204+8+15+57+65+63+245</f>
        <v>2384</v>
      </c>
      <c r="C53" s="9">
        <f t="shared" si="4"/>
        <v>2384</v>
      </c>
      <c r="D53" s="15">
        <f>39+1+15+4+16+17+27+5+15+13+4</f>
        <v>156</v>
      </c>
      <c r="E53" s="9">
        <f t="shared" si="5"/>
        <v>156</v>
      </c>
      <c r="F53" s="17">
        <f>109+16+9+80+81+49+8+72+38+4+18+30+12+1+1+5+6+2+1+8+9+32+12+16+18+5+9+12+8+3+72</f>
        <v>746</v>
      </c>
      <c r="G53" s="9">
        <f t="shared" si="6"/>
        <v>746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>
        <f>85+93+105+91+49+70+50+146</f>
        <v>689</v>
      </c>
      <c r="C54" s="9">
        <f t="shared" si="4"/>
        <v>689</v>
      </c>
      <c r="D54" s="16">
        <f>15+2+1+41+109+86+57+194</f>
        <v>505</v>
      </c>
      <c r="E54" s="9">
        <f t="shared" si="5"/>
        <v>505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105026</v>
      </c>
      <c r="C55" s="11"/>
      <c r="D55" s="11">
        <f>SUM(D5:D54)</f>
        <v>6658</v>
      </c>
      <c r="E55" s="11"/>
      <c r="F55" s="11">
        <f>SUM(F5:F54)</f>
        <v>3501</v>
      </c>
      <c r="G55" s="11"/>
      <c r="H55" s="11">
        <f>SUM(H5:H54)</f>
        <v>42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105026</v>
      </c>
      <c r="D57" s="11"/>
      <c r="E57" s="11">
        <f>D55</f>
        <v>6658</v>
      </c>
      <c r="F57" s="11"/>
      <c r="G57" s="11">
        <f>F55</f>
        <v>3501</v>
      </c>
      <c r="H57" s="11"/>
      <c r="I57" s="11">
        <f>H55</f>
        <v>42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4" topLeftCell="A33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170+65</f>
        <v>235</v>
      </c>
      <c r="C5" s="9">
        <f>September!C5+B5</f>
        <v>647</v>
      </c>
      <c r="D5" s="15">
        <f>5</f>
        <v>5</v>
      </c>
      <c r="E5" s="9">
        <f>September!E5+D5</f>
        <v>14</v>
      </c>
      <c r="F5" s="17">
        <f>77</f>
        <v>77</v>
      </c>
      <c r="G5" s="9">
        <f>September!G5+F5</f>
        <v>434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407</v>
      </c>
      <c r="D7" s="15"/>
      <c r="E7" s="9">
        <f>September!E7+D7</f>
        <v>0</v>
      </c>
      <c r="F7" s="17"/>
      <c r="G7" s="9">
        <f>September!G7+F7</f>
        <v>700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>
        <f>65+65+80</f>
        <v>210</v>
      </c>
      <c r="C8" s="9">
        <f>September!C8+B8</f>
        <v>5911</v>
      </c>
      <c r="D8" s="15"/>
      <c r="E8" s="9">
        <f>September!E8+D8</f>
        <v>105</v>
      </c>
      <c r="F8" s="17"/>
      <c r="G8" s="9">
        <f>September!G8+F8</f>
        <v>131</v>
      </c>
      <c r="H8" s="19"/>
      <c r="I8" s="9">
        <f>September!I8+H8</f>
        <v>0</v>
      </c>
    </row>
    <row r="9" spans="1:9" s="5" customFormat="1" ht="18" customHeight="1">
      <c r="A9" s="9" t="s">
        <v>11</v>
      </c>
      <c r="B9" s="13">
        <f>187+51</f>
        <v>238</v>
      </c>
      <c r="C9" s="9">
        <f>September!C9+B9</f>
        <v>1439</v>
      </c>
      <c r="D9" s="15"/>
      <c r="E9" s="9">
        <f>September!E9+D9</f>
        <v>126</v>
      </c>
      <c r="F9" s="17">
        <f>1+348</f>
        <v>349</v>
      </c>
      <c r="G9" s="9">
        <f>September!G9+F9</f>
        <v>3843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3037</v>
      </c>
      <c r="D10" s="15">
        <v>21</v>
      </c>
      <c r="E10" s="9">
        <f>September!E10+D10</f>
        <v>134</v>
      </c>
      <c r="F10" s="17"/>
      <c r="G10" s="9">
        <f>September!G10+F10</f>
        <v>23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>
        <f>240+100+90+500+500+500+125+144+23+86+48+29+500+45+45+350+350+100+93+350+350+13+100+99+78+120+196+85+80+94+89+86+90</f>
        <v>5698</v>
      </c>
      <c r="C11" s="9">
        <f>September!C11+B11</f>
        <v>6713</v>
      </c>
      <c r="D11" s="15">
        <f>15+8+1+30+4+1+4+16+16+14+16+30+85+86+44+1+26+15+15+5</f>
        <v>432</v>
      </c>
      <c r="E11" s="9">
        <f>September!E11+D11</f>
        <v>1393</v>
      </c>
      <c r="F11" s="17"/>
      <c r="G11" s="9">
        <f>September!G11+F11</f>
        <v>369</v>
      </c>
      <c r="H11" s="19"/>
      <c r="I11" s="9">
        <f>September!I11+H11</f>
        <v>166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>
        <f>54+34+357</f>
        <v>445</v>
      </c>
      <c r="C14" s="9">
        <f>September!C14+B14</f>
        <v>1006</v>
      </c>
      <c r="D14" s="15"/>
      <c r="E14" s="9">
        <f>September!E14+D14</f>
        <v>124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>
        <f>121+68+72+62+69</f>
        <v>392</v>
      </c>
      <c r="C15" s="9">
        <f>September!C15+B15</f>
        <v>2818</v>
      </c>
      <c r="D15" s="15"/>
      <c r="E15" s="9">
        <f>September!E15+D15</f>
        <v>19</v>
      </c>
      <c r="F15" s="17"/>
      <c r="G15" s="9">
        <f>September!G15+F15</f>
        <v>284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>
        <f>118+55+67+14+36+6</f>
        <v>296</v>
      </c>
      <c r="C17" s="9">
        <f>September!C17+B17</f>
        <v>2283</v>
      </c>
      <c r="D17" s="15">
        <f>208</f>
        <v>208</v>
      </c>
      <c r="E17" s="9">
        <f>September!E17+D17</f>
        <v>461</v>
      </c>
      <c r="F17" s="17">
        <f>1+80</f>
        <v>81</v>
      </c>
      <c r="G17" s="9">
        <f>September!G17+F17</f>
        <v>207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>
        <f>108+3+11+77+80+80+114+98+150+5</f>
        <v>726</v>
      </c>
      <c r="C18" s="9">
        <f>September!C18+B18</f>
        <v>4403</v>
      </c>
      <c r="D18" s="15">
        <f>8+17+16+7</f>
        <v>48</v>
      </c>
      <c r="E18" s="9">
        <f>September!E18+D18</f>
        <v>1039</v>
      </c>
      <c r="F18" s="17">
        <f>3+1</f>
        <v>4</v>
      </c>
      <c r="G18" s="9">
        <f>September!G18+F18</f>
        <v>278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>
        <f>145+15+91+32+68+938</f>
        <v>1289</v>
      </c>
      <c r="C19" s="9">
        <f>September!C19+B19</f>
        <v>15023</v>
      </c>
      <c r="D19" s="15">
        <f>4+2</f>
        <v>6</v>
      </c>
      <c r="E19" s="9">
        <f>September!E19+D19</f>
        <v>846</v>
      </c>
      <c r="F19" s="17">
        <f>13+11+12+83+146+11</f>
        <v>276</v>
      </c>
      <c r="G19" s="9">
        <f>September!G19+F19</f>
        <v>1742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>
        <f>138+124+64+172+39+184+68+23+16+152+60+14+100+14</f>
        <v>1168</v>
      </c>
      <c r="C20" s="9">
        <f>September!C20+B20</f>
        <v>25524</v>
      </c>
      <c r="D20" s="15">
        <f>80+20+1+16+2+78</f>
        <v>197</v>
      </c>
      <c r="E20" s="9">
        <f>September!E20+D20</f>
        <v>1572</v>
      </c>
      <c r="F20" s="17">
        <f>1+17+25+17+25+7</f>
        <v>92</v>
      </c>
      <c r="G20" s="9">
        <f>September!G20+F20</f>
        <v>821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>
        <f>29+135+65+73+64+17+59+71+62+12+140+31+64+116+43+63+74+72+71+148+76+65+64+132+222+77+65+66+65+61+61+92+73+62+152+23+44+52+62+203+53+220+34+17+6+57+62+63+39+52+33+54+397+62+61+59+98+267+117+72+132+264+74+57+63+65+63+27+56+62+96+121+190+180+114+54+68+68+60+60+9+55+177+65+128+66+61+68+238+69+131+114+12+108+60+69+89+12+65+74+77+130+64+68+124+122+260+56+74+62+69+130+54+71+59+9+71+71+71+53+13+34+21+45+27+236+66+87+49+58+88+68+67+58+27+37+105+170+60+48+61+119+70+57+106+89+18+47+105+51+191+113+71+140+280+136+68+68+75+132+132+64+140+63+240+88+95+89+475+66+325+70+77+60+65+190+62+18+200+71+63+41+88+87+82+59+127+60+56+58+93+84+59+68+122+69+140+78+84+167+81+85+71+54+51+58+85+1559+63+123+63+140+80+110</f>
        <v>20447</v>
      </c>
      <c r="C21" s="9">
        <f>September!C21+B21</f>
        <v>108895</v>
      </c>
      <c r="D21" s="15">
        <f>3+8+3</f>
        <v>14</v>
      </c>
      <c r="E21" s="9">
        <f>September!E21+D21</f>
        <v>165</v>
      </c>
      <c r="F21" s="17"/>
      <c r="G21" s="9">
        <f>September!G21+F21</f>
        <v>11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18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2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9</v>
      </c>
      <c r="F24" s="17">
        <f>1</f>
        <v>1</v>
      </c>
      <c r="G24" s="9">
        <f>September!G24+F24</f>
        <v>11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3607</v>
      </c>
      <c r="D26" s="15">
        <f>3+1</f>
        <v>4</v>
      </c>
      <c r="E26" s="9">
        <f>September!E26+D26</f>
        <v>42</v>
      </c>
      <c r="F26" s="17">
        <f>7+116</f>
        <v>123</v>
      </c>
      <c r="G26" s="9">
        <f>September!G26+F26</f>
        <v>141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>
        <f>45+68+9+3+17+4+7+66+171+60+183+116+985+32+3+22+19+51+4+58+109+122+277+191+42+73+160+23+76+52+1+12+12+30+79+51+130+340+2+131+141+43+34+44+5+82+5+13+13+15+211+211</f>
        <v>4653</v>
      </c>
      <c r="C27" s="9">
        <f>September!C27+B27</f>
        <v>38671</v>
      </c>
      <c r="D27" s="15">
        <f>13+9+14+14+18+19+4+25+18+13+73+18+12+60+30+80+20+1</f>
        <v>441</v>
      </c>
      <c r="E27" s="9">
        <f>September!E27+D27</f>
        <v>2355</v>
      </c>
      <c r="F27" s="17">
        <f>5+5+11+32+9+9+2+9+14+2+7+2+1+141</f>
        <v>249</v>
      </c>
      <c r="G27" s="9">
        <f>September!G27+F27</f>
        <v>5844</v>
      </c>
      <c r="H27" s="19"/>
      <c r="I27" s="9">
        <f>September!I27+H27</f>
        <v>46</v>
      </c>
    </row>
    <row r="28" spans="1:9" s="5" customFormat="1" ht="18" customHeight="1">
      <c r="A28" s="9" t="s">
        <v>30</v>
      </c>
      <c r="B28" s="13">
        <f>22+65</f>
        <v>87</v>
      </c>
      <c r="C28" s="9">
        <f>September!C28+B28</f>
        <v>1411</v>
      </c>
      <c r="D28" s="15"/>
      <c r="E28" s="9">
        <f>September!E28+D28</f>
        <v>15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>
        <f>83+21+36+56+66+150+43+91+80+80+80+32+74+139+97+35+44+60+75+63+83+31+36+56+66+150+43+30+30+33+78+66+78+32+68+66+78+22+97+120+180+97+68+54+89+57+63+69+64+61+21+230+84+102+60+65+70+23+61+67+61+79+76+190+66+68+174+32+120+24+135+123+110+58+69+58+74+8+15+34+258+161+35+13+62+88+121+77+77+65+120+3+87+34+47+44+70+50+126+68+64+64</f>
        <v>7561</v>
      </c>
      <c r="C29" s="9">
        <f>September!C29+B29</f>
        <v>114108</v>
      </c>
      <c r="D29" s="15">
        <f>36+1+1+3+36+3+2+1+11+22+7+3+22+36+1+1+3+36+3+4+2+1+2+4+1+3+86+12</f>
        <v>343</v>
      </c>
      <c r="E29" s="9">
        <f>September!E29+D29</f>
        <v>3238</v>
      </c>
      <c r="F29" s="17"/>
      <c r="G29" s="9">
        <f>September!G29+F29</f>
        <v>548</v>
      </c>
      <c r="H29" s="19">
        <f>4</f>
        <v>4</v>
      </c>
      <c r="I29" s="9">
        <f>September!I29+H29</f>
        <v>193</v>
      </c>
    </row>
    <row r="30" spans="1:9" s="5" customFormat="1" ht="18" customHeight="1">
      <c r="A30" s="9" t="s">
        <v>32</v>
      </c>
      <c r="B30" s="13">
        <f>221+317+205+285+13+17+60+37+119+94+97+47+75+105+180+110+105+74+91+93+56+11+67+122+57+272+106+24+13+113+101+197+30+4+402+60+18+626+82+23+16+138+112+132+31+80+71+90+200+200+165+121+7+170+298+90+98+244+140+202+202+349+425+15+57+270+15+230+249+265+360+425+15+85+73+146+91+115+210+100+290+98+158+84+210+268+160+48+113+186+285+15+170+70+135+98+102+4+81+89+90+22+185+175+121+157+98+90+102+165+258+89+84+87+86+230+220+170+210+38+290+180+42+101+107+180+100+85+169+117+44+39+75+14+64+7+81+147+250+170+36+95+294+14+70+204+110+116+90+120+80+180+28+33+54+25+80+132+350+210+330+225+90+225+200+184+89+3+88+550+150+164+290+90+160+95+95+220+125+75+97+95+80+90+60+290+140+85+38+3+302+36+150+200+100+186+96+107+81+39+12+99+410+100+154+264+36+25+218+650+285+80+240+140+79+110+87+110+210+229+210+49+5+92+7+164+69+6+95+87+39+155+165+105+115+70+166+179+57+116+143+285+60+198+262+272+170+90+65+110+110+105+381+352+352+83+95+8+310+600+125+80+185+77+70+185+365+330+104+15+33+132+29+34+69+43+116+111+225+92+251+410+237+218+35+7+110+79+281+8+15+14+11+45+95+227+173+114+288+340+85+90+71+87+85+190+285+180+175+145+85+86+79+95+110+86+81+39+108+87+56+83+105+105+105+69+115+230+98+110+476+50+302+12+74+684+120+275+150+194+182+47+258+161+325+99+101+150+91+110+207+225+214+267+310+90+125+105+55+90+338+297+110+16+36+82+44+144+97+12+151+180+72+330+228+65+227+1233</f>
        <v>54132</v>
      </c>
      <c r="C30" s="9">
        <f>September!C30+B30</f>
        <v>101460</v>
      </c>
      <c r="D30" s="15">
        <f>53+46+99+54+76+42+7+55+50+11+106+61</f>
        <v>660</v>
      </c>
      <c r="E30" s="9">
        <f>September!E30+D30</f>
        <v>6171</v>
      </c>
      <c r="F30" s="17"/>
      <c r="G30" s="9">
        <f>September!G30+F30</f>
        <v>72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>
        <f>156+118+62+108+80+62+178+119+166+106+92+157+56+64+111+20+6+31+6+16+23+128+141+14+21+3+98+2+15+82+200+115+80+26+208+111+141+264+100+123+172+60+125+133+133+126+240+200+89+138+30+600+600+66+136+190+100+200+120+225+182+105+212+129+61+92+54+136+259+66+280+34+46+219+259+68+250+290+120+27+127+147+107+425+112+46+107+95+184+170+70+145+105+42+45+64+72+128+129+60+75+101+1+95+57+115+185+120+116+66+271+43+95+106+34+100+245+92+121+135+100+55+64+122+102+63+86+100+96+191+210+288</f>
        <v>16211</v>
      </c>
      <c r="C31" s="9">
        <f>September!C31+B31</f>
        <v>64792</v>
      </c>
      <c r="D31" s="15">
        <f>71+71+8+119+19+11+22+2+4+1+8+45+45+90+132+30+8+3+44+57+1+6+40+18+1+38+82+134+40+46+84+42+3+5+75+40+75+50+70+36+9+43+40+9+212+105+105+105+105+1+46+9+45+45+45+45+2+100+4+8+20+47+130+83+19+50+60+139+88+44</f>
        <v>3439</v>
      </c>
      <c r="E31" s="9">
        <f>September!E31+D31</f>
        <v>19939</v>
      </c>
      <c r="F31" s="17">
        <f>31+35+45+35+79</f>
        <v>225</v>
      </c>
      <c r="G31" s="9">
        <f>September!G31+F31</f>
        <v>3332</v>
      </c>
      <c r="H31" s="19">
        <f>100</f>
        <v>100</v>
      </c>
      <c r="I31" s="9">
        <f>September!I31+H31</f>
        <v>100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151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>
        <f>13</f>
        <v>13</v>
      </c>
      <c r="G33" s="9">
        <f>September!G33+F33</f>
        <v>13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>
        <f>30+225</f>
        <v>255</v>
      </c>
      <c r="C35" s="9">
        <f>September!C35+B35</f>
        <v>2553</v>
      </c>
      <c r="D35" s="15">
        <f>4</f>
        <v>4</v>
      </c>
      <c r="E35" s="9">
        <f>September!E35+D35</f>
        <v>12</v>
      </c>
      <c r="F35" s="17"/>
      <c r="G35" s="9">
        <f>September!G35+F35</f>
        <v>137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>
        <f>16+10</f>
        <v>26</v>
      </c>
      <c r="C36" s="9">
        <f>September!C36+B36</f>
        <v>203</v>
      </c>
      <c r="D36" s="15">
        <f>2+4+30+39+4+21</f>
        <v>100</v>
      </c>
      <c r="E36" s="9">
        <f>September!E36+D36</f>
        <v>274</v>
      </c>
      <c r="F36" s="17">
        <f>10</f>
        <v>10</v>
      </c>
      <c r="G36" s="9">
        <f>September!G36+F36</f>
        <v>1375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1072</v>
      </c>
      <c r="D37" s="15"/>
      <c r="E37" s="9">
        <f>September!E37+D37</f>
        <v>7</v>
      </c>
      <c r="F37" s="17"/>
      <c r="G37" s="9">
        <f>September!G37+F37</f>
        <v>18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>
        <f>1650+201+110+72+41+62+124+400+135+69+73+65+60+168+64+68+182+70+165+57+58+400+210+455+23+12+60+225+70+30+193+239+1400+131+79+68+82+65+61+27+37+62+65+64+57+198+393+150+57+72+255+240+70+210+65+26+103+107+66+2+163+75+13+151+38+82+142+74+144+124+62+96+66+34+110+29+161+151+115+93+87+308+100+100+263+17+69+111+69+80+334+61+82+105+95+90+149+70+115+60+110+260+190+71+90+111+135+88+155+200+303+270+90+144+95+85+90+187+80+400+81+113</f>
        <v>17659</v>
      </c>
      <c r="C38" s="9">
        <f>September!C38+B38</f>
        <v>56493</v>
      </c>
      <c r="D38" s="15">
        <f>4+52+339+212+77+1</f>
        <v>685</v>
      </c>
      <c r="E38" s="9">
        <f>September!E38+D38</f>
        <v>2257</v>
      </c>
      <c r="F38" s="17"/>
      <c r="G38" s="9">
        <f>September!G38+F38</f>
        <v>0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>
        <f>96+100</f>
        <v>196</v>
      </c>
      <c r="C39" s="9">
        <f>September!C39+B39</f>
        <v>15296</v>
      </c>
      <c r="D39" s="15">
        <f>2+2</f>
        <v>4</v>
      </c>
      <c r="E39" s="9">
        <f>September!E39+D39</f>
        <v>50</v>
      </c>
      <c r="F39" s="17">
        <f>12+10+7</f>
        <v>29</v>
      </c>
      <c r="G39" s="9">
        <f>September!G39+F39</f>
        <v>610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>
        <f>101</f>
        <v>101</v>
      </c>
      <c r="C40" s="9">
        <f>September!C40+B40</f>
        <v>14610</v>
      </c>
      <c r="D40" s="15">
        <f>17+10+12+10+17+5+2</f>
        <v>73</v>
      </c>
      <c r="E40" s="9">
        <f>September!E40+D40</f>
        <v>1683</v>
      </c>
      <c r="F40" s="17"/>
      <c r="G40" s="9">
        <f>September!G40+F40</f>
        <v>6</v>
      </c>
      <c r="H40" s="19"/>
      <c r="I40" s="9">
        <f>September!I40+H40</f>
        <v>39</v>
      </c>
    </row>
    <row r="41" spans="1:9" s="5" customFormat="1" ht="18" customHeight="1">
      <c r="A41" s="9" t="s">
        <v>43</v>
      </c>
      <c r="B41" s="13">
        <f>30+46+27+41+15+89+86+12+38+20</f>
        <v>404</v>
      </c>
      <c r="C41" s="9">
        <f>September!C41+B41</f>
        <v>1654</v>
      </c>
      <c r="D41" s="15">
        <f>1</f>
        <v>1</v>
      </c>
      <c r="E41" s="9">
        <f>September!E41+D41</f>
        <v>78</v>
      </c>
      <c r="F41" s="17">
        <f>1</f>
        <v>1</v>
      </c>
      <c r="G41" s="9">
        <f>September!G41+F41</f>
        <v>7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>
        <f>80+55+82</f>
        <v>217</v>
      </c>
      <c r="C42" s="9">
        <f>September!C42+B42</f>
        <v>1206</v>
      </c>
      <c r="D42" s="15"/>
      <c r="E42" s="9">
        <f>September!E42+D42</f>
        <v>26</v>
      </c>
      <c r="F42" s="17">
        <f>14+2+2+13</f>
        <v>31</v>
      </c>
      <c r="G42" s="9">
        <f>September!G42+F42</f>
        <v>757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>
        <f>64+68+32+39+67+68+70+69+138+62+57+13+45+18+68+65+67+69+65+66</f>
        <v>1210</v>
      </c>
      <c r="C44" s="9">
        <f>September!C44+B44</f>
        <v>8649</v>
      </c>
      <c r="D44" s="15"/>
      <c r="E44" s="9">
        <f>September!E44+D44</f>
        <v>16</v>
      </c>
      <c r="F44" s="17"/>
      <c r="G44" s="9">
        <f>September!G44+F44</f>
        <v>79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>
        <f>130+21+72+125+118+136+60+72+445+195+113+85+29+51+121+62+14+202+138+65+248+144+43+48+66+93+32+130+97+112+74+37+129+127+66+35+122+12+38+9+37+137+117+160+275+95+52+130+37+24+21+61+325+120+125+130+111+123+24+87+114+23+123+66+158+57+49+72+38+12+39+65+22+120+50+19+116+26+55+19+18+83+287+33+233+3+170+57+30+138+95+107+101+649+60+57+305+71+279+28+230+72+124+41+380+70+86+254+8+63+127+64+70+62+32+106+106+110+18+228+91+74+41+44+109+78+70+133+61+117+101+161+103+64+50+112+73+134+36+85+99+55+107+65+67+54+96+98+136+150+65+122+157+51+233+115+114+102+106+99+248+408+273+237+326+91+25+54+87+53+31+104+114+114+232+140+203+208+184+21+67+119+307+58+115+204+165+287+36+232+465+10+11+7+32+36+50+45+3+4+25+111+134+149+90+49+235+57+194+227+124+139+463+104+416+771+396+252+196+324+393+189+163+536+255+157+95+2700+534+48+90+65+81+87+42+47+270+390+60+8+18+35+284+230+174+93+210+202+61+88+59+183+180+84+63+172+98+109+36+101+266+121+122+116+63+216+93+114+52+17+214+76+555+78+115+54+366+89+12+4+1341+108+88+339+12+10+12+119+86+41+87+32+129+31+83+5+8+34+88+33+25+103+26+21+54+18+18+72+37+42+19+57+20+40+19+21+111+89+13+22+38+26+91+9+18+12+38+70+88+43+236+16+16+9+38+63+20+23+47+64+14+24+13+22+10+270+48+208+61+62+145+180+40+219+67+38+128+121+69+75+320+115+105+98+138+125+177+127+124+129+57+131+190+61+25+55+80+404+106+90+63+106+194+87+125+86+97+24+3+9+31+26+24+98+267+87+342+97+85+138+116+119+80+154+94+303+137+246+35+240+55+2+32+436+15+215+332+202+94+104+102+160+205+141+229+28+200+123+114+12+85+63+82+57+90+125+184+67+18+180+53+2600+110+18+1</f>
        <v>56524</v>
      </c>
      <c r="C45" s="9">
        <f>September!C45+B45</f>
        <v>330078</v>
      </c>
      <c r="D45" s="15">
        <f>66+103+142+37+88+32+44+46+29+43+46+43+15+1+19+11+25+12+5+6</f>
        <v>813</v>
      </c>
      <c r="E45" s="9">
        <f>September!E45+D45</f>
        <v>6051</v>
      </c>
      <c r="F45" s="17"/>
      <c r="G45" s="9">
        <f>September!G45+F45</f>
        <v>196</v>
      </c>
      <c r="H45" s="19">
        <f>13+30</f>
        <v>43</v>
      </c>
      <c r="I45" s="9">
        <f>September!I45+H45</f>
        <v>43</v>
      </c>
    </row>
    <row r="46" spans="1:9" s="5" customFormat="1" ht="18" customHeight="1">
      <c r="A46" s="9" t="s">
        <v>48</v>
      </c>
      <c r="B46" s="13">
        <f>69+79+85+85+64+129+67+57+80+155+26+26+57+58+90+75+80+70+72+158+80+90+60+40+72+90+59</f>
        <v>2073</v>
      </c>
      <c r="C46" s="9">
        <f>September!C46+B46</f>
        <v>18991</v>
      </c>
      <c r="D46" s="15">
        <f>1</f>
        <v>1</v>
      </c>
      <c r="E46" s="9">
        <f>September!E46+D46</f>
        <v>19</v>
      </c>
      <c r="F46" s="17"/>
      <c r="G46" s="9">
        <f>September!G46+F46</f>
        <v>18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>
        <f>90+92+115+115</f>
        <v>412</v>
      </c>
      <c r="C47" s="9">
        <f>September!C47+B47</f>
        <v>9289</v>
      </c>
      <c r="D47" s="15">
        <f>28+106+16+3</f>
        <v>153</v>
      </c>
      <c r="E47" s="9">
        <f>September!E47+D47</f>
        <v>3411</v>
      </c>
      <c r="F47" s="17"/>
      <c r="G47" s="9">
        <f>September!G47+F47</f>
        <v>1036</v>
      </c>
      <c r="H47" s="19"/>
      <c r="I47" s="9">
        <f>September!I47+H47</f>
        <v>0</v>
      </c>
    </row>
    <row r="48" spans="1:9" s="5" customFormat="1" ht="18" customHeight="1">
      <c r="A48" s="9" t="s">
        <v>50</v>
      </c>
      <c r="B48" s="13">
        <f>75+60+180</f>
        <v>315</v>
      </c>
      <c r="C48" s="9">
        <f>September!C48+B48</f>
        <v>630</v>
      </c>
      <c r="D48" s="15"/>
      <c r="E48" s="9">
        <f>September!E48+D48</f>
        <v>275</v>
      </c>
      <c r="F48" s="17"/>
      <c r="G48" s="9">
        <f>September!G48+F48</f>
        <v>2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2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>
        <f>60+65+55+56+120+131+65+330+62+75+132+137+180+44+14+129+105+175+270+34+56+8+43+15+66+240+275+190+80+232+140+166+60+63+66+230+56+54+1009</f>
        <v>5288</v>
      </c>
      <c r="C50" s="9">
        <f>September!C50+B50</f>
        <v>29331</v>
      </c>
      <c r="D50" s="15"/>
      <c r="E50" s="9">
        <f>September!E50+D50</f>
        <v>4</v>
      </c>
      <c r="F50" s="17"/>
      <c r="G50" s="9">
        <f>September!G50+F50</f>
        <v>1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1</v>
      </c>
      <c r="D51" s="15"/>
      <c r="E51" s="9">
        <f>September!E51+D51</f>
        <v>117</v>
      </c>
      <c r="F51" s="17"/>
      <c r="G51" s="9">
        <f>September!G51+F51</f>
        <v>100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>
        <f>79+116+80+80+80+80+77+77+87+79+87+89+96+75+1+2+107+6+7+4+62+55+60+82+62+62+61+64+80+59+75+63</f>
        <v>2094</v>
      </c>
      <c r="C52" s="9">
        <f>September!C52+B52</f>
        <v>6220</v>
      </c>
      <c r="D52" s="15"/>
      <c r="E52" s="9">
        <f>September!E52+D52</f>
        <v>117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>
        <f>120+27+288+53+11+12+68+176+113+23+72+59+220+23+15+29+202+19+19+14+40+127+60+40+30+40+13+1+14+160+25+19+5+1+67+78+25+118+19+43+188+131+144+3+13+22+80+173+52+3+112+142+39+29+36+17+22+17+31+23+44+9+22+51+59+30+40+23+9+348+160+120+127+7+584+46+13+9+6+4+12+117+50+48+29+695</f>
        <v>6427</v>
      </c>
      <c r="C53" s="9">
        <f>September!C53+B53</f>
        <v>43638</v>
      </c>
      <c r="D53" s="15">
        <f>3+1+1+3+1+4+7+9+4+3+13+12+23+22+62+3+16</f>
        <v>187</v>
      </c>
      <c r="E53" s="9">
        <f>September!E53+D53</f>
        <v>2109</v>
      </c>
      <c r="F53" s="17">
        <f>1+37+22+35+8+9+36+17+40+39+38+5+79+15+20+16+148+21+22+240</f>
        <v>848</v>
      </c>
      <c r="G53" s="9">
        <f>September!G53+F53</f>
        <v>8336</v>
      </c>
      <c r="H53" s="19"/>
      <c r="I53" s="9">
        <f>September!I53+H53</f>
        <v>37</v>
      </c>
    </row>
    <row r="54" spans="1:9" s="5" customFormat="1" ht="18" customHeight="1" thickBot="1">
      <c r="A54" s="10" t="s">
        <v>56</v>
      </c>
      <c r="B54" s="13">
        <f>124+49+4+60+254+346+269+70+100+351+125+65+115+120+49+89+34+99+90+5+207+202+142+83+174+91+96+39+8+52+224+199+116+94+93+95+361+260+23+65+115+23</f>
        <v>5180</v>
      </c>
      <c r="C54" s="9">
        <f>September!C54+B54</f>
        <v>21955</v>
      </c>
      <c r="D54" s="16">
        <f>4+80+41+148+34</f>
        <v>307</v>
      </c>
      <c r="E54" s="9">
        <f>September!E54+D54</f>
        <v>2501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212169</v>
      </c>
      <c r="C55" s="11"/>
      <c r="D55" s="11">
        <f>SUM(D5:D54)</f>
        <v>8146</v>
      </c>
      <c r="E55" s="11"/>
      <c r="F55" s="11">
        <f>SUM(F5:F54)</f>
        <v>2409</v>
      </c>
      <c r="G55" s="11"/>
      <c r="H55" s="11">
        <f>SUM(H5:H54)</f>
        <v>147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1064024</v>
      </c>
      <c r="D57" s="11"/>
      <c r="E57" s="11">
        <f>September!E57+D55</f>
        <v>56943</v>
      </c>
      <c r="F57" s="11"/>
      <c r="G57" s="11">
        <f>September!G57+F55</f>
        <v>31486</v>
      </c>
      <c r="H57" s="11"/>
      <c r="I57" s="11">
        <f>September!I57+H55</f>
        <v>624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25475</v>
      </c>
      <c r="G62" s="4">
        <f>September!G62+F60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68+70+70+75+75+70</f>
        <v>428</v>
      </c>
      <c r="C5" s="9">
        <f>October!C5+B5</f>
        <v>1075</v>
      </c>
      <c r="D5" s="15">
        <f>5</f>
        <v>5</v>
      </c>
      <c r="E5" s="9">
        <f>October!E5+D5</f>
        <v>19</v>
      </c>
      <c r="F5" s="17"/>
      <c r="G5" s="9">
        <f>October!G5+F5</f>
        <v>434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407</v>
      </c>
      <c r="D7" s="15"/>
      <c r="E7" s="9">
        <f>October!E7+D7</f>
        <v>0</v>
      </c>
      <c r="F7" s="17"/>
      <c r="G7" s="9">
        <f>October!G7+F7</f>
        <v>700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>
        <f>60+70</f>
        <v>130</v>
      </c>
      <c r="C8" s="9">
        <f>October!C8+B8</f>
        <v>6041</v>
      </c>
      <c r="D8" s="15">
        <f>1+1</f>
        <v>2</v>
      </c>
      <c r="E8" s="9">
        <f>October!E8+D8</f>
        <v>107</v>
      </c>
      <c r="F8" s="17"/>
      <c r="G8" s="9">
        <f>October!G8+F8</f>
        <v>131</v>
      </c>
      <c r="H8" s="19"/>
      <c r="I8" s="9">
        <f>October!I8+H8</f>
        <v>0</v>
      </c>
    </row>
    <row r="9" spans="1:9" s="5" customFormat="1" ht="18" customHeight="1">
      <c r="A9" s="9" t="s">
        <v>11</v>
      </c>
      <c r="B9" s="13"/>
      <c r="C9" s="9">
        <f>October!C9+B9</f>
        <v>1439</v>
      </c>
      <c r="D9" s="15">
        <f>2+81</f>
        <v>83</v>
      </c>
      <c r="E9" s="9">
        <f>October!E9+D9</f>
        <v>209</v>
      </c>
      <c r="F9" s="17">
        <f>208</f>
        <v>208</v>
      </c>
      <c r="G9" s="9">
        <f>October!G9+F9</f>
        <v>4051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>
        <v>336</v>
      </c>
      <c r="C10" s="9">
        <f>October!C10+B10</f>
        <v>3373</v>
      </c>
      <c r="D10" s="15">
        <v>21</v>
      </c>
      <c r="E10" s="9">
        <f>October!E10+D10</f>
        <v>155</v>
      </c>
      <c r="F10" s="17"/>
      <c r="G10" s="9">
        <f>October!G10+F10</f>
        <v>23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>
        <f>57+80+95+90+25+31+420+56+21+88</f>
        <v>963</v>
      </c>
      <c r="C11" s="9">
        <f>October!C11+B11</f>
        <v>7676</v>
      </c>
      <c r="D11" s="15">
        <f>77+5+2+3+57+4+93+3+72+148+10+15+16+7+15+1+10+30+187+42+32+16+43+95+15</f>
        <v>998</v>
      </c>
      <c r="E11" s="9">
        <f>October!E11+D11</f>
        <v>2391</v>
      </c>
      <c r="F11" s="17"/>
      <c r="G11" s="9">
        <f>October!G11+F11</f>
        <v>369</v>
      </c>
      <c r="H11" s="19"/>
      <c r="I11" s="9">
        <f>October!I11+H11</f>
        <v>166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1006</v>
      </c>
      <c r="D14" s="15"/>
      <c r="E14" s="9">
        <f>October!E14+D14</f>
        <v>124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>
        <f>70+83+78+80+136+73+72+65+64+63+66+160</f>
        <v>1010</v>
      </c>
      <c r="C15" s="9">
        <f>October!C15+B15</f>
        <v>3828</v>
      </c>
      <c r="D15" s="15">
        <f>2+1</f>
        <v>3</v>
      </c>
      <c r="E15" s="9">
        <f>October!E15+D15</f>
        <v>22</v>
      </c>
      <c r="F15" s="17"/>
      <c r="G15" s="9">
        <f>October!G15+F15</f>
        <v>284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>
        <f>68+35+70+206</f>
        <v>379</v>
      </c>
      <c r="C17" s="9">
        <f>October!C17+B17</f>
        <v>2662</v>
      </c>
      <c r="D17" s="15">
        <f>26+54+2+1+156+46+46+143</f>
        <v>474</v>
      </c>
      <c r="E17" s="9">
        <f>October!E17+D17</f>
        <v>935</v>
      </c>
      <c r="F17" s="17">
        <f>297</f>
        <v>297</v>
      </c>
      <c r="G17" s="9">
        <f>October!G17+F17</f>
        <v>504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>
        <f>85+72+75+106+50+59+73</f>
        <v>520</v>
      </c>
      <c r="C18" s="9">
        <f>October!C18+B18</f>
        <v>4923</v>
      </c>
      <c r="D18" s="15">
        <f>1+1+3+4+3+6</f>
        <v>18</v>
      </c>
      <c r="E18" s="9">
        <f>October!E18+D18</f>
        <v>1057</v>
      </c>
      <c r="F18" s="17">
        <f>7</f>
        <v>7</v>
      </c>
      <c r="G18" s="9">
        <f>October!G18+F18</f>
        <v>285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>
        <f>16+62+80+100+104+155+50+100+15+40+68+1860</f>
        <v>2650</v>
      </c>
      <c r="C19" s="9">
        <f>October!C19+B19</f>
        <v>17673</v>
      </c>
      <c r="D19" s="15">
        <f>150+80+4+1+5+2</f>
        <v>242</v>
      </c>
      <c r="E19" s="9">
        <f>October!E19+D19</f>
        <v>1088</v>
      </c>
      <c r="F19" s="17">
        <v>248</v>
      </c>
      <c r="G19" s="9">
        <f>October!G19+F19</f>
        <v>1990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>
        <f>133+47+124+64+45+63+195+66+82+138</f>
        <v>957</v>
      </c>
      <c r="C20" s="9">
        <f>October!C20+B20</f>
        <v>26481</v>
      </c>
      <c r="D20" s="15">
        <f>27+27+27+1+1+3+4</f>
        <v>90</v>
      </c>
      <c r="E20" s="9">
        <f>October!E20+D20</f>
        <v>1662</v>
      </c>
      <c r="F20" s="17">
        <f>38+78+115+37</f>
        <v>268</v>
      </c>
      <c r="G20" s="9">
        <f>October!G20+F20</f>
        <v>1089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>
        <f>71+68+73+78+57+126+62+62+268+26+94+55+120+83+85+65+67+55+57+182+365+54+210+65+191+55+124+256+57+109+180+50+90+75+68+139+122+162+84+115+72+73+66+150+63+60+60+80+78+81+67+87+81+121+63+205+314+288+67+120+84+73+195+58+75+98+67+131+130+54+63+89+71+91+88+102+120+61+156+84+174+60+89+108+102+130+64+54+84+80+54+110+113+105+66+54+56+80+66+120+66+124+69+56+130+125+90</f>
        <v>10840</v>
      </c>
      <c r="C21" s="9">
        <f>October!C21+B21</f>
        <v>119735</v>
      </c>
      <c r="D21" s="15">
        <f>3+4</f>
        <v>7</v>
      </c>
      <c r="E21" s="9">
        <f>October!E21+D21</f>
        <v>172</v>
      </c>
      <c r="F21" s="17"/>
      <c r="G21" s="9">
        <f>October!G21+F21</f>
        <v>11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18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2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>
        <f>2</f>
        <v>2</v>
      </c>
      <c r="E24" s="9">
        <f>October!E24+D24</f>
        <v>11</v>
      </c>
      <c r="F24" s="17"/>
      <c r="G24" s="9">
        <f>October!G24+F24</f>
        <v>11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3607</v>
      </c>
      <c r="D26" s="15">
        <f>129+1</f>
        <v>130</v>
      </c>
      <c r="E26" s="9">
        <f>October!E26+D26</f>
        <v>172</v>
      </c>
      <c r="F26" s="17"/>
      <c r="G26" s="9">
        <f>October!G26+F26</f>
        <v>141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>
        <f>4+6+210+117+195+78+134+202+143+80+75+157+57+34+6+33+31+198+56+52+65+103+43+103+12+70+30+31+22+82+33+5+16+27+43+96+97+89+95+14+95+18+58+37+33+8+58+38+37+39+4+35+14+11+7+2+11+25+7+42+8+445+293+103+115+17+36+46+27+34+16+11+13+50+14+51+26+55+11+10+32+15+105</f>
        <v>5056</v>
      </c>
      <c r="C27" s="9">
        <f>October!C27+B27</f>
        <v>43727</v>
      </c>
      <c r="D27" s="15">
        <f>5+18+38+32+33+40+86+19+9+9+8+5+4+1</f>
        <v>307</v>
      </c>
      <c r="E27" s="9">
        <f>October!E27+D27</f>
        <v>2662</v>
      </c>
      <c r="F27" s="17">
        <f>9+9+14+15+42+156+3+5+12+26+35+1+151</f>
        <v>478</v>
      </c>
      <c r="G27" s="9">
        <f>October!G27+F27</f>
        <v>6322</v>
      </c>
      <c r="H27" s="19"/>
      <c r="I27" s="9">
        <f>October!I27+H27</f>
        <v>46</v>
      </c>
    </row>
    <row r="28" spans="1:9" s="5" customFormat="1" ht="18" customHeight="1">
      <c r="A28" s="9" t="s">
        <v>30</v>
      </c>
      <c r="B28" s="13"/>
      <c r="C28" s="9">
        <f>October!C28+B28</f>
        <v>1411</v>
      </c>
      <c r="D28" s="15">
        <f>1</f>
        <v>1</v>
      </c>
      <c r="E28" s="9">
        <f>October!E28+D28</f>
        <v>16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>
        <f>5+72+120+84+85+60+75+87+73+20+20+65+68+65+53+52+25+84+20+120+61+29+68+72+69+36+56+35+140+56+14+55+249+155+121+79+25+19+106+272+14+52+124+100+65+74+70+65+67+77+70+67+85+128+96+83+64+70+70+13+53+154+16+91+61+214+60+70+69+90+85+64+222+138+97+87+121+53+80+69+24+39+88+27+93+78+60+43+82+16+36+37+68+120+120+60+50+6+89+11+87+76+64+18+51+77+68+76+98+77+85+84</f>
        <v>8326</v>
      </c>
      <c r="C29" s="9">
        <f>October!C29+B29</f>
        <v>122434</v>
      </c>
      <c r="D29" s="15">
        <f>2+1+2+1+9+1+1+3+2+6+14+2+26+1+2+4+2+11+8+2+7+21+10</f>
        <v>138</v>
      </c>
      <c r="E29" s="9">
        <f>October!E29+D29</f>
        <v>3376</v>
      </c>
      <c r="F29" s="17">
        <f>47+15</f>
        <v>62</v>
      </c>
      <c r="G29" s="9">
        <f>October!G29+F29</f>
        <v>610</v>
      </c>
      <c r="H29" s="19"/>
      <c r="I29" s="9">
        <f>October!I29+H29</f>
        <v>193</v>
      </c>
    </row>
    <row r="30" spans="1:9" s="5" customFormat="1" ht="18" customHeight="1">
      <c r="A30" s="9" t="s">
        <v>32</v>
      </c>
      <c r="B30" s="13">
        <f>1857+320+99+185+116+101+210+255+315+140+70+170+315+43+98+198+83+96+222+70+410+89+95+160+79+520+86+87+136+19+305+102+137+13+25+32+113+19+48+62+87+320+40+80+96+113+128+60+125+94+80+75+150+50+110+76+19+11+34+53+530+269+72+300+300+390+110+430+230+146+115+40+106+190+82+92+40+83+49+41+285+250+180+75+95+270+330+161+90+190+95+85+95+191+102+98+68+180+20+180+70+290+95+104+14+178+101+20+35+15+30+142+232+120+130+139+76+128+105+110+124+203+110+133+107+106+133+93+99+250+101+498+90+187+105+95+64+80+488</f>
        <v>21156</v>
      </c>
      <c r="C30" s="9">
        <f>October!C30+B30</f>
        <v>122616</v>
      </c>
      <c r="D30" s="15">
        <f>3+11+66+53+102+23+50+55+88+65+110+55+41+61+1+6+45+101+25+213+97+23+35+2+111+106+100+62+24+42</f>
        <v>1776</v>
      </c>
      <c r="E30" s="9">
        <f>October!E30+D30</f>
        <v>7947</v>
      </c>
      <c r="F30" s="17"/>
      <c r="G30" s="9">
        <f>October!G30+F30</f>
        <v>72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>
        <f>64+90+59+11+20+37+97+190+23+22+48+425+95+210+320+250+150+70+167+160+115+236+119+65+160+450+98+111+405+95+160+180+300+197+196+100+142+171+195+160+14+208+208+96+96+90+560+110+115+110+88+130+3914+112+250+26+165+210+168+100+550+124+30+56+83+56+97+530+260+210+115+85+350+258+75+352+72+104+115+210+124+140+106+170+15+41+36+11+63+39+71+75+47+96+105+210+95+90+163+214+112+492+492+492+81+195+195+260+102+269+85+118+79+158+99+81+250+92+77+210+99+8+53+108+85+12+14+221+188+104+31+120+11+66+21+17+186+26+20+340+392+110+96+110+310+198+289+148+545+451+235+295+293+114+16+275+450+113+66+85+31+150+87+530+430+325+230+102+6+69+195+180+7+110+180+125+13+63+154+125+90+85+122+187+105+141+230+24+126+10+74+116+96+207+67+63+114+113+449+104+210+115+95+95+120+80+80+93+105+104+64+137+415+180+115+71+260+330+110+129+85+86+331+181+83+95+229+135+235+36+92+117+319+253+5899+203+27+75+288+120+130</f>
        <v>46398</v>
      </c>
      <c r="C31" s="9">
        <f>October!C31+B31</f>
        <v>111190</v>
      </c>
      <c r="D31" s="15">
        <f>8+3+1+3+3+92+93+29+96+88+13+57+8+11+28+46+36+43+42+51+80+80+6+57+73+48+53+18+24+50+49+52+53+1+1+47+2+35+6+7</f>
        <v>1493</v>
      </c>
      <c r="E31" s="9">
        <f>October!E31+D31</f>
        <v>21432</v>
      </c>
      <c r="F31" s="17">
        <v>108</v>
      </c>
      <c r="G31" s="9">
        <f>October!G31+F31</f>
        <v>3440</v>
      </c>
      <c r="H31" s="19"/>
      <c r="I31" s="9">
        <f>October!I31+H31</f>
        <v>100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>
        <f>1</f>
        <v>1</v>
      </c>
      <c r="E32" s="9">
        <f>October!E32+D32</f>
        <v>152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>
        <f>1</f>
        <v>1</v>
      </c>
      <c r="E33" s="9">
        <f>October!E33+D33</f>
        <v>1</v>
      </c>
      <c r="F33" s="17"/>
      <c r="G33" s="9">
        <f>October!G33+F33</f>
        <v>13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2553</v>
      </c>
      <c r="D35" s="15"/>
      <c r="E35" s="9">
        <f>October!E35+D35</f>
        <v>12</v>
      </c>
      <c r="F35" s="17"/>
      <c r="G35" s="9">
        <f>October!G35+F35</f>
        <v>137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>
        <f>29+10+10</f>
        <v>49</v>
      </c>
      <c r="C36" s="9">
        <f>October!C36+B36</f>
        <v>252</v>
      </c>
      <c r="D36" s="15">
        <f>10</f>
        <v>10</v>
      </c>
      <c r="E36" s="9">
        <f>October!E36+D36</f>
        <v>284</v>
      </c>
      <c r="F36" s="17">
        <f>10+85+38+1+1+37</f>
        <v>172</v>
      </c>
      <c r="G36" s="9">
        <f>October!G36+F36</f>
        <v>1547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1072</v>
      </c>
      <c r="D37" s="15">
        <f>1</f>
        <v>1</v>
      </c>
      <c r="E37" s="9">
        <f>October!E37+D37</f>
        <v>8</v>
      </c>
      <c r="F37" s="17"/>
      <c r="G37" s="9">
        <f>October!G37+F37</f>
        <v>18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>
        <f>105+115+110+560+93+98+97+95+100+351+58+192+22+9+105+62+257+204+55+56+99+86+74+67+58+272+95+341+109+110+328+90+115+105+175+129+61+104+90+90+64+95+99+97+419+209+111+121+86+85+101+106+210+105+109+66+65+90+98+231+84+215+102+440+106+65+38+30+45+119+129+101+113+127+110+124+110+118+34+90+126+108+113+203+123+177+189+42+30+80+98+85+12+77+109+141+106+158+437</f>
        <v>12623</v>
      </c>
      <c r="C38" s="9">
        <f>October!C38+B38</f>
        <v>69116</v>
      </c>
      <c r="D38" s="15">
        <f>106+46+28</f>
        <v>180</v>
      </c>
      <c r="E38" s="9">
        <f>October!E38+D38</f>
        <v>2437</v>
      </c>
      <c r="F38" s="17"/>
      <c r="G38" s="9">
        <f>October!G38+F38</f>
        <v>0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>
        <f>53+90+90+95+74+90</f>
        <v>492</v>
      </c>
      <c r="C39" s="9">
        <f>October!C39+B39</f>
        <v>15788</v>
      </c>
      <c r="D39" s="15">
        <f>3+1+1+2+1</f>
        <v>8</v>
      </c>
      <c r="E39" s="9">
        <f>October!E39+D39</f>
        <v>58</v>
      </c>
      <c r="F39" s="17">
        <f>88+88+10</f>
        <v>186</v>
      </c>
      <c r="G39" s="9">
        <f>October!G39+F39</f>
        <v>796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14610</v>
      </c>
      <c r="D40" s="15">
        <f>4</f>
        <v>4</v>
      </c>
      <c r="E40" s="9">
        <f>October!E40+D40</f>
        <v>1687</v>
      </c>
      <c r="F40" s="17"/>
      <c r="G40" s="9">
        <f>October!G40+F40</f>
        <v>6</v>
      </c>
      <c r="H40" s="19"/>
      <c r="I40" s="9">
        <f>October!I40+H40</f>
        <v>39</v>
      </c>
    </row>
    <row r="41" spans="1:9" s="5" customFormat="1" ht="18" customHeight="1">
      <c r="A41" s="9" t="s">
        <v>43</v>
      </c>
      <c r="B41" s="13">
        <f>500+224+170+118+49+67+55+520+81+53</f>
        <v>1837</v>
      </c>
      <c r="C41" s="9">
        <f>October!C41+B41</f>
        <v>3491</v>
      </c>
      <c r="D41" s="15">
        <f>2+40</f>
        <v>42</v>
      </c>
      <c r="E41" s="9">
        <f>October!E41+D41</f>
        <v>120</v>
      </c>
      <c r="F41" s="17">
        <f>12+288+146</f>
        <v>446</v>
      </c>
      <c r="G41" s="9">
        <f>October!G41+F41</f>
        <v>453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>
        <f>80+80+60+60+85+85+4+66</f>
        <v>520</v>
      </c>
      <c r="C42" s="9">
        <f>October!C42+B42</f>
        <v>1726</v>
      </c>
      <c r="D42" s="15">
        <f>1</f>
        <v>1</v>
      </c>
      <c r="E42" s="9">
        <f>October!E42+D42</f>
        <v>27</v>
      </c>
      <c r="F42" s="17">
        <f>30+30+10+1</f>
        <v>71</v>
      </c>
      <c r="G42" s="9">
        <f>October!G42+F42</f>
        <v>828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>
        <f>69+75+64+64+18+46+52+13+49+122+53</f>
        <v>625</v>
      </c>
      <c r="C44" s="9">
        <f>October!C44+B44</f>
        <v>9274</v>
      </c>
      <c r="D44" s="15">
        <f>5</f>
        <v>5</v>
      </c>
      <c r="E44" s="9">
        <f>October!E44+D44</f>
        <v>21</v>
      </c>
      <c r="F44" s="17"/>
      <c r="G44" s="9">
        <f>October!G44+F44</f>
        <v>79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>
        <f>121+157+115+91+200+133+86+114+118+179+180+115+83+115+80+45+110+65+90+90+15+121+27+157+115+91+200+133+86+114+118+179+180+115+83+115+45+80+110+65+90+90+86+104+120+113+219+196+340+104+93+111+639+211+122+115+111+96+83+196+222+15+26+100+106+93+107+180+67+66+42+112+73+47+119+272+119+79+77+24+90+79+574+105+131+124+136+95+119+134+49+102+167+102+109+101+101+92+125+239+240+409+101+73+544+18+55+200+108+160+38+46+26+12+115+466+122+123+190+188+113+94+115+104+80+28+94+105+359+120+86+15+101+172+308+265+1+119+88+80+85+107+102+38+43+51+61+17+77+101+97+468+12+130+211+222+54+116+33+55+246+26+17+70+84+63+122+260+96+200+180+325+13+122+206+99+494+66+99+94+120+327+127+363+104+214+184+125+60+238+209+88+81+83+50+105+97+53+189+200+95+60+15+98+121+147+97+30+41+226+96+114+433+64+456+13+199+509+124+90+210+77+162+166+117+58+61+220+300+26+58+97+175+95+54+107+56+58+17+62+114+207+97+107+199+112+124+62+112+201+186+32+43+32+89+80+42+116+114+63+130+55+221+49+25+59+4+38+65+65+9+16+75+225+320+83+115+97+121+175+128+138+22+382+130+229+123+92+90+116+66+101+410+87+157+22+11+154+199+269+115+110+90+67+19+237+456+46+39+8+9+43+34+41+104+335+185+96+96+112+130+53+54+19+29+118+65+16+7+67+25+56+109+111+143+43+203+221+98+36+128+14+124+130+112+105+181+127+116+68+38+12+32+16+43+28+15+114+57+36+8+15+17+6+17+106+28+22+55+96+51+35+56+66+28+69+65+110+218+220+99+226+72+83+120+104+88+30+79+220+199+90+347+37+62+16+18+62+8+58+229+119+197+147+25+157+207+107+490+33+121+210+104+98+116+109+110+104+36</f>
        <v>49630</v>
      </c>
      <c r="C45" s="9">
        <f>October!C45+B45</f>
        <v>379708</v>
      </c>
      <c r="D45" s="15">
        <f>5+15+1+3+360+13+20+33+40+48+37+39+42+42+42+41+42+2+44+3+1+1+15+45+30+40+2+1+179+96+40+42+2+1+15+2+15+30+47+28+22+15+15+18+15+8+22+43+70+53+49</f>
        <v>1834</v>
      </c>
      <c r="E45" s="9">
        <f>October!E45+D45</f>
        <v>7885</v>
      </c>
      <c r="F45" s="17">
        <f>1+1+2+3+11+1+8+8+15+15+15</f>
        <v>80</v>
      </c>
      <c r="G45" s="9">
        <f>October!G45+F45</f>
        <v>276</v>
      </c>
      <c r="H45" s="19"/>
      <c r="I45" s="9">
        <f>October!I45+H45</f>
        <v>43</v>
      </c>
    </row>
    <row r="46" spans="1:9" s="5" customFormat="1" ht="18" customHeight="1">
      <c r="A46" s="9" t="s">
        <v>48</v>
      </c>
      <c r="B46" s="13">
        <f>78+73+130+22+52+45+27+61+90+73+72+96+69+80+158+84+11+93+73+69</f>
        <v>1456</v>
      </c>
      <c r="C46" s="9">
        <f>October!C46+B46</f>
        <v>20447</v>
      </c>
      <c r="D46" s="15">
        <f>1</f>
        <v>1</v>
      </c>
      <c r="E46" s="9">
        <f>October!E46+D46</f>
        <v>20</v>
      </c>
      <c r="F46" s="17"/>
      <c r="G46" s="9">
        <f>October!G46+F46</f>
        <v>18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>
        <f>1+205+200+81+58+53+180+251</f>
        <v>1029</v>
      </c>
      <c r="C47" s="9">
        <f>October!C47+B47</f>
        <v>10318</v>
      </c>
      <c r="D47" s="15">
        <f>2+1+2+6</f>
        <v>11</v>
      </c>
      <c r="E47" s="9">
        <f>October!E47+D47</f>
        <v>3422</v>
      </c>
      <c r="F47" s="17">
        <v>5397</v>
      </c>
      <c r="G47" s="9">
        <f>October!G47+F47</f>
        <v>6433</v>
      </c>
      <c r="H47" s="19"/>
      <c r="I47" s="9">
        <f>October!I47+H47</f>
        <v>0</v>
      </c>
    </row>
    <row r="48" spans="1:9" s="5" customFormat="1" ht="18" customHeight="1">
      <c r="A48" s="9" t="s">
        <v>50</v>
      </c>
      <c r="B48" s="13">
        <f>105+395+33+33</f>
        <v>566</v>
      </c>
      <c r="C48" s="9">
        <f>October!C48+B48</f>
        <v>1196</v>
      </c>
      <c r="D48" s="15">
        <f>1</f>
        <v>1</v>
      </c>
      <c r="E48" s="9">
        <f>October!E48+D48</f>
        <v>276</v>
      </c>
      <c r="F48" s="17"/>
      <c r="G48" s="9">
        <f>October!G48+F48</f>
        <v>2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2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>
        <f>66+67+124+62+168+59+120+66+63+231+240+112+124+69+73+61</f>
        <v>1705</v>
      </c>
      <c r="C50" s="9">
        <f>October!C50+B50</f>
        <v>31036</v>
      </c>
      <c r="D50" s="15"/>
      <c r="E50" s="9">
        <f>October!E50+D50</f>
        <v>4</v>
      </c>
      <c r="F50" s="17"/>
      <c r="G50" s="9">
        <f>October!G50+F50</f>
        <v>1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1</v>
      </c>
      <c r="D51" s="15"/>
      <c r="E51" s="9">
        <f>October!E51+D51</f>
        <v>117</v>
      </c>
      <c r="F51" s="17"/>
      <c r="G51" s="9">
        <f>October!G51+F51</f>
        <v>100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>
        <f>39+34+78+36+29+42+17</f>
        <v>275</v>
      </c>
      <c r="C52" s="9">
        <f>October!C52+B52</f>
        <v>6495</v>
      </c>
      <c r="D52" s="15">
        <f>1</f>
        <v>1</v>
      </c>
      <c r="E52" s="9">
        <f>October!E52+D52</f>
        <v>118</v>
      </c>
      <c r="F52" s="17"/>
      <c r="G52" s="9">
        <f>October!G52+F52</f>
        <v>0</v>
      </c>
      <c r="H52" s="19">
        <f>86</f>
        <v>86</v>
      </c>
      <c r="I52" s="9">
        <f>October!I52+H52</f>
        <v>86</v>
      </c>
    </row>
    <row r="53" spans="1:9" s="5" customFormat="1" ht="18" customHeight="1">
      <c r="A53" s="9" t="s">
        <v>55</v>
      </c>
      <c r="B53" s="13">
        <f>160+2+111+204+74+50+30+40+220+158+94+30+158+53+136+91+146+4+38+22+73+72+113+53+160+35+36+69+58+20+145+16+17+21+42+24+21+16+122+15+50+72+19+30+125+100+11+11+162+120+2+55+161+13+58+86+23+11+87+19+22+34+38+9+59+12+24+130+72+118+54+26+51+155+9+132+705+170+110+57+54+4+41+841</f>
        <v>7091</v>
      </c>
      <c r="C53" s="9">
        <f>October!C53+B53</f>
        <v>50729</v>
      </c>
      <c r="D53" s="15">
        <f>5+4+3+28+1+8+9+8+12+6+3+36+20+10+60+28+12</f>
        <v>253</v>
      </c>
      <c r="E53" s="9">
        <f>October!E53+D53</f>
        <v>2362</v>
      </c>
      <c r="F53" s="17">
        <f>9+12+129+10+31+38+11+10+39+7+82+44+16+5+6+17+39+39+4+4+240</f>
        <v>792</v>
      </c>
      <c r="G53" s="9">
        <f>October!G53+F53</f>
        <v>9128</v>
      </c>
      <c r="H53" s="19"/>
      <c r="I53" s="9">
        <f>October!I53+H53</f>
        <v>37</v>
      </c>
    </row>
    <row r="54" spans="1:9" s="5" customFormat="1" ht="18" customHeight="1" thickBot="1">
      <c r="A54" s="10" t="s">
        <v>56</v>
      </c>
      <c r="B54" s="13">
        <f>14+140+51+170+26+85+104+105+95+153+18+2+90+10+290+76+45+16+160+42+10+34+57+193+121+106+70+140+20+54+260+15+12+102+248+2+100+100+770+42+110+174+370+95+105+213+21+211+22+33+12+118+52+32+90+181+73+95+54+62+52+500+135+138+248+3+28+247+114+117+227+102+84+106+310+200</f>
        <v>8882</v>
      </c>
      <c r="C54" s="9">
        <f>October!C54+B54</f>
        <v>30837</v>
      </c>
      <c r="D54" s="16">
        <f>92+106+129+1+105+266+49+41+92+90+71+7+9+118+125+53+124+120+26+27+101+116+3+96+154+51+49+43+104+52+72+129+43+8+51</f>
        <v>2723</v>
      </c>
      <c r="E54" s="9">
        <f>October!E54+D54</f>
        <v>5224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185929</v>
      </c>
      <c r="C55" s="11"/>
      <c r="D55" s="11">
        <f>SUM(D5:D54)</f>
        <v>10867</v>
      </c>
      <c r="E55" s="11"/>
      <c r="F55" s="11">
        <f>SUM(F5:F54)</f>
        <v>8820</v>
      </c>
      <c r="G55" s="11"/>
      <c r="H55" s="11">
        <f>SUM(H5:H54)</f>
        <v>86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1249953</v>
      </c>
      <c r="D57" s="11"/>
      <c r="E57" s="11">
        <f>October!E57+D55</f>
        <v>67810</v>
      </c>
      <c r="F57" s="11"/>
      <c r="G57" s="11">
        <f>October!G57+F55</f>
        <v>40306</v>
      </c>
      <c r="H57" s="11"/>
      <c r="I57" s="11">
        <f>October!I57+H55</f>
        <v>710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25475</v>
      </c>
      <c r="G62" s="4">
        <f>October!G62+F60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145</f>
        <v>145</v>
      </c>
      <c r="C5" s="9">
        <f>November!C5+B5</f>
        <v>1220</v>
      </c>
      <c r="D5" s="15"/>
      <c r="E5" s="9">
        <f>November!E5+D5</f>
        <v>19</v>
      </c>
      <c r="F5" s="17"/>
      <c r="G5" s="9">
        <f>November!G5+F5</f>
        <v>434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407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>
        <f>45+40+177+23+62</f>
        <v>347</v>
      </c>
      <c r="C8" s="9">
        <f>November!C8+B8</f>
        <v>6388</v>
      </c>
      <c r="D8" s="15"/>
      <c r="E8" s="9">
        <f>November!E8+D8</f>
        <v>107</v>
      </c>
      <c r="F8" s="17"/>
      <c r="G8" s="9">
        <f>November!G8+F8</f>
        <v>131</v>
      </c>
      <c r="H8" s="19"/>
      <c r="I8" s="9">
        <f>November!I8+H8</f>
        <v>0</v>
      </c>
    </row>
    <row r="9" spans="1:9" s="5" customFormat="1" ht="18" customHeight="1">
      <c r="A9" s="9" t="s">
        <v>11</v>
      </c>
      <c r="B9" s="13">
        <v>127</v>
      </c>
      <c r="C9" s="9">
        <f>November!C9+B9</f>
        <v>1566</v>
      </c>
      <c r="D9" s="15">
        <f>2+1+2</f>
        <v>5</v>
      </c>
      <c r="E9" s="9">
        <f>November!E9+D9</f>
        <v>214</v>
      </c>
      <c r="F9" s="17">
        <f>234+208+41</f>
        <v>483</v>
      </c>
      <c r="G9" s="9">
        <f>November!G9+F9</f>
        <v>4534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3373</v>
      </c>
      <c r="D10" s="15">
        <v>1</v>
      </c>
      <c r="E10" s="9">
        <f>November!E10+D10</f>
        <v>156</v>
      </c>
      <c r="F10" s="17"/>
      <c r="G10" s="9">
        <f>November!G10+F10</f>
        <v>23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>
        <f>200+9+21+31+90+85+89+87+190+1+100</f>
        <v>903</v>
      </c>
      <c r="C11" s="9">
        <f>November!C11+B11</f>
        <v>8579</v>
      </c>
      <c r="D11" s="15">
        <f>17+6+45+325+44+2</f>
        <v>439</v>
      </c>
      <c r="E11" s="9">
        <f>November!E11+D11</f>
        <v>2830</v>
      </c>
      <c r="F11" s="17"/>
      <c r="G11" s="9">
        <f>November!G11+F11</f>
        <v>369</v>
      </c>
      <c r="H11" s="19"/>
      <c r="I11" s="9">
        <f>November!I11+H11</f>
        <v>166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1006</v>
      </c>
      <c r="D14" s="15"/>
      <c r="E14" s="9">
        <f>November!E14+D14</f>
        <v>124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>
        <f>80+68+74+72</f>
        <v>294</v>
      </c>
      <c r="C15" s="9">
        <f>November!C15+B15</f>
        <v>4122</v>
      </c>
      <c r="D15" s="15"/>
      <c r="E15" s="9">
        <f>November!E15+D15</f>
        <v>22</v>
      </c>
      <c r="F15" s="17"/>
      <c r="G15" s="9">
        <f>November!G15+F15</f>
        <v>284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>
        <f>105+114+228</f>
        <v>447</v>
      </c>
      <c r="C17" s="9">
        <f>November!C17+B17</f>
        <v>3109</v>
      </c>
      <c r="D17" s="15">
        <f>146+60+101+16+30</f>
        <v>353</v>
      </c>
      <c r="E17" s="9">
        <f>November!E17+D17</f>
        <v>1288</v>
      </c>
      <c r="F17" s="17"/>
      <c r="G17" s="9">
        <f>November!G17+F17</f>
        <v>504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>
        <f>67+12+17+30+48+63+35+22+6+75+80+63</f>
        <v>518</v>
      </c>
      <c r="C18" s="9">
        <f>November!C18+B18</f>
        <v>5441</v>
      </c>
      <c r="D18" s="15">
        <f>11+18+38+148+134+5+40</f>
        <v>394</v>
      </c>
      <c r="E18" s="9">
        <f>November!E18+D18</f>
        <v>1451</v>
      </c>
      <c r="F18" s="17"/>
      <c r="G18" s="9">
        <f>November!G18+F18</f>
        <v>285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>
        <f>28+35+2+137+144+145+811</f>
        <v>1302</v>
      </c>
      <c r="C19" s="9">
        <f>November!C19+B19</f>
        <v>18975</v>
      </c>
      <c r="D19" s="15"/>
      <c r="E19" s="9">
        <f>November!E19+D19</f>
        <v>1088</v>
      </c>
      <c r="F19" s="17">
        <f>150+150+122</f>
        <v>422</v>
      </c>
      <c r="G19" s="9">
        <f>November!G19+F19</f>
        <v>2412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>
        <f>112+96+180+12+119+74+240+127+76+31</f>
        <v>1067</v>
      </c>
      <c r="C20" s="9">
        <f>November!C20+B20</f>
        <v>27548</v>
      </c>
      <c r="D20" s="15">
        <f>1+1+19+14+2+6+36+31+31+9</f>
        <v>150</v>
      </c>
      <c r="E20" s="9">
        <f>November!E20+D20</f>
        <v>1812</v>
      </c>
      <c r="F20" s="17"/>
      <c r="G20" s="9">
        <f>November!G20+F20</f>
        <v>1089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>
        <f>93+79+84+79+65+127+60+59+78+119+54+81+136+89+85+71+87+88+15+61+137+85+120+122+70+49+242+70+260+132+180+193+125+151+250+190+140+194+325+60+70+330+58+240+84+58+306+203+69+69+71+194+118</f>
        <v>6575</v>
      </c>
      <c r="C21" s="9">
        <f>November!C21+B21</f>
        <v>126310</v>
      </c>
      <c r="D21" s="15">
        <f>1+2+10+5+1+6</f>
        <v>25</v>
      </c>
      <c r="E21" s="9">
        <f>November!E21+D21</f>
        <v>197</v>
      </c>
      <c r="F21" s="17">
        <f>69+1</f>
        <v>70</v>
      </c>
      <c r="G21" s="9">
        <f>November!G21+F21</f>
        <v>81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18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2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11</v>
      </c>
      <c r="F24" s="17"/>
      <c r="G24" s="9">
        <f>November!G24+F24</f>
        <v>11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>
        <f>135+135+102+102</f>
        <v>474</v>
      </c>
      <c r="C26" s="9">
        <f>November!C26+B26</f>
        <v>4081</v>
      </c>
      <c r="D26" s="15">
        <f>1+1+30+14</f>
        <v>46</v>
      </c>
      <c r="E26" s="9">
        <f>November!E26+D26</f>
        <v>218</v>
      </c>
      <c r="F26" s="17">
        <f>19+50+14+20</f>
        <v>103</v>
      </c>
      <c r="G26" s="9">
        <f>November!G26+F26</f>
        <v>244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>
        <f>23+39+22+49+7+49+13+44+11+89+86+124+77+153+110+41+43+37+25+56+19+34+29+8+20+17+111+7+26+11+22+74+15+4+3+2+11+8+20+19+7+14+10+3+49+200+110+47+43+31+275+72+85+9+73+58+4+16+42+235</f>
        <v>2941</v>
      </c>
      <c r="C27" s="9">
        <f>November!C27+B27</f>
        <v>46668</v>
      </c>
      <c r="D27" s="15">
        <f>27+27+26+26+6+11+13+8+4+7+25+11+84+25+5+147+25+20+40+32+7+12+7+3+3+3+5+3+6+7+7+6+3+23</f>
        <v>664</v>
      </c>
      <c r="E27" s="9">
        <f>November!E27+D27</f>
        <v>3326</v>
      </c>
      <c r="F27" s="17">
        <f>42+9+38+14+23+7+12+21+12+48+40+40+11+140</f>
        <v>457</v>
      </c>
      <c r="G27" s="9">
        <f>November!G27+F27</f>
        <v>6779</v>
      </c>
      <c r="H27" s="19">
        <f>49</f>
        <v>49</v>
      </c>
      <c r="I27" s="9">
        <f>November!I27+H27</f>
        <v>95</v>
      </c>
    </row>
    <row r="28" spans="1:9" s="5" customFormat="1" ht="18" customHeight="1">
      <c r="A28" s="9" t="s">
        <v>30</v>
      </c>
      <c r="B28" s="13"/>
      <c r="C28" s="9">
        <f>November!C28+B28</f>
        <v>1411</v>
      </c>
      <c r="D28" s="15">
        <f>1</f>
        <v>1</v>
      </c>
      <c r="E28" s="9">
        <f>November!E28+D28</f>
        <v>17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>
        <f>80+20+9+140+70+71+129+106+71+7+194+13+12+16+199+140+83+79+6+85+98+37+97+24+112+70+70+60+140+120+120+8+46+60+35+83+17+46+80+43+76+25+86+51+112+57+64+87+27+41+69+7+83+107+64+6+9+120+120+61+262+87+90+169+64+65+79+83+80+65+65+42+93+74+94+62+91+83+80+80+86+15+95+18+68+78+166+74+62+79+73+86+71+53+94+47+49+44+91+70+65+68+67+75+64+80+58+59+82+68+92+139+76+70+68+9+49+94+43+14+4+57+73+66+81+153+26+80+80+91+81+5431+81+22+69+87+46+71+160</f>
        <v>15494</v>
      </c>
      <c r="C29" s="9">
        <f>November!C29+B29</f>
        <v>137928</v>
      </c>
      <c r="D29" s="15">
        <f>2+2+18+4+14+24+1+3+9+22+3+8+6+27+6+2+1+8+1+3+7</f>
        <v>171</v>
      </c>
      <c r="E29" s="9">
        <f>November!E29+D29</f>
        <v>3547</v>
      </c>
      <c r="F29" s="17"/>
      <c r="G29" s="9">
        <f>November!G29+F29</f>
        <v>610</v>
      </c>
      <c r="H29" s="19"/>
      <c r="I29" s="9">
        <f>November!I29+H29</f>
        <v>193</v>
      </c>
    </row>
    <row r="30" spans="1:9" s="5" customFormat="1" ht="18" customHeight="1">
      <c r="A30" s="9" t="s">
        <v>32</v>
      </c>
      <c r="B30" s="13">
        <f>930+129+135+132+220+110+330+232+120+264+105+36+122+120+105+130+111+105+110+111+119+220+114+117+113+101+88+28+32+50+131+428+109+49+112+38+83+217+143+125+121+3+7+53+340+315+45+16+21+116+115+51+238+27+63+300+18+110+79+95+235+95+200+145+115+197+200+217+110+108+119+110+32+24+103+73+111+42+75+105+117+243+104+85+191+335+191+80+96+118+37+104+27+27+81+107+119+119+21+45+13+50+13+28+48+102+112+230+325+88+100+432+105+110+98+96+67+95+40+15+55+5+77+64+270+39+37+108+204+22+342+83+138+42+85+230+7+8+87+103+64+103+27+76+28+5+8+25+70+117+100+130+135+253+71+72+130+26+55+19+12+110+105+46+205+210+92+131+200+190+89+84+16+32+173+15+95+37+610+81+95+220+250+250+128</f>
        <v>22033</v>
      </c>
      <c r="C30" s="9">
        <f>November!C30+B30</f>
        <v>144649</v>
      </c>
      <c r="D30" s="15">
        <f>75+81+58+59+184+45+12+6+1+1+2+114+110+47+1+1+15+2+41+25+7</f>
        <v>887</v>
      </c>
      <c r="E30" s="9">
        <f>November!E30+D30</f>
        <v>8834</v>
      </c>
      <c r="F30" s="17"/>
      <c r="G30" s="9">
        <f>November!G30+F30</f>
        <v>72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>
        <f>55+104+113+94+84+100+6+33+70+90+55+126+280+122+84+119+242+35+85+95+92+154+125+180+192+94+94+95+43+191+57+36+72+23+118+89+100+96+90+89+660+86+1+1+46+171+2+64+241+1+205+445+30+255+25+20+17+120+105+65+45+33+62+182+84+67+63+217+715+500+96+125+75+90+113+105+19+100+65+93+84+38+145+70+170+15+185+195+97+100+66+82+48+95+96+33+174+316+60+90+90+288+92+332+87+90+47+318+55+102+151+103+85+200+61+54+264+70+91+110+156+14+46+303+91+160+30</f>
        <v>15080</v>
      </c>
      <c r="C31" s="9">
        <f>November!C31+B31</f>
        <v>126270</v>
      </c>
      <c r="D31" s="15">
        <f>4+3+1+11+100+15+44+66+122+2+4+58+5+49+110+47+1+40+15+5+29+10+7+8+15+1+14+44+84+42+18+52+50+168+2+67+35+83+1+39+41+41+25+89+2+6+20+9+1+5+58+34+39+33+44+60+116+10+31+32+32+80+6+2+1+3+18+132+43+1+43+11+80+51+6+41+30+4+2+44+66+117+50+90+90+56+114+57+10+52+4+72+51+15+35+78+14+4+32+47+83+40+42+8+176+42+9+15+29+44+12+49+50+87+100+44+96+29+39+2+17+50+13+22+40+1+40+41+46+50+31+1+44</f>
        <v>5243</v>
      </c>
      <c r="E31" s="9">
        <f>November!E31+D31</f>
        <v>26675</v>
      </c>
      <c r="F31" s="17">
        <f>10+149</f>
        <v>159</v>
      </c>
      <c r="G31" s="9">
        <f>November!G31+F31</f>
        <v>3599</v>
      </c>
      <c r="H31" s="19"/>
      <c r="I31" s="9">
        <f>November!I31+H31</f>
        <v>100</v>
      </c>
    </row>
    <row r="32" spans="1:9" s="5" customFormat="1" ht="18" customHeight="1">
      <c r="A32" s="9" t="s">
        <v>34</v>
      </c>
      <c r="B32" s="13">
        <v>115</v>
      </c>
      <c r="C32" s="9">
        <f>November!C32+B32</f>
        <v>115</v>
      </c>
      <c r="D32" s="22">
        <f>115</f>
        <v>115</v>
      </c>
      <c r="E32" s="9">
        <f>November!E32+D32</f>
        <v>267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1</v>
      </c>
      <c r="F33" s="17"/>
      <c r="G33" s="9">
        <f>November!G33+F33</f>
        <v>13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>
        <f>75</f>
        <v>75</v>
      </c>
      <c r="C35" s="9">
        <f>November!C35+B35</f>
        <v>2628</v>
      </c>
      <c r="D35" s="15">
        <f>1</f>
        <v>1</v>
      </c>
      <c r="E35" s="9">
        <f>November!E35+D35</f>
        <v>13</v>
      </c>
      <c r="F35" s="17">
        <f>105+219</f>
        <v>324</v>
      </c>
      <c r="G35" s="9">
        <f>November!G35+F35</f>
        <v>461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252</v>
      </c>
      <c r="D36" s="15"/>
      <c r="E36" s="9">
        <f>November!E36+D36</f>
        <v>284</v>
      </c>
      <c r="F36" s="17">
        <f>96+7+101</f>
        <v>204</v>
      </c>
      <c r="G36" s="9">
        <f>November!G36+F36</f>
        <v>1751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>
        <f>147</f>
        <v>147</v>
      </c>
      <c r="C37" s="9">
        <f>November!C37+B37</f>
        <v>1219</v>
      </c>
      <c r="D37" s="15">
        <f>147</f>
        <v>147</v>
      </c>
      <c r="E37" s="9">
        <f>November!E37+D37</f>
        <v>155</v>
      </c>
      <c r="F37" s="17"/>
      <c r="G37" s="9">
        <f>November!G37+F37</f>
        <v>18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>
        <f>73+486+193+206+90+85+82+21+95+222+131+106+74+114+35+119+109+315+80+225+130+200+160+240+229+102+194+221+19+136+172+193+190+294+770+82+154+2+88+124+116+95+109+107+98+215+282+75+258+90+91+130+71+130+22+2+122+30+125+18+93+227+132+76+84+208+160+123+110+200+7+189+224+112+126+96+574+346+70+118+88+43+200+87+29+65+137+96+56+84+67+85+311+95+40+40+77+87+102+105+105+111+74+109+107+105+191+84+337+85+95+17+180+189+102+70+70+77+85+90+21+33+105+624+32+131+321+66+55+97+91+65+39+184+110+62+111+102+57+78+101+78+108+88+33+45+67+279+84+97+75+13+193+3+260+11+97+112</f>
        <v>20327</v>
      </c>
      <c r="C38" s="9">
        <f>November!C38+B38</f>
        <v>89443</v>
      </c>
      <c r="D38" s="15">
        <f>11+29+29+17+1+1+4+87+4</f>
        <v>183</v>
      </c>
      <c r="E38" s="9">
        <f>November!E38+D38</f>
        <v>2620</v>
      </c>
      <c r="F38" s="17"/>
      <c r="G38" s="9">
        <f>November!G38+F38</f>
        <v>0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>
        <f>68</f>
        <v>68</v>
      </c>
      <c r="C39" s="9">
        <f>November!C39+B39</f>
        <v>15856</v>
      </c>
      <c r="D39" s="15">
        <f>12+6</f>
        <v>18</v>
      </c>
      <c r="E39" s="9">
        <f>November!E39+D39</f>
        <v>76</v>
      </c>
      <c r="F39" s="17">
        <f>10+11</f>
        <v>21</v>
      </c>
      <c r="G39" s="9">
        <f>November!G39+F39</f>
        <v>817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>
        <f>300+89+75+95+65+21+81</f>
        <v>726</v>
      </c>
      <c r="C40" s="9">
        <f>November!C40+B40</f>
        <v>15336</v>
      </c>
      <c r="D40" s="15">
        <f>1+15+6+45+45+1+2+13+3+1+1+1+1</f>
        <v>135</v>
      </c>
      <c r="E40" s="9">
        <f>November!E40+D40</f>
        <v>1822</v>
      </c>
      <c r="F40" s="17"/>
      <c r="G40" s="9">
        <f>November!G40+F40</f>
        <v>6</v>
      </c>
      <c r="H40" s="19"/>
      <c r="I40" s="9">
        <f>November!I40+H40</f>
        <v>39</v>
      </c>
    </row>
    <row r="41" spans="1:9" s="5" customFormat="1" ht="18" customHeight="1">
      <c r="A41" s="9" t="s">
        <v>43</v>
      </c>
      <c r="B41" s="13">
        <f>154+79+46+270</f>
        <v>549</v>
      </c>
      <c r="C41" s="9">
        <f>November!C41+B41</f>
        <v>4040</v>
      </c>
      <c r="D41" s="15">
        <f>59</f>
        <v>59</v>
      </c>
      <c r="E41" s="9">
        <f>November!E41+D41</f>
        <v>179</v>
      </c>
      <c r="F41" s="17">
        <f>2</f>
        <v>2</v>
      </c>
      <c r="G41" s="9">
        <f>November!G41+F41</f>
        <v>455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1726</v>
      </c>
      <c r="D42" s="15"/>
      <c r="E42" s="9">
        <f>November!E42+D42</f>
        <v>27</v>
      </c>
      <c r="F42" s="17">
        <f>321</f>
        <v>321</v>
      </c>
      <c r="G42" s="9">
        <f>November!G42+F42</f>
        <v>1149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>
        <f>82+134+81+117+87+87</f>
        <v>588</v>
      </c>
      <c r="C44" s="9">
        <f>November!C44+B44</f>
        <v>9862</v>
      </c>
      <c r="D44" s="15"/>
      <c r="E44" s="9">
        <f>November!E44+D44</f>
        <v>21</v>
      </c>
      <c r="F44" s="17"/>
      <c r="G44" s="9">
        <f>November!G44+F44</f>
        <v>79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>
        <f>17+59+48+26+72+104+117+117+56+171+194+54+76+94+99+140+98+228+115+47+102+101+115+73+118+213+40+203+15+20+16+208+85+40+164+82+170+109+112+152+118+47+79+295+92+55+19+238+100+100+55+202+310+134+5+36+23+45+49+280+392+188+240+360+50+86+55+31+28+147+126+111+86+102+133+169+309+144+116+54+124+40+205+144+209+184+525+85+193+114+3+36+259+60+20+19+72+101+83+60+67+21+63+91+72+37+134+135+90+46+115+161+96+228+91+16+20+88+153+36+99+92+102+79+155+534+17+77+570+9+142+36+43+153+137+15+45+56+128+171+77+30+35+44+92+5+14+27+64+19+46+216+171+119+108+79+205+38+24+37+27+31+86+166+642+102+173+55+121+93+71+87+62+48+94+79+91+122+51+7+195+293+210+40+23+25+48+25+14+16+16+60+13+57+18+37+8+32+38+45+31+17+34+4+21+12+22+55+220+165+102+38+257+72+76+130+64+58+25+11+23+56+25+35+78+33+21+162+13+9+15+180+91+82+202+76+165+9+84+128+105+65+17+14+261+56+111+266+20+41+84+51+200+200+104+53+139+89+46+36+101+82+14+10+107+29+41+32+46+67+114+11+83+278+67+403+122+94+170+189+66+175+150+138+148+133+94+120+65+106+114+99+42+81+55+169+27+90+121+100+184+49+194+280+201+298+141+140+55+169+27+90+121+284+49+194+66+280+201+298+140+141+57+41+463+32+96+459+295+13+76+19+42+43+95+126+127+115+21+106+135+131+358+295+68+38+11+21+61+49+22+38+189+34+14+31+17+28+5+16+24+16+6+17+92+78+76+19+22+31+165+75+68+11+139+55+67+75+55+103+443+118+127+55+99+781</f>
        <v>40324</v>
      </c>
      <c r="C45" s="9">
        <f>November!C45+B45</f>
        <v>420032</v>
      </c>
      <c r="D45" s="15">
        <f>42+32+38+7+39+15+89+37+49+48+3+21+106+1+15+109+51+32+51+46+60+46+23+42+56+46+47+49+53+44+52+44+14+50+1+10+16+26+16+26+1+7+116+1+43+11+1+1+14+14+8+17+10+10+7+99+3+15+32+2+72+76+76+76+8+2+66+2+39+303+12+185+92+45+58+4+41+168</f>
        <v>3289</v>
      </c>
      <c r="E45" s="9">
        <f>November!E45+D45</f>
        <v>11174</v>
      </c>
      <c r="F45" s="17">
        <f>10+2</f>
        <v>12</v>
      </c>
      <c r="G45" s="9">
        <f>November!G45+F45</f>
        <v>288</v>
      </c>
      <c r="H45" s="19"/>
      <c r="I45" s="9">
        <f>November!I45+H45</f>
        <v>43</v>
      </c>
    </row>
    <row r="46" spans="1:9" s="5" customFormat="1" ht="18" customHeight="1">
      <c r="A46" s="9" t="s">
        <v>48</v>
      </c>
      <c r="B46" s="13">
        <f>71+130+62+135+66+84+76+80+42+78+84+67+80+74+111+110+85+150+63+40+78+85+15+67+70+70</f>
        <v>2073</v>
      </c>
      <c r="C46" s="9">
        <f>November!C46+B46</f>
        <v>22520</v>
      </c>
      <c r="D46" s="15">
        <f>4+1+1</f>
        <v>6</v>
      </c>
      <c r="E46" s="9">
        <f>November!E46+D46</f>
        <v>26</v>
      </c>
      <c r="F46" s="17"/>
      <c r="G46" s="9">
        <f>November!G46+F46</f>
        <v>18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>
        <f>54+43+43+43+1+38+92</f>
        <v>314</v>
      </c>
      <c r="C47" s="9">
        <f>November!C47+B47</f>
        <v>10632</v>
      </c>
      <c r="D47" s="15">
        <f>5+15+1</f>
        <v>21</v>
      </c>
      <c r="E47" s="9">
        <f>November!E47+D47</f>
        <v>3443</v>
      </c>
      <c r="F47" s="17">
        <f>15+14+15+15+5</f>
        <v>64</v>
      </c>
      <c r="G47" s="9">
        <f>November!G47+F47</f>
        <v>6497</v>
      </c>
      <c r="H47" s="19"/>
      <c r="I47" s="9">
        <f>November!I47+H47</f>
        <v>0</v>
      </c>
    </row>
    <row r="48" spans="1:9" s="5" customFormat="1" ht="18" customHeight="1">
      <c r="A48" s="9" t="s">
        <v>50</v>
      </c>
      <c r="B48" s="13">
        <f>55+45+84+90</f>
        <v>274</v>
      </c>
      <c r="C48" s="9">
        <f>November!C48+B48</f>
        <v>1470</v>
      </c>
      <c r="D48" s="15">
        <f>1+1+3+4+1+1</f>
        <v>11</v>
      </c>
      <c r="E48" s="9">
        <f>November!E48+D48</f>
        <v>287</v>
      </c>
      <c r="F48" s="17"/>
      <c r="G48" s="9">
        <f>November!G48+F48</f>
        <v>2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2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>
        <f>65+60+180+51+180+200+112+55+66+300+90+150+220+65+170+450+76+130+180+70+116+180+210+60+68+54+70+116+180</f>
        <v>3924</v>
      </c>
      <c r="C50" s="9">
        <f>November!C50+B50</f>
        <v>34960</v>
      </c>
      <c r="D50" s="15"/>
      <c r="E50" s="9">
        <f>November!E50+D50</f>
        <v>4</v>
      </c>
      <c r="F50" s="17"/>
      <c r="G50" s="9">
        <f>November!G50+F50</f>
        <v>1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>
        <f>41+6</f>
        <v>47</v>
      </c>
      <c r="C51" s="9">
        <f>November!C51+B51</f>
        <v>48</v>
      </c>
      <c r="D51" s="15"/>
      <c r="E51" s="9">
        <f>November!E51+D51</f>
        <v>117</v>
      </c>
      <c r="F51" s="17"/>
      <c r="G51" s="9">
        <f>November!G51+F51</f>
        <v>100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>
        <f>55+55+75+692</f>
        <v>877</v>
      </c>
      <c r="C52" s="9">
        <f>November!C52+B52</f>
        <v>7372</v>
      </c>
      <c r="D52" s="15"/>
      <c r="E52" s="9">
        <f>November!E52+D52</f>
        <v>118</v>
      </c>
      <c r="F52" s="17"/>
      <c r="G52" s="9">
        <f>November!G52+F52</f>
        <v>0</v>
      </c>
      <c r="H52" s="19"/>
      <c r="I52" s="9">
        <f>November!I52+H52</f>
        <v>86</v>
      </c>
    </row>
    <row r="53" spans="1:9" s="5" customFormat="1" ht="18" customHeight="1">
      <c r="A53" s="9" t="s">
        <v>55</v>
      </c>
      <c r="B53" s="13">
        <f>74+38+43+37+50+72+15+16+87+124+31+26+111+74+200+18+72+726+20+62+65+180+19+37+6+12+344+47+44+49+30+5+12+80+113+10+102+49+27+39+41+5+23+231+253+14+3+75+130+140+85+170+118+15+20</f>
        <v>4489</v>
      </c>
      <c r="C53" s="9">
        <f>November!C53+B53</f>
        <v>55218</v>
      </c>
      <c r="D53" s="15">
        <f>18+11+14+3+1+4+4+9+51</f>
        <v>115</v>
      </c>
      <c r="E53" s="9">
        <f>November!E53+D53</f>
        <v>2477</v>
      </c>
      <c r="F53" s="17">
        <f>18+29+40+23+1+10+52+9+39+18+14+15+33+41+7+33+5+6+1+10+47+40+26+13+38+234</f>
        <v>802</v>
      </c>
      <c r="G53" s="9">
        <f>November!G53+F53</f>
        <v>9930</v>
      </c>
      <c r="H53" s="19"/>
      <c r="I53" s="9">
        <f>November!I53+H53</f>
        <v>37</v>
      </c>
    </row>
    <row r="54" spans="1:9" s="5" customFormat="1" ht="18" customHeight="1" thickBot="1">
      <c r="A54" s="10" t="s">
        <v>56</v>
      </c>
      <c r="B54" s="13">
        <f>45+110+17+183+93+220+16+90+103+93+80+80+13+91+48+85+169</f>
        <v>1536</v>
      </c>
      <c r="C54" s="9">
        <f>November!C54+B54</f>
        <v>32373</v>
      </c>
      <c r="D54" s="16">
        <f>41+38+115+1+96+47+101+49+9+5+50+9+5+9+56+95+7</f>
        <v>733</v>
      </c>
      <c r="E54" s="9">
        <f>November!E54+D54</f>
        <v>5957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144200</v>
      </c>
      <c r="C55" s="11"/>
      <c r="D55" s="11">
        <f>SUM(D5:D54)</f>
        <v>13212</v>
      </c>
      <c r="E55" s="11"/>
      <c r="F55" s="11">
        <f>SUM(F5:F54)</f>
        <v>3444</v>
      </c>
      <c r="G55" s="11"/>
      <c r="H55" s="11">
        <f>SUM(H5:H54)</f>
        <v>49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1394153</v>
      </c>
      <c r="D57" s="11"/>
      <c r="E57" s="11">
        <f>November!E57+D55</f>
        <v>81022</v>
      </c>
      <c r="F57" s="11"/>
      <c r="G57" s="11">
        <f>November!G57+F55</f>
        <v>43750</v>
      </c>
      <c r="H57" s="11"/>
      <c r="I57" s="11">
        <f>November!I57+H55</f>
        <v>759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25475</v>
      </c>
      <c r="G62" s="4">
        <f>November!G62+F60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42" sqref="A4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344</v>
      </c>
      <c r="D7" s="15"/>
      <c r="E7" s="9">
        <f>January!E7+D7</f>
        <v>0</v>
      </c>
      <c r="F7" s="17"/>
      <c r="G7" s="9">
        <f>January!G7+F7</f>
        <v>0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>
        <f>167+37+31+34+81+99</f>
        <v>449</v>
      </c>
      <c r="C8" s="9">
        <f>January!C8+B8</f>
        <v>911</v>
      </c>
      <c r="D8" s="15"/>
      <c r="E8" s="9">
        <f>January!E8+D8</f>
        <v>25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/>
      <c r="C9" s="9">
        <f>January!C9+B9</f>
        <v>0</v>
      </c>
      <c r="D9" s="15"/>
      <c r="E9" s="9">
        <f>January!E9+D9</f>
        <v>0</v>
      </c>
      <c r="F9" s="17">
        <f>2+112+326+241</f>
        <v>681</v>
      </c>
      <c r="G9" s="9">
        <f>January!G9+F9</f>
        <v>2172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>
        <v>110</v>
      </c>
      <c r="C10" s="9">
        <f>January!C10+B10</f>
        <v>110</v>
      </c>
      <c r="D10" s="15">
        <v>5</v>
      </c>
      <c r="E10" s="9">
        <f>January!E10+D10</f>
        <v>28</v>
      </c>
      <c r="F10" s="17">
        <v>1</v>
      </c>
      <c r="G10" s="9">
        <f>January!G10+F10</f>
        <v>10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/>
      <c r="C11" s="9">
        <f>January!C11+B11</f>
        <v>220</v>
      </c>
      <c r="D11" s="15">
        <f>40+9+18+2+1+34+1+1+1+2+4</f>
        <v>113</v>
      </c>
      <c r="E11" s="9">
        <f>January!E11+D11</f>
        <v>216</v>
      </c>
      <c r="F11" s="17">
        <f>16+15+7+16+16+16+16+16+1</f>
        <v>119</v>
      </c>
      <c r="G11" s="9">
        <f>January!G11+F11</f>
        <v>120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>
        <f>62+53+53+60</f>
        <v>228</v>
      </c>
      <c r="C15" s="9">
        <f>January!C15+B15</f>
        <v>361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>
        <f>86+82+160</f>
        <v>328</v>
      </c>
      <c r="C17" s="9">
        <f>January!C17+B17</f>
        <v>1008</v>
      </c>
      <c r="D17" s="15"/>
      <c r="E17" s="9">
        <f>January!E17+D17</f>
        <v>3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>
        <f>143+59+75+75+57+75+9+2+43+6+5+44+13+15+4+2+7+6</f>
        <v>640</v>
      </c>
      <c r="C18" s="9">
        <f>January!C18+B18</f>
        <v>1397</v>
      </c>
      <c r="D18" s="15">
        <f>10+81+5+8+158+40+3+2+2+2+1+33+3+3</f>
        <v>351</v>
      </c>
      <c r="E18" s="9">
        <f>January!E18+D18</f>
        <v>640</v>
      </c>
      <c r="F18" s="17">
        <f>1+1+1+36+7</f>
        <v>46</v>
      </c>
      <c r="G18" s="9">
        <f>January!G18+F18</f>
        <v>70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>
        <f>35+150+150+109+18+150+1102</f>
        <v>1714</v>
      </c>
      <c r="C19" s="9">
        <f>January!C19+B19</f>
        <v>2211</v>
      </c>
      <c r="D19" s="15">
        <f>38+39+38+39+1+2</f>
        <v>157</v>
      </c>
      <c r="E19" s="9">
        <f>January!E19+D19</f>
        <v>163</v>
      </c>
      <c r="F19" s="17">
        <f>1+98+150+88</f>
        <v>337</v>
      </c>
      <c r="G19" s="9">
        <f>January!G19+F19</f>
        <v>337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>
        <f>160+59+67+58+27+127+54+60+56+4+260+220+73+180+14+38+84+71+122+6+29+248+73+138+63+69+95+24+68+240+174+63+30+59</f>
        <v>3113</v>
      </c>
      <c r="C20" s="9">
        <f>January!C20+B20</f>
        <v>5605</v>
      </c>
      <c r="D20" s="15">
        <f>135+6+3+9+47+8+3+2+1+4+1+5</f>
        <v>224</v>
      </c>
      <c r="E20" s="9">
        <f>January!E20+D20</f>
        <v>324</v>
      </c>
      <c r="F20" s="17">
        <v>2</v>
      </c>
      <c r="G20" s="9">
        <f>January!G20+F20</f>
        <v>2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>
        <f>152+85+120+48+30+23+66+60+158+180+120+60+56+66+130+58+64+72+23+41+127+135+71+2+52+55+40+11+131+59+52+82+82+58+300+56+66+203+85+67+180+57+59+77+70+83+72+81+65+35+19+78+58+63+73+124+119+65+32+133+74+174+56+76+63+60+68+131+14+3+51+51+57+750+84+69+59+68+72+75+107+65+54+121+70+65</f>
        <v>7426</v>
      </c>
      <c r="C21" s="9">
        <f>January!C21+B21</f>
        <v>16756</v>
      </c>
      <c r="D21" s="15">
        <f>36+10+10+1</f>
        <v>57</v>
      </c>
      <c r="E21" s="9">
        <f>January!E21+D21</f>
        <v>67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/>
      <c r="E24" s="9">
        <f>January!E24+D24</f>
        <v>4</v>
      </c>
      <c r="F24" s="17"/>
      <c r="G24" s="9">
        <f>January!G24+F24</f>
        <v>0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>
        <f>2+224+194</f>
        <v>420</v>
      </c>
      <c r="C26" s="9">
        <f>January!C26+B26</f>
        <v>910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>
        <f>6+62+12+3+6+10+166+66+22+15+65+8+15+78+14+45+4+6+360+42+44+5+4+18+42+11+6+27+5+3+85+13+8+11+3+14+25+7+82+54+77+90+3+187+170+60+39+193+245+65+80+109+11+55+20+6+30+14+8+85+3+8+13+44+4+10+5+11+3+2+15+23+10+2+3+74+35+94+80</f>
        <v>3458</v>
      </c>
      <c r="C27" s="9">
        <f>January!C27+B27</f>
        <v>9315</v>
      </c>
      <c r="D27" s="15">
        <f>2+1+4+10+8+10+6+12+97+39+1+1+4+4+4+22+68+3+3+5+8+8+13+5+2+4+6+2+1+1+9+6+4</f>
        <v>373</v>
      </c>
      <c r="E27" s="9">
        <f>January!E27+D27</f>
        <v>486</v>
      </c>
      <c r="F27" s="17">
        <f>1+120+66+60+4+16+47+21+118+1</f>
        <v>454</v>
      </c>
      <c r="G27" s="9">
        <f>January!G27+F27</f>
        <v>1160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/>
      <c r="C28" s="9">
        <f>January!C28+B28</f>
        <v>261</v>
      </c>
      <c r="D28" s="15"/>
      <c r="E28" s="9">
        <f>January!E28+D28</f>
        <v>6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>
        <f>17+77+57+32+67+118+30+185+129+25+64+77+78+130+71+58+140+70+60+60+83+72+232+6+38+18+13+7+29+142+80+73+87+31+71+46+50+31+24+95+68+88+78+52+65+176+148+85+5+97+11+34+25+66+69+46+76+51+133+70+34+81+68+84+48+80+66+70+70+35+32+231+154+75+60+60+80+78+41+72+183+137+69+25+207+75+107+60+85+98+50+56+78+68+60+120+12+83+69+67+82+97+19+80+150+52+42+37+155+61+62+28+31+80+6+1+31+76+79+81+68+20+66+76+80+81+41+90+30+74+74+69+17+38+106+43+70+80+95+130+82+24+14+64+45+198+77+70+69+3+69+7+52+253+66+8+41+22+62+62+70+70+47+89+80+31+152+80</f>
        <v>11949</v>
      </c>
      <c r="C29" s="9">
        <f>January!C29+B29</f>
        <v>31350</v>
      </c>
      <c r="D29" s="15">
        <f>29+10+12+6+10+2+1+6+14+22+10+8+19+24+7+2+13+28+4+1+5+16+10+14+17+2+6+6+10+5+7+12+2+1+1+19+1+5+18</f>
        <v>385</v>
      </c>
      <c r="E29" s="9">
        <f>January!E29+D29</f>
        <v>1352</v>
      </c>
      <c r="F29" s="17"/>
      <c r="G29" s="9">
        <f>January!G29+F29</f>
        <v>0</v>
      </c>
      <c r="H29" s="19">
        <f>2</f>
        <v>2</v>
      </c>
      <c r="I29" s="9">
        <f>January!I29+H29</f>
        <v>5</v>
      </c>
    </row>
    <row r="30" spans="1:9" s="5" customFormat="1" ht="18" customHeight="1">
      <c r="A30" s="9" t="s">
        <v>32</v>
      </c>
      <c r="B30" s="13">
        <f>60+39+56+18+335+100+140+49+85+77+40+35+66+9+14+5+23+40+8+34+29+10+96+29+10+19+30+325+8+17+84+298+45+6+420+95+25+260+8+3+230+41+3+12+130+380</f>
        <v>3846</v>
      </c>
      <c r="C30" s="9">
        <f>January!C30+B30</f>
        <v>9654</v>
      </c>
      <c r="D30" s="15">
        <f>55+162+101+162</f>
        <v>480</v>
      </c>
      <c r="E30" s="9">
        <f>January!E30+D30</f>
        <v>1414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>
        <f>121+25+138+88+345+21+200+12+6+8+83+242+68+78+88+354+68+12+116+98+60+46+73+136+163+397+38+14+39+28+44+71+98+77+80+70+107+18+111+80+300+112+85+86+86+32+114+80+27+30+138+270+67+67+189+51+9+73+198+30+157+63+35+45</f>
        <v>6265</v>
      </c>
      <c r="C31" s="9">
        <f>January!C31+B31</f>
        <v>7071</v>
      </c>
      <c r="D31" s="15">
        <f>4+50+93+35+1+49+25+143+60+4+8+2+3+73+78+3+251+3+45+77+58+491+1+2+1+42+1+33+48+9+13+15+50+34+3+1+45+70+4+8+153+4+8+5+40+39+13+15+41+2+10+165+62+42+20+83+114+43+39+46+1+315+315+315+315+3151+10+3+74+15+1+3+4+1+2+42+1+45+44+5+42+1+39+30+42+45+42+56+45+1+4+1+1+1</f>
        <v>7892</v>
      </c>
      <c r="E31" s="9">
        <f>January!E31+D31</f>
        <v>8782</v>
      </c>
      <c r="F31" s="17">
        <f>40+12+40+41+12+40+93</f>
        <v>278</v>
      </c>
      <c r="G31" s="9">
        <f>January!G31+F31</f>
        <v>416</v>
      </c>
      <c r="H31" s="19"/>
      <c r="I31" s="9">
        <f>January!I31+H31</f>
        <v>0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/>
      <c r="C35" s="9">
        <f>January!C35+B35</f>
        <v>363</v>
      </c>
      <c r="D35" s="15"/>
      <c r="E35" s="9">
        <f>January!E35+D35</f>
        <v>0</v>
      </c>
      <c r="F35" s="17"/>
      <c r="G35" s="9">
        <f>January!G35+F35</f>
        <v>0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/>
      <c r="E36" s="9">
        <f>January!E36+D36</f>
        <v>99</v>
      </c>
      <c r="F36" s="17">
        <f>10+83+37+9+78+7</f>
        <v>224</v>
      </c>
      <c r="G36" s="9">
        <f>January!G36+F36</f>
        <v>608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>
        <f>385+363</f>
        <v>748</v>
      </c>
      <c r="C37" s="9">
        <f>January!C37+B37</f>
        <v>845</v>
      </c>
      <c r="D37" s="15">
        <f>1</f>
        <v>1</v>
      </c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>
        <f>8+80+35+60+129+26+24+26+7+82+12+200+152+90+75+193+152+79+31+96+32+314+54+196+124+90+71+96+45+35+170+340+12+12+47+67+359+41+75+87+83+70+155+64+178+68+81+156+32+86+73+74+79+73+76+73+74+68+70+85+22+234+34+52+33+351+89+92+70+80+66+135+25+75+128+87+108+99+79+195+70+93+169+28+39+77+36+309+99+91+84+244+145+19+71+47+79+80+215+345+106+2+6+79+117+124+74+75+127+122+204+78+67+43+160+136+64+46+52+215+10+126+248+126+60</f>
        <v>12403</v>
      </c>
      <c r="C38" s="9">
        <f>January!C38+B38</f>
        <v>16370</v>
      </c>
      <c r="D38" s="15">
        <f>55+3+4+1+1+1+103+26</f>
        <v>194</v>
      </c>
      <c r="E38" s="9">
        <f>January!E38+D38</f>
        <v>475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>
        <f>58+18+12+12+10</f>
        <v>110</v>
      </c>
      <c r="C39" s="9">
        <f>January!C39+B39</f>
        <v>10281</v>
      </c>
      <c r="D39" s="15">
        <f>1+1+10</f>
        <v>12</v>
      </c>
      <c r="E39" s="9">
        <f>January!E39+D39</f>
        <v>13</v>
      </c>
      <c r="F39" s="17">
        <f>100</f>
        <v>100</v>
      </c>
      <c r="G39" s="9">
        <f>January!G39+F39</f>
        <v>100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>
        <f>89+61+60+74</f>
        <v>284</v>
      </c>
      <c r="C40" s="9">
        <f>January!C40+B40</f>
        <v>406</v>
      </c>
      <c r="D40" s="15">
        <f>1+48+48+48+48+48+3+1+1+97+1+2</f>
        <v>346</v>
      </c>
      <c r="E40" s="9">
        <f>January!E40+D40</f>
        <v>690</v>
      </c>
      <c r="F40" s="17"/>
      <c r="G40" s="9">
        <f>January!G40+F40</f>
        <v>0</v>
      </c>
      <c r="H40" s="19"/>
      <c r="I40" s="9">
        <f>January!I40+H40</f>
        <v>39</v>
      </c>
    </row>
    <row r="41" spans="1:9" s="5" customFormat="1" ht="18" customHeight="1">
      <c r="A41" s="9" t="s">
        <v>43</v>
      </c>
      <c r="B41" s="13">
        <f>82+80+46</f>
        <v>208</v>
      </c>
      <c r="C41" s="9">
        <f>January!C41+B41</f>
        <v>516</v>
      </c>
      <c r="D41" s="15">
        <f>65</f>
        <v>65</v>
      </c>
      <c r="E41" s="9">
        <f>January!E41+D41</f>
        <v>65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>
        <f>160+60+82</f>
        <v>302</v>
      </c>
      <c r="C42" s="9">
        <f>January!C42+B42</f>
        <v>392</v>
      </c>
      <c r="D42" s="15">
        <f>12</f>
        <v>12</v>
      </c>
      <c r="E42" s="9">
        <f>January!E42+D42</f>
        <v>24</v>
      </c>
      <c r="F42" s="17">
        <f>10+15+15+15</f>
        <v>55</v>
      </c>
      <c r="G42" s="9">
        <f>January!G42+F42</f>
        <v>55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>
        <f>72+72</f>
        <v>144</v>
      </c>
      <c r="C44" s="9">
        <f>January!C44+B44</f>
        <v>859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>
        <f>82+92+42+30+77+87+83+70+77+95+206+152+150+13+101+16+80+16+47+1+15+74+12+230+35+43+131+80+246+66+380+49+29+74+78+294+300+4+17+117+27+73+79+125+18+12+72+230+89+87+190+68+146+5+72+142+11+182+23+66+69+72+107+32+163+22+22+57+75+42+65+75+151+171+112+165+11+85+86+42+48+13+16+73+19+16+196+14+25+49+34+67+126+56+99+107+10+62+26+49+19+69+52+20+4+24+176+170+95+86+58+29+50+195+12+30+90+98+234+45+136+223+81+280+130+164+58+75+338+51+69+82+223+191+107+116+73+79+18+7+78+51+81+159+30+16+52+57+306+214+64+22+26+48+67+106+98+85+77+267+84+251+4+41+27+25+255+82+65+87+93+66+7+84+84+64+28+14+85+68+70+51+243+251+20+24+17+6+29+25+66+10+3+80+81+24+81+72+91+90+87+83+63+78+323+80+11+4+18+200+38+83+44+74+77+47+23+14+20+92+70+148+28+164+173+25+52+82+75+73+21+83+157+51+58+136+73+5+167+75+118+61+95+56+72+8+109+70+161+80+86+121+86+78+309+77+145+80+207+160+153+248+180+9+95+64+140+20+51+119+74+74+159+98+198+177+90+199+215+180+312+65+346+163+70+140+140+147+184+55+71+62+25+491+73+6+10+67+133+247+99+48+71+90+52+133+70+180+59+16+2+24+51+65+140+8+38+22+18+338+74+67+13+77+80+46+16+9+8+12+11+49+20+51+3+13+13+18+448+45+23+26+17+11+22+48+15+158+67+70+33+53+77+60+50+57+11+97+77+23+102+64+48+108+9+137+87+15+129+61+116+77+67+43+55+215+23+6+31+62</f>
        <v>32797</v>
      </c>
      <c r="C45" s="9">
        <f>January!C45+B45</f>
        <v>65719</v>
      </c>
      <c r="D45" s="15">
        <f>55+1+72+15+1+2+2+3+3+21+6+13+14+38+7+1+6+29+26+35+3+1+31+1+132+12+19+11+1+1+18+6+4+5+9+5+8+5+3+2</f>
        <v>627</v>
      </c>
      <c r="E45" s="9">
        <f>January!E45+D45</f>
        <v>2275</v>
      </c>
      <c r="F45" s="17">
        <f>29</f>
        <v>29</v>
      </c>
      <c r="G45" s="9">
        <f>January!G45+F45</f>
        <v>31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>
        <f>37+80+85+83+68+185+88+57+63+71+80+149+102+72+58+86+73+55+55+55+103+57+64</f>
        <v>1826</v>
      </c>
      <c r="C46" s="9">
        <f>January!C46+B46</f>
        <v>1826</v>
      </c>
      <c r="D46" s="15">
        <f>3</f>
        <v>3</v>
      </c>
      <c r="E46" s="9">
        <f>January!E46+D46</f>
        <v>3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>
        <f>2+207+28+24+62</f>
        <v>323</v>
      </c>
      <c r="C47" s="9">
        <f>January!C47+B47</f>
        <v>883</v>
      </c>
      <c r="D47" s="15">
        <f>2+30+10+137+110+6+50+76+6+5+16+100+77+10+1+58+2</f>
        <v>696</v>
      </c>
      <c r="E47" s="9">
        <f>D47+January!E47</f>
        <v>755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/>
      <c r="C48" s="9">
        <f>January!C48+B48</f>
        <v>0</v>
      </c>
      <c r="D48" s="15"/>
      <c r="E48" s="9">
        <f>January!E48+D48</f>
        <v>80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>
        <f>94+58+170+73+58+66+72+59+128+65+65+280</f>
        <v>1188</v>
      </c>
      <c r="C50" s="9">
        <f>January!C50+B50</f>
        <v>5781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>
        <f>72+67+63</f>
        <v>202</v>
      </c>
      <c r="C52" s="9">
        <f>January!C52+B52</f>
        <v>709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>
        <f>73+7+97+37+40+104+59+60+75+37+20+16+105+1+1+298+144+144+225+202+11+20+283+81+10+8+20+292+92+16+5+7+2+11+99+60+59+15+11+4+48+18+12+400+400+90+74+140+39+31+211+16+45+12+56+19+3+22+91+46+13+10+11+110+72+18+21+22+59+58+93+9+20+50+45+58+2+9+10+40+2+1+13+62+235+318</f>
        <v>5985</v>
      </c>
      <c r="C53" s="9">
        <f>January!C53+B53</f>
        <v>8369</v>
      </c>
      <c r="D53" s="15">
        <f>22+7+4+12+5+3+1+3+6+530+26+3+3+1+3+10+8+3+12+1+38+11+3+10+11+18+10+3+2+1+2+13</f>
        <v>785</v>
      </c>
      <c r="E53" s="9">
        <f>January!E53+D53</f>
        <v>941</v>
      </c>
      <c r="F53" s="17">
        <f>39+87+80+1+1+5+27+9+1+1+15+1+1+2+72+72+23+3+11+5+85+17+3+39+11+1+10+11+1+1+19+11+80</f>
        <v>745</v>
      </c>
      <c r="G53" s="9">
        <f>January!G53+F53</f>
        <v>1491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/>
      <c r="C54" s="9">
        <f>January!C54+B54</f>
        <v>689</v>
      </c>
      <c r="D54" s="15"/>
      <c r="E54" s="9">
        <f>January!E54+D54</f>
        <v>505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96466</v>
      </c>
      <c r="C55" s="11"/>
      <c r="D55" s="11">
        <f>SUM(D5:D54)</f>
        <v>12778</v>
      </c>
      <c r="E55" s="11"/>
      <c r="F55" s="11">
        <f>SUM(F5:F54)</f>
        <v>3071</v>
      </c>
      <c r="G55" s="11"/>
      <c r="H55" s="11">
        <f>SUM(H5:H54)</f>
        <v>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201492</v>
      </c>
      <c r="D57" s="11"/>
      <c r="E57" s="11">
        <f>January!E57+D55</f>
        <v>19436</v>
      </c>
      <c r="F57" s="11"/>
      <c r="G57" s="11">
        <f>January!G57+F55</f>
        <v>6572</v>
      </c>
      <c r="H57" s="11"/>
      <c r="I57" s="11">
        <f>January!I57+H55</f>
        <v>44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0</v>
      </c>
      <c r="G62" s="4">
        <f>January!G62+F60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38" activePane="bottomLeft" state="frozen"/>
      <selection pane="topLeft" activeCell="A1" sqref="A1"/>
      <selection pane="bottomLeft" activeCell="A38" sqref="A38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344</v>
      </c>
      <c r="D7" s="15"/>
      <c r="E7" s="9">
        <f>February!E7+D7</f>
        <v>0</v>
      </c>
      <c r="F7" s="17"/>
      <c r="G7" s="9">
        <f>February!G7+F7</f>
        <v>0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>
        <f>70+59+70+80+62</f>
        <v>341</v>
      </c>
      <c r="C8" s="9">
        <f>February!C8+B8</f>
        <v>1252</v>
      </c>
      <c r="D8" s="15"/>
      <c r="E8" s="9">
        <f>February!E8+D8</f>
        <v>25</v>
      </c>
      <c r="F8" s="17">
        <f>88+33+10</f>
        <v>131</v>
      </c>
      <c r="G8" s="9">
        <f>February!G8+F8</f>
        <v>131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0</v>
      </c>
      <c r="D9" s="15">
        <f>1+1+2</f>
        <v>4</v>
      </c>
      <c r="E9" s="9">
        <f>February!E9+D9</f>
        <v>4</v>
      </c>
      <c r="F9" s="17">
        <f>1+36+397</f>
        <v>434</v>
      </c>
      <c r="G9" s="9">
        <f>February!G9+F9</f>
        <v>2606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/>
      <c r="C10" s="9">
        <f>February!C10+B10</f>
        <v>110</v>
      </c>
      <c r="D10" s="15">
        <v>3</v>
      </c>
      <c r="E10" s="9">
        <f>February!E10+D10</f>
        <v>31</v>
      </c>
      <c r="F10" s="17"/>
      <c r="G10" s="9">
        <f>February!G10+F10</f>
        <v>10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>
        <f>3+6</f>
        <v>9</v>
      </c>
      <c r="C11" s="9">
        <f>February!C11+B11</f>
        <v>229</v>
      </c>
      <c r="D11" s="15">
        <f>16+1</f>
        <v>17</v>
      </c>
      <c r="E11" s="9">
        <f>February!E11+D11</f>
        <v>233</v>
      </c>
      <c r="F11" s="17"/>
      <c r="G11" s="9">
        <f>February!G11+F11</f>
        <v>120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>
        <v>42</v>
      </c>
      <c r="C14" s="9">
        <f>February!C14+B14</f>
        <v>42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/>
      <c r="C15" s="9">
        <f>February!C15+B15</f>
        <v>361</v>
      </c>
      <c r="D15" s="15"/>
      <c r="E15" s="9">
        <f>February!E15+D15</f>
        <v>0</v>
      </c>
      <c r="F15" s="17">
        <f>284</f>
        <v>284</v>
      </c>
      <c r="G15" s="9">
        <f>February!G15+F15</f>
        <v>284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>
        <f>61</f>
        <v>61</v>
      </c>
      <c r="C17" s="9">
        <f>February!C17+B17</f>
        <v>1069</v>
      </c>
      <c r="D17" s="15">
        <f>1+25</f>
        <v>26</v>
      </c>
      <c r="E17" s="9">
        <f>February!E17+D17</f>
        <v>29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>
        <f>70+70+70+60+6+5+10+10+10+3+209+80</f>
        <v>603</v>
      </c>
      <c r="C18" s="9">
        <f>February!C18+B18</f>
        <v>2000</v>
      </c>
      <c r="D18" s="15">
        <f>2+3+9+2+2+6+1+8+7+7+2</f>
        <v>49</v>
      </c>
      <c r="E18" s="9">
        <f>February!E18+D18</f>
        <v>689</v>
      </c>
      <c r="F18" s="17">
        <f>1+1+1+1+3+15</f>
        <v>22</v>
      </c>
      <c r="G18" s="9">
        <f>February!G18+F18</f>
        <v>92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>
        <f>150+68+80+150+150+150+150+459</f>
        <v>1357</v>
      </c>
      <c r="C19" s="9">
        <f>February!C19+B19</f>
        <v>3568</v>
      </c>
      <c r="D19" s="15">
        <f>3+1</f>
        <v>4</v>
      </c>
      <c r="E19" s="9">
        <f>February!E19+D19</f>
        <v>167</v>
      </c>
      <c r="F19" s="17">
        <f>111+100</f>
        <v>211</v>
      </c>
      <c r="G19" s="9">
        <f>February!G19+F19</f>
        <v>548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>
        <f>19+135+180+41+120+46+29+63+59+56+60+62+270+41+345+119+340+71+130+118+120+707+180+62+280</f>
        <v>3653</v>
      </c>
      <c r="C20" s="9">
        <f>February!C20+B20</f>
        <v>9258</v>
      </c>
      <c r="D20" s="15">
        <f>2+3+2+1+5+1+1+3+1+4+1</f>
        <v>24</v>
      </c>
      <c r="E20" s="9">
        <f>February!E20+D20</f>
        <v>348</v>
      </c>
      <c r="F20" s="17">
        <f>2+145+145+145+2+15+45</f>
        <v>499</v>
      </c>
      <c r="G20" s="9">
        <f>February!G20+F20</f>
        <v>501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>
        <f>94+93+86+88+110+1000+63+78+70+74+70+56+88+75+79+114+150+52+59+67+80+76+99+62+82+62+69+71+70+74+75+213+69+182+76+68+75+56+225+152+60+179+152+70+77+14+11+42+20+14+41+35+19+74+169+195+53+173+129+261+69+53+119+120+42+14+75+150+136+43+15+111+60+57+97+62+80+76+99+1000+62+69+70+71+63+70+78+74+120+66+75+63+60+72+58+83</f>
        <v>9922</v>
      </c>
      <c r="C21" s="9">
        <f>February!C21+B21</f>
        <v>26678</v>
      </c>
      <c r="D21" s="15">
        <f>1+3+4+1+1+8</f>
        <v>18</v>
      </c>
      <c r="E21" s="9">
        <f>February!E21+D21</f>
        <v>85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4</v>
      </c>
      <c r="F24" s="17"/>
      <c r="G24" s="9">
        <f>February!G24+F24</f>
        <v>0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>
        <f>87+87</f>
        <v>174</v>
      </c>
      <c r="C26" s="9">
        <f>February!C26+B26</f>
        <v>1084</v>
      </c>
      <c r="D26" s="15">
        <f>4+2+1</f>
        <v>7</v>
      </c>
      <c r="E26" s="9">
        <f>February!E26+D26</f>
        <v>7</v>
      </c>
      <c r="F26" s="17">
        <f>5</f>
        <v>5</v>
      </c>
      <c r="G26" s="9">
        <f>February!G26+F26</f>
        <v>5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>
        <f>200+76+64+175+150+6+61+34+77+78+250+7+72+113+150+157+103+123+139+147+4+9+12+10+4+28+87+90+24+15+33+17+23+2+5+8+9+1+55+71+59+33+32+4+6+13+7+34+66+65+140+314+82+285+151+120+72+79+51+122+70+113+75+38+251+61+29+44+17+22+2+10+5+9+27+33+24+8+6+4+4+22+39+300+73+91</f>
        <v>5801</v>
      </c>
      <c r="C27" s="9">
        <f>February!C27+B27</f>
        <v>15116</v>
      </c>
      <c r="D27" s="15">
        <f>1+3+1+4+19+19+10+2+1+1+9+7+14+8+9+17+17+27+2+2+3+6</f>
        <v>182</v>
      </c>
      <c r="E27" s="9">
        <f>February!E27+D27</f>
        <v>668</v>
      </c>
      <c r="F27" s="17">
        <f>128+2+60+62+11+20+41+1+18+2+18+60+2+1+60+2+4+1+6+131</f>
        <v>630</v>
      </c>
      <c r="G27" s="9">
        <f>February!G27+F27</f>
        <v>1790</v>
      </c>
      <c r="H27" s="19">
        <f>36</f>
        <v>36</v>
      </c>
      <c r="I27" s="9">
        <f>February!I27+H27</f>
        <v>36</v>
      </c>
    </row>
    <row r="28" spans="1:9" s="5" customFormat="1" ht="18" customHeight="1">
      <c r="A28" s="9" t="s">
        <v>30</v>
      </c>
      <c r="B28" s="13"/>
      <c r="C28" s="9">
        <f>February!C28+B28</f>
        <v>261</v>
      </c>
      <c r="D28" s="15"/>
      <c r="E28" s="9">
        <f>February!E28+D28</f>
        <v>6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>
        <f>113+53+80+71+114+136+79+223+77+12+12+75+67+23+213+72+74+72+68+90+65+55+58+24+121+70+379+74+74+129+56+214+75+11+32+51+26+123+129+135+117+85+54+69+8+28+20+122+125+180+11+45+23+31+60+65+65+83+76+67+139+65+75+202+32+82+44+72+183+8+66+41+71+74+80+73+14+85+16+95+94+64+86+72+97+84+137+11+1+14+16+40+18+12+22+27+160+74+73+4+73+74+23+68+69+45+120+120+73+70+120+62+201+200+90+70+77+73+75+144+62+61+80+239+189+58+141+38+23+65+119+82+35+60+66+65+107+124+83+85+66+82+92+51+45+56+102+65+66+130+55+68+71+76+30+67+64+81+75+70+85+92+76+18+11+43+104+107+77+77+67+60+66+27+75+70+71+80+72+73+57+52+73+90+64+13+126+1+60+102+8+16+15+126+10+6+124+13+106+30+62+115+9+18+35+27+6+29+81+144+65+60+96+246+292+94+42+241</f>
        <v>16728</v>
      </c>
      <c r="C29" s="9">
        <f>February!C29+B29</f>
        <v>48078</v>
      </c>
      <c r="D29" s="15">
        <f>65+7+1+10+3+2+10+2+30+39+12+23+1+51+49+29+3+2+4+8+3+25+1+1+5+5+5+5+5+25+2+9+14+2+3+5+6+13</f>
        <v>485</v>
      </c>
      <c r="E29" s="9">
        <f>February!E29+D29</f>
        <v>1837</v>
      </c>
      <c r="F29" s="17"/>
      <c r="G29" s="9">
        <f>February!G29+F29</f>
        <v>0</v>
      </c>
      <c r="H29" s="19"/>
      <c r="I29" s="9">
        <f>February!I29+H29</f>
        <v>5</v>
      </c>
    </row>
    <row r="30" spans="1:9" s="5" customFormat="1" ht="18" customHeight="1">
      <c r="A30" s="9" t="s">
        <v>32</v>
      </c>
      <c r="B30" s="13">
        <f>60+6+4+46+76+100+5+137+22+68+9+2+410+29+32+6+9+200+15+410+475+53+32+29+11+70+80+160+44+32+260+60+85+28+75+72+102+108+105+25+16+40+44+9+10+300+74+78+62+150</f>
        <v>4335</v>
      </c>
      <c r="C30" s="9">
        <f>February!C30+B30</f>
        <v>13989</v>
      </c>
      <c r="D30" s="15">
        <f>60+60+2+165+3+13+2+1+1+65+1+2+3+3</f>
        <v>381</v>
      </c>
      <c r="E30" s="9">
        <f>February!E30+D30</f>
        <v>1795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>
        <f>150+143+65+114+79+13+172+18+21+186+81+63+24+153+346+140+150+43+65+63+114+79+13+172+18+21+186+81+63+24+153+346+140+64+86+77+10+10+59+74+4+77+165+76+94+77+68+70+5+68+37</f>
        <v>4620</v>
      </c>
      <c r="C31" s="9">
        <f>February!C31+B31</f>
        <v>11691</v>
      </c>
      <c r="D31" s="15">
        <f>146+63+1+1+1+3+8+49+69+11+4+4+12+10+83+2+10+5+146+1+1+1+3+1+48+2+67+11+4+10+12+10+83+2+5+60+1+84+1+42+6+45+1+1+1+3+2+2+4+1+1+8</f>
        <v>1152</v>
      </c>
      <c r="E31" s="9">
        <f>February!E31+D31</f>
        <v>9934</v>
      </c>
      <c r="F31" s="17">
        <f>15+15+40+1+15+15+8+40+1+162</f>
        <v>312</v>
      </c>
      <c r="G31" s="9">
        <f>February!G31+F31</f>
        <v>728</v>
      </c>
      <c r="H31" s="19"/>
      <c r="I31" s="9">
        <f>February!I31+H31</f>
        <v>0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>
        <f>1</f>
        <v>1</v>
      </c>
      <c r="E32" s="9">
        <f>February!E32+D32</f>
        <v>1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363</v>
      </c>
      <c r="D35" s="15"/>
      <c r="E35" s="9">
        <f>February!E35+D35</f>
        <v>0</v>
      </c>
      <c r="F35" s="17">
        <v>7</v>
      </c>
      <c r="G35" s="9">
        <f>February!G35+F35</f>
        <v>7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99</v>
      </c>
      <c r="F36" s="17">
        <f>107+1+1+40</f>
        <v>149</v>
      </c>
      <c r="G36" s="9">
        <f>February!G36+F36</f>
        <v>757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845</v>
      </c>
      <c r="D37" s="15"/>
      <c r="E37" s="9">
        <f>February!E37+D37</f>
        <v>1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>
        <f>92+48+48+90+50+72+77+243+73+62+24+74+76+71+52+80+60+65+186+72+68+67+69+56+85+65+118+103+91+88+126+76+69+77+40+21+171+88+35+26+75+73+100+141+76+167+82+64+78+195+94+88+155+46+64+126+141+40+9+101+84+48+20+62+25+14+154+77+130+84+92+55+117+88+71+72+76+79+68+94+59+74+134+86+170+280+155+54</f>
        <v>7591</v>
      </c>
      <c r="C38" s="9">
        <f>February!C38+B38</f>
        <v>23961</v>
      </c>
      <c r="D38" s="15">
        <f>12+1+1+4+2+1+1+7+1+3+1+1+1+19+2+1+2+4+3+1+1+4+1+17+29+3</f>
        <v>123</v>
      </c>
      <c r="E38" s="9">
        <f>February!E38+D38</f>
        <v>598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>
        <f>52+58</f>
        <v>110</v>
      </c>
      <c r="C39" s="9">
        <f>February!C39+B39</f>
        <v>10391</v>
      </c>
      <c r="D39" s="15">
        <f>1+1+1+1+1</f>
        <v>5</v>
      </c>
      <c r="E39" s="9">
        <f>February!E39+D39</f>
        <v>18</v>
      </c>
      <c r="F39" s="17"/>
      <c r="G39" s="9">
        <f>February!G39+F39</f>
        <v>100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>
        <f>80+15+71+73+76+187+72+66+73+70+111+75+99+82+159+65+88+180+131+122+62+78+258</f>
        <v>2293</v>
      </c>
      <c r="C40" s="9">
        <f>February!C40+B40</f>
        <v>2699</v>
      </c>
      <c r="D40" s="15">
        <f>6+10+1+10+5+10+10+7+27+10+49+1+2+4+2+29</f>
        <v>183</v>
      </c>
      <c r="E40" s="9">
        <f>February!E40+D40</f>
        <v>873</v>
      </c>
      <c r="F40" s="17"/>
      <c r="G40" s="9">
        <f>February!G40+F40</f>
        <v>0</v>
      </c>
      <c r="H40" s="19"/>
      <c r="I40" s="9">
        <f>February!I40+H40</f>
        <v>39</v>
      </c>
    </row>
    <row r="41" spans="1:9" s="5" customFormat="1" ht="18" customHeight="1">
      <c r="A41" s="9" t="s">
        <v>43</v>
      </c>
      <c r="B41" s="13">
        <f>29+17</f>
        <v>46</v>
      </c>
      <c r="C41" s="9">
        <f>February!C41+B41</f>
        <v>562</v>
      </c>
      <c r="D41" s="15">
        <f>1</f>
        <v>1</v>
      </c>
      <c r="E41" s="9">
        <f>February!E41+D41</f>
        <v>66</v>
      </c>
      <c r="F41" s="17">
        <f>4</f>
        <v>4</v>
      </c>
      <c r="G41" s="9">
        <f>February!G41+F41</f>
        <v>4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>
        <f>60+82+60</f>
        <v>202</v>
      </c>
      <c r="C42" s="9">
        <f>February!C42+B42</f>
        <v>594</v>
      </c>
      <c r="D42" s="15">
        <f>1</f>
        <v>1</v>
      </c>
      <c r="E42" s="9">
        <f>February!E42+D42</f>
        <v>25</v>
      </c>
      <c r="F42" s="17">
        <f>3+2+4+14</f>
        <v>23</v>
      </c>
      <c r="G42" s="9">
        <f>February!G42+F42</f>
        <v>78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>
        <f>152+145+150</f>
        <v>447</v>
      </c>
      <c r="C44" s="9">
        <f>February!C44+B44</f>
        <v>1306</v>
      </c>
      <c r="D44" s="15">
        <f>7+1</f>
        <v>8</v>
      </c>
      <c r="E44" s="9">
        <f>February!E44+D44</f>
        <v>8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>
        <f>66+32+38+66+88+20+76+80+16+12+80+99+431+22+63+75+95+151+235+137+48+70+290+67+68+81+159+184+240+154+25+38+129+235+79+90+67+142+69+84+30+4+18+12+26+33+17+19+15+3+25+15+75+16+55+16+18+12+7+22+27+74+106+96+62+102+200+51+95+67+11+93+5+32+14+72+98+252+73+71+101+77+70+150+126+29+60+69+213+13+173+506+458+146+73+87+47+1+48+126+18+90+70+39+2+13+6+140+128+12+3+19+64+70+31+3+15+1+37+50+24+131+30+57+19+25+37+18+37+75+4+79+96+64+281+36+94+23+20+366+50+65+65+556+68+132+66+92+149+238+57+139+70+62+63+95+8+72+210+125+85+66+230+114+315+184+31+181+20+51+29+70+60+14+3+85+86+111+110+139+113+75+37+20+197+11+43+71+60+26+15+23+266+63+134+78+239+229+62+97+83+207+161+84+60+27+16+123+67+37+129+29+59+70+120+142+131+135+523+72+81+137+44+808+76+43+90+130+65+249+116+75+192+31+6+58+135+144+37+130+290+297+74+360+230+58+92+178+37+54+76+273+39+67+76+35+12+20+23+14+39+37+17+8+33+2+34+63+14+19+20+140+43+13+13+78+12+21+14+15+82+48+22+185+63+13+116+34+51+4+40+41+68</f>
        <v>25994</v>
      </c>
      <c r="C45" s="9">
        <f>February!C45+B45</f>
        <v>91713</v>
      </c>
      <c r="D45" s="15">
        <f>2+1+1+2+1+17+14+17+3+16+28+21+14+30+20+35+1+10+7+14+17+6+13+3+8+2+16+9+14+7+15+6+9+10+11+13+7+4+1+6+15+17+11+12+7+21+19+16+8</f>
        <v>557</v>
      </c>
      <c r="E45" s="9">
        <f>February!E45+D45</f>
        <v>2832</v>
      </c>
      <c r="F45" s="17"/>
      <c r="G45" s="9">
        <f>February!G45+F45</f>
        <v>31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>
        <f>135+70+128+119+181+155+193+99+55+96+83+200</f>
        <v>1514</v>
      </c>
      <c r="C46" s="9">
        <f>February!C46+B46</f>
        <v>3340</v>
      </c>
      <c r="D46" s="15"/>
      <c r="E46" s="9">
        <f>February!E46+D46</f>
        <v>3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>
        <f>187+202+22+157+220+156+92+210+71</f>
        <v>1317</v>
      </c>
      <c r="C47" s="9">
        <f>February!C47+B47</f>
        <v>2200</v>
      </c>
      <c r="D47" s="15">
        <f>2+87+87+180+180+180+180+180+180+21+9+9+22+23+8+46</f>
        <v>1394</v>
      </c>
      <c r="E47" s="9">
        <f>February!E47+D47</f>
        <v>2149</v>
      </c>
      <c r="F47" s="17">
        <v>107</v>
      </c>
      <c r="G47" s="9">
        <f>February!G47+F47</f>
        <v>107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/>
      <c r="C48" s="9">
        <f>February!C48+B48</f>
        <v>0</v>
      </c>
      <c r="D48" s="15"/>
      <c r="E48" s="9">
        <f>February!E48+D48</f>
        <v>80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>
        <f>56+83+60+60+76+56+62+290+216</f>
        <v>959</v>
      </c>
      <c r="C50" s="9">
        <f>February!C50+B50</f>
        <v>6740</v>
      </c>
      <c r="D50" s="15">
        <f>1</f>
        <v>1</v>
      </c>
      <c r="E50" s="9">
        <f>February!E50+D50</f>
        <v>1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>
        <f>70+68+60</f>
        <v>198</v>
      </c>
      <c r="C52" s="9">
        <f>February!C52+B52</f>
        <v>907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>
        <f>11+13+30+54+52+116+204+8+14+69+72+17+30+89+12+187+25+11+48+70+56+10+9+68+403+31+12+17+72+2+149+32+7+125+25+71+17+8+3+38+52+4+89+117+181+109+167+50+5+17+39+30+34+285</f>
        <v>3466</v>
      </c>
      <c r="C53" s="9">
        <f>February!C53+B53</f>
        <v>11835</v>
      </c>
      <c r="D53" s="15">
        <f>4+1+1+1+1+9+21+4+2+4+5+1+1+10+16+3+11+1+9+19</f>
        <v>124</v>
      </c>
      <c r="E53" s="9">
        <f>February!E53+D53</f>
        <v>1065</v>
      </c>
      <c r="F53" s="17">
        <f>10+1+39+77+72+59+6+288+34+24+18+13+30+80+25+4+1+72+1+39+11+8+56+58+80+39+9+2</f>
        <v>1156</v>
      </c>
      <c r="G53" s="9">
        <f>February!G53+F53</f>
        <v>2647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>
        <f>7+150+200+200+87+200+200+433+171+75+196+273+73+72</f>
        <v>2337</v>
      </c>
      <c r="C54" s="9">
        <f>February!C54+B54</f>
        <v>3026</v>
      </c>
      <c r="D54" s="15">
        <f>6+1+11+60+9+48+56+57+1+43+4</f>
        <v>296</v>
      </c>
      <c r="E54" s="9">
        <f>February!E54+D54</f>
        <v>801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94120</v>
      </c>
      <c r="C55" s="11"/>
      <c r="D55" s="11">
        <f>SUM(D5:D54)</f>
        <v>5046</v>
      </c>
      <c r="E55" s="11"/>
      <c r="F55" s="11">
        <f>SUM(F5:F54)</f>
        <v>3974</v>
      </c>
      <c r="G55" s="11"/>
      <c r="H55" s="11">
        <f>SUM(H5:H54)</f>
        <v>36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295612</v>
      </c>
      <c r="D57" s="11"/>
      <c r="E57" s="11">
        <f>February!E57+D55</f>
        <v>24482</v>
      </c>
      <c r="F57" s="11"/>
      <c r="G57" s="11">
        <f>February!G57+F55</f>
        <v>10546</v>
      </c>
      <c r="H57" s="11"/>
      <c r="I57" s="11">
        <f>February!I57+H55</f>
        <v>80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3031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3031</v>
      </c>
      <c r="G62" s="4">
        <f>February!G62+F60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21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0</v>
      </c>
      <c r="D5" s="15">
        <f>3+1</f>
        <v>4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344</v>
      </c>
      <c r="D7" s="15"/>
      <c r="E7" s="9">
        <f>March!E7+D7</f>
        <v>0</v>
      </c>
      <c r="F7" s="17"/>
      <c r="G7" s="9">
        <f>March!G7+F7</f>
        <v>0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>
        <f>51+118+115+60+7+37+41+110+240+120</f>
        <v>899</v>
      </c>
      <c r="C8" s="9">
        <f>March!C8+B8</f>
        <v>2151</v>
      </c>
      <c r="D8" s="15">
        <f>1+1+1+1+1+1+1</f>
        <v>7</v>
      </c>
      <c r="E8" s="9">
        <f>March!E8+D8</f>
        <v>32</v>
      </c>
      <c r="F8" s="17"/>
      <c r="G8" s="9">
        <f>March!G8+F8</f>
        <v>131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/>
      <c r="C9" s="9">
        <f>March!C9+B9</f>
        <v>0</v>
      </c>
      <c r="D9" s="15">
        <v>11</v>
      </c>
      <c r="E9" s="9">
        <f>March!E9+D9</f>
        <v>15</v>
      </c>
      <c r="F9" s="17">
        <f>1+1+2+60+15+1</f>
        <v>80</v>
      </c>
      <c r="G9" s="9">
        <f>March!G9+F9</f>
        <v>2686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>
        <v>872</v>
      </c>
      <c r="C10" s="9">
        <f>March!C10+B10</f>
        <v>982</v>
      </c>
      <c r="D10" s="15">
        <v>3</v>
      </c>
      <c r="E10" s="9">
        <f>March!E10+D10</f>
        <v>34</v>
      </c>
      <c r="F10" s="17">
        <v>6</v>
      </c>
      <c r="G10" s="9">
        <f>March!G10+F10</f>
        <v>16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>
        <f>6+6+1+14</f>
        <v>27</v>
      </c>
      <c r="C11" s="9">
        <f>March!C11+B11</f>
        <v>256</v>
      </c>
      <c r="D11" s="15">
        <f>3+1+2+1+1+1+7+75+40+10+11+2+22+14+7+1+1+2+2</f>
        <v>203</v>
      </c>
      <c r="E11" s="9">
        <f>March!E11+D11</f>
        <v>436</v>
      </c>
      <c r="F11" s="17"/>
      <c r="G11" s="9">
        <f>March!G11+F11</f>
        <v>120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/>
      <c r="C14" s="9">
        <f>March!C14+B14</f>
        <v>42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>
        <f>73+52+68+58</f>
        <v>251</v>
      </c>
      <c r="C15" s="9">
        <f>March!C15+B15</f>
        <v>612</v>
      </c>
      <c r="D15" s="15">
        <f>18+1</f>
        <v>19</v>
      </c>
      <c r="E15" s="9">
        <f>March!E15+D15</f>
        <v>19</v>
      </c>
      <c r="F15" s="17"/>
      <c r="G15" s="9">
        <f>March!G15+F15</f>
        <v>284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>
        <f>66</f>
        <v>66</v>
      </c>
      <c r="C17" s="9">
        <f>March!C17+B17</f>
        <v>1135</v>
      </c>
      <c r="D17" s="15"/>
      <c r="E17" s="9">
        <f>March!E17+D17</f>
        <v>29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>
        <f>60+73+50+70+2+5+7+80</f>
        <v>347</v>
      </c>
      <c r="C18" s="9">
        <f>March!C18+B18</f>
        <v>2347</v>
      </c>
      <c r="D18" s="15">
        <f>1+1+1+11+3+1+1+10+11+30+12+15+9+13+1</f>
        <v>120</v>
      </c>
      <c r="E18" s="9">
        <f>March!E18+D18</f>
        <v>809</v>
      </c>
      <c r="F18" s="17">
        <f>2+6+6+20+1</f>
        <v>35</v>
      </c>
      <c r="G18" s="9">
        <f>March!G18+F18</f>
        <v>127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>
        <f>150+68+16+150+70+936</f>
        <v>1390</v>
      </c>
      <c r="C19" s="9">
        <f>March!C19+B19</f>
        <v>4958</v>
      </c>
      <c r="D19" s="15">
        <f>1+1</f>
        <v>2</v>
      </c>
      <c r="E19" s="9">
        <f>March!E19+D19</f>
        <v>169</v>
      </c>
      <c r="F19" s="17">
        <f>111</f>
        <v>111</v>
      </c>
      <c r="G19" s="9">
        <f>March!G19+F19</f>
        <v>659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>
        <f>68+64+5+128+150+120+345</f>
        <v>880</v>
      </c>
      <c r="C20" s="9">
        <f>March!C20+B20</f>
        <v>10138</v>
      </c>
      <c r="D20" s="15">
        <f>3+6+3+7+5+2+1+8+4+7+10+1</f>
        <v>57</v>
      </c>
      <c r="E20" s="9">
        <f>March!E20+D20</f>
        <v>405</v>
      </c>
      <c r="F20" s="17">
        <f>1+2+3+2+1+1+1</f>
        <v>11</v>
      </c>
      <c r="G20" s="9">
        <f>March!G20+F20</f>
        <v>512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>
        <f>70+57+63+54+245+75+139+185+65+61+133+299+132+93+88+21+208+212+92+182+114+102+27+22+11+89+49+63+75+57+9+98+57+63+153+34+174+106+60+122+80+70+56+24+41+77+66+410+153+66+78+68+62+70+75+350+140+405+68+109+65+62+100+73+94+60+65+62+68+78+66+153+410+66+77+24+41+122+56+80+70</f>
        <v>8319</v>
      </c>
      <c r="C21" s="9">
        <f>March!C21+B21</f>
        <v>34997</v>
      </c>
      <c r="D21" s="15">
        <f>16+3+10+7+2+1+1+8</f>
        <v>48</v>
      </c>
      <c r="E21" s="9">
        <f>March!E21+D21</f>
        <v>133</v>
      </c>
      <c r="F21" s="17">
        <f>1+2+2+1+5</f>
        <v>11</v>
      </c>
      <c r="G21" s="9">
        <f>March!G21+F21</f>
        <v>11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>
        <f>1+13</f>
        <v>14</v>
      </c>
      <c r="E22" s="9">
        <f>March!E22+D22</f>
        <v>14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4</v>
      </c>
      <c r="F24" s="17">
        <f>1</f>
        <v>1</v>
      </c>
      <c r="G24" s="9">
        <f>March!G24+F24</f>
        <v>1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>
        <f>87</f>
        <v>87</v>
      </c>
      <c r="C26" s="9">
        <f>March!C26+B26</f>
        <v>1171</v>
      </c>
      <c r="D26" s="15">
        <f>1+1+1+2</f>
        <v>5</v>
      </c>
      <c r="E26" s="9">
        <f>March!E26+D26</f>
        <v>12</v>
      </c>
      <c r="F26" s="17">
        <f>1</f>
        <v>1</v>
      </c>
      <c r="G26" s="9">
        <f>March!G26+F26</f>
        <v>6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>
        <f>2+46+14+15+37+99+120+79+263+77+6+10+11+69+5+64+3+62+10+15+17+13+17+51+2+2+16+7+26+50+13+8+22+38+8+252+25+40+60+69+91+94+105+165+67+59+74+59+160+65+26+4+28+9+24+41+18+34+38+11+9+7+7+36+34+11+25+28+28+31+13+11+49+132+7+20+16+13+19+4+6+35+39+20+16+5+19+173+62+2+145</f>
        <v>3937</v>
      </c>
      <c r="C27" s="9">
        <f>March!C27+B27</f>
        <v>19053</v>
      </c>
      <c r="D27" s="15">
        <f>3+2+2+2+4+17+5+79+5+24+16+8+13+4+5+1+13+6+7+4+1+2+3+14+2</f>
        <v>242</v>
      </c>
      <c r="E27" s="9">
        <f>March!E27+D27</f>
        <v>910</v>
      </c>
      <c r="F27" s="17">
        <f>1+120+60+16+19+2+1+60+77+6+8+60+5+120+4+3+1+1+67+10+17+20+1+136</f>
        <v>815</v>
      </c>
      <c r="G27" s="9">
        <f>March!G27+F27</f>
        <v>2605</v>
      </c>
      <c r="H27" s="19">
        <f>10</f>
        <v>10</v>
      </c>
      <c r="I27" s="9">
        <f>March!I27+H27</f>
        <v>46</v>
      </c>
    </row>
    <row r="28" spans="1:9" s="5" customFormat="1" ht="18" customHeight="1">
      <c r="A28" s="9" t="s">
        <v>30</v>
      </c>
      <c r="B28" s="13"/>
      <c r="C28" s="9">
        <f>March!C28+B28</f>
        <v>261</v>
      </c>
      <c r="D28" s="15"/>
      <c r="E28" s="9">
        <f>March!E28+D28</f>
        <v>6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>
        <f>60+68+68+117+66+70+70+88+63+240+62+65+65+62+56+70+74+96+59+57+59+61+74+120+110+27+108+80+66+42+234+263+147+12+88+55+144+18+11+209+206+57+313+126+106+303+40+124+65+5+16+26+127+103+199+55+35+22+62+180+60+77+110+115+117+59+188+60+171+402+47+71+77+77+29+22+31+45+92+68+67+151+64+15+23+61+53+61+91+57+57+42+62+60+67+63+118+60+60+63+119+125+24+160</f>
        <v>9315</v>
      </c>
      <c r="C29" s="9">
        <f>March!C29+B29</f>
        <v>57393</v>
      </c>
      <c r="D29" s="15">
        <f>2+6+2+2+6+2+1+7+1+4+14+11+11+19+2+22+22+2+1+8+22+4+1+10+5+1+1</f>
        <v>189</v>
      </c>
      <c r="E29" s="9">
        <f>March!E29+D29</f>
        <v>2026</v>
      </c>
      <c r="F29" s="17"/>
      <c r="G29" s="9">
        <f>March!G29+F29</f>
        <v>0</v>
      </c>
      <c r="H29" s="19"/>
      <c r="I29" s="9">
        <f>March!I29+H29</f>
        <v>5</v>
      </c>
    </row>
    <row r="30" spans="1:9" s="5" customFormat="1" ht="18" customHeight="1">
      <c r="A30" s="9" t="s">
        <v>32</v>
      </c>
      <c r="B30" s="13">
        <f>20+15+5+7+74+130+690+81+11+33+10+5+23+23+346+12+15+62+48+80+39+150+11+7+190+72+395+3+21+270+46+9+39+45+73+46+156+39+160+72+85+80+27+7+76+11+10</f>
        <v>3829</v>
      </c>
      <c r="C30" s="9">
        <f>March!C30+B30</f>
        <v>17818</v>
      </c>
      <c r="D30" s="15">
        <f>4+2+2+168+52+163+104+1+3+6+1+9+218+1+1+2+166+2+104+1+105+2+1+1+8</f>
        <v>1127</v>
      </c>
      <c r="E30" s="9">
        <f>March!E30+D30</f>
        <v>2922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>
        <f>47+76+65+116+95+6+68+68+204+174+64+31+97+2+177+82+12+25+80+88+34+86+27+90+410+105+91+9+29+62+78+73+14+4+44+95+16+18+42+42+140+159+176+14+170+321+89+86+128</f>
        <v>4229</v>
      </c>
      <c r="C31" s="9">
        <f>March!C31+B31</f>
        <v>15920</v>
      </c>
      <c r="D31" s="15">
        <f>2+6+2+2+1+43+5+41+43+41+41+2+1+46+4+6+1+1+16+6+1+2+2+3+13+3+3+12+21+2+9+1+72+14+5+86+13+64+24+5+4+3+13+65+7+45+45+31+65+23+3+100+3+10+9+6+3+14+2+33+1+2+1+21+1+16+36+42+4+1</f>
        <v>1274</v>
      </c>
      <c r="E31" s="9">
        <f>March!E31+D31</f>
        <v>11208</v>
      </c>
      <c r="F31" s="17">
        <f>41+40+40+40+40+70</f>
        <v>271</v>
      </c>
      <c r="G31" s="9">
        <f>March!G31+F31</f>
        <v>999</v>
      </c>
      <c r="H31" s="19"/>
      <c r="I31" s="9">
        <f>March!I31+H31</f>
        <v>0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1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>
        <f>468</f>
        <v>468</v>
      </c>
      <c r="C35" s="9">
        <f>March!C35+B35</f>
        <v>831</v>
      </c>
      <c r="D35" s="15"/>
      <c r="E35" s="9">
        <f>March!E35+D35</f>
        <v>0</v>
      </c>
      <c r="F35" s="17">
        <f>130</f>
        <v>130</v>
      </c>
      <c r="G35" s="9">
        <f>March!G35+F35</f>
        <v>137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/>
      <c r="C36" s="9">
        <f>March!C36+B36</f>
        <v>0</v>
      </c>
      <c r="D36" s="15">
        <f>26+10+1</f>
        <v>37</v>
      </c>
      <c r="E36" s="9">
        <f>March!E36+D36</f>
        <v>136</v>
      </c>
      <c r="F36" s="17">
        <f>37+1+10+10+90+1+1</f>
        <v>150</v>
      </c>
      <c r="G36" s="9">
        <f>March!G36+F36</f>
        <v>907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845</v>
      </c>
      <c r="D37" s="15">
        <f>5</f>
        <v>5</v>
      </c>
      <c r="E37" s="9">
        <f>March!E37+D37</f>
        <v>6</v>
      </c>
      <c r="F37" s="17"/>
      <c r="G37" s="9">
        <f>March!G37+F37</f>
        <v>0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>
        <f>87+87+154+145+73+91+63+140+107+50+98+31+66+103+81+73+64+76+77+19+84+78+3+43+15+19+13+49+100+34+83+43+1+60+93+144+9+126+48+168+73+44+73+198+74+180+48+204+57+199+52+64+148+126+290+160+75+70+78+150+76+36+71+39</f>
        <v>5483</v>
      </c>
      <c r="C38" s="9">
        <f>March!C38+B38</f>
        <v>29444</v>
      </c>
      <c r="D38" s="15">
        <f>4+56+5+88+32+32+1+1+4+1+31+1+1+18+2</f>
        <v>277</v>
      </c>
      <c r="E38" s="9">
        <f>March!E38+D38</f>
        <v>875</v>
      </c>
      <c r="F38" s="17"/>
      <c r="G38" s="9">
        <f>March!G38+F38</f>
        <v>0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>
        <f>250+375+61+149+265+250+146</f>
        <v>1496</v>
      </c>
      <c r="C39" s="9">
        <f>March!C39+B39</f>
        <v>11887</v>
      </c>
      <c r="D39" s="15">
        <f>2+1</f>
        <v>3</v>
      </c>
      <c r="E39" s="9">
        <f>March!E39+D39</f>
        <v>21</v>
      </c>
      <c r="F39" s="17">
        <f>100</f>
        <v>100</v>
      </c>
      <c r="G39" s="9">
        <f>March!G39+F39</f>
        <v>200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>
        <f>66+64+104+63+77+61+68+70+72+70+17+65+433+70+60+228+240+100+61+80</f>
        <v>2069</v>
      </c>
      <c r="C40" s="9">
        <f>March!C40+B40</f>
        <v>4768</v>
      </c>
      <c r="D40" s="15">
        <f>2+1+1+72+50+72+33+1+5+5+9+40+17+8+10</f>
        <v>326</v>
      </c>
      <c r="E40" s="9">
        <f>March!E40+D40</f>
        <v>1199</v>
      </c>
      <c r="F40" s="17">
        <f>4</f>
        <v>4</v>
      </c>
      <c r="G40" s="9">
        <f>March!G40+F40</f>
        <v>4</v>
      </c>
      <c r="H40" s="19"/>
      <c r="I40" s="9">
        <f>March!I40+H40</f>
        <v>39</v>
      </c>
    </row>
    <row r="41" spans="1:9" s="5" customFormat="1" ht="18" customHeight="1">
      <c r="A41" s="9" t="s">
        <v>43</v>
      </c>
      <c r="B41" s="13">
        <f>50+170</f>
        <v>220</v>
      </c>
      <c r="C41" s="9">
        <f>March!C41+B41</f>
        <v>782</v>
      </c>
      <c r="D41" s="15"/>
      <c r="E41" s="9">
        <f>March!E41+D41</f>
        <v>66</v>
      </c>
      <c r="F41" s="17"/>
      <c r="G41" s="9">
        <f>March!G41+F41</f>
        <v>4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>
        <f>75+100</f>
        <v>175</v>
      </c>
      <c r="C42" s="9">
        <f>March!C42+B42</f>
        <v>769</v>
      </c>
      <c r="D42" s="15"/>
      <c r="E42" s="9">
        <f>March!E42+D42</f>
        <v>25</v>
      </c>
      <c r="F42" s="17">
        <f>1</f>
        <v>1</v>
      </c>
      <c r="G42" s="9">
        <f>March!G42+F42</f>
        <v>79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>
        <f>94+45+126+115+96</f>
        <v>476</v>
      </c>
      <c r="C44" s="9">
        <f>March!C44+B44</f>
        <v>1782</v>
      </c>
      <c r="D44" s="15">
        <v>0</v>
      </c>
      <c r="E44" s="9">
        <f>March!E44+D44</f>
        <v>8</v>
      </c>
      <c r="F44" s="17">
        <f>1</f>
        <v>1</v>
      </c>
      <c r="G44" s="9">
        <f>March!G44+F44</f>
        <v>1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>
        <f>69+170+111+1+17+39+90+27+51+9+28+11+80+10+39+26+11+145+73+71+280+196+9+34+13+124+61+58+20+61+8+38+18+18+30+19+74+8+66+62+93+9+225+34+25+75+24+72+81+91+6+1+13+42+6+119+28+55+75+18+57+95+13+17+37+5+110+23+71+11+17+83+63+82+120+23+94+335+100+69+9+431+15+10+35+79+6+1+9+4+5+8+59+12+24+92+166+75+58+74+74+66+63+90+147+91+75+4+61+86+142+167+79+163+245+145+28+41+156+72+74+35+8+115+51+74+38+43+52+60+90+301+59+428+54+55+59+78+75+538+119+77+61+101+194+275+194+33+17+58+64+46+40+149+75+79+148+77+70+28+62+387+70+55+45+89+154+45+26+73+71+8+25+33+450+69+52+55+47+17+87+51+49+94+97+3+36+150+118+41+108+51+71+34+44+29+61+115+81+39+36+31+83+37+66+130+267+2+85+24+19+47+14+9+13+2+24+53+5+66+27+16+18+14+42+85+10+6+12+2+35+95+16+36+72+57+37+106+103+57+79+65+99+83+415+180+106+234+132+77+67+93+43+70+58+59+320+104+67+49+31+65+12+10+15+23+19+46+12+87+44+68+64+64+55+67+13+87+80+347+148</f>
        <v>20959</v>
      </c>
      <c r="C45" s="9">
        <f>March!C45+B45</f>
        <v>112672</v>
      </c>
      <c r="D45" s="15">
        <f>11+2+18+4+15+12+20+14+38+24+24+9+12+18+7+8+18+12+12+4+3+9+31+18+1+28+1+58+53+8+1+1+12+12</f>
        <v>518</v>
      </c>
      <c r="E45" s="9">
        <f>March!E45+D45</f>
        <v>3350</v>
      </c>
      <c r="F45" s="17">
        <f>2+4+104</f>
        <v>110</v>
      </c>
      <c r="G45" s="9">
        <f>March!G45+F45</f>
        <v>141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>
        <f>67+76+50+96+60+58+175+68+62+59+67+58+98+116+53+52+110+95+67+57+135+42+52+96+69+74+79+134+88+133+66+99+68+105+51+100+57+62+78+62+84+68+115+127+127</f>
        <v>3715</v>
      </c>
      <c r="C46" s="9">
        <f>March!C46+B46</f>
        <v>7055</v>
      </c>
      <c r="D46" s="15"/>
      <c r="E46" s="9">
        <f>March!E46+D46</f>
        <v>3</v>
      </c>
      <c r="F46" s="17">
        <f>2+2+10+1+1</f>
        <v>16</v>
      </c>
      <c r="G46" s="9">
        <f>March!G46+F46</f>
        <v>16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>
        <f>230+25+89+89</f>
        <v>433</v>
      </c>
      <c r="C47" s="9">
        <f>March!C47+B47</f>
        <v>2633</v>
      </c>
      <c r="D47" s="15">
        <f>215</f>
        <v>215</v>
      </c>
      <c r="E47" s="9">
        <f>March!E47+D47</f>
        <v>2364</v>
      </c>
      <c r="F47" s="17"/>
      <c r="G47" s="9">
        <f>March!G47+F47</f>
        <v>107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0</v>
      </c>
      <c r="D48" s="15">
        <f>1+1+3+1+1+2</f>
        <v>9</v>
      </c>
      <c r="E48" s="9">
        <f>March!E48+D48</f>
        <v>89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>
        <f>260+61+76+190+60+56+61+195+134+30+30+5+3+74+452+64+115+58+116+130+215+195+202+110+290+190+60</f>
        <v>3432</v>
      </c>
      <c r="C50" s="9">
        <f>March!C50+B50</f>
        <v>10172</v>
      </c>
      <c r="D50" s="15"/>
      <c r="E50" s="9">
        <f>March!E50+D50</f>
        <v>1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>
        <f>39+23+62+58+65+45+14+53+60+53+2</f>
        <v>474</v>
      </c>
      <c r="C52" s="9">
        <f>March!C52+B52</f>
        <v>1381</v>
      </c>
      <c r="D52" s="15">
        <f>49+6</f>
        <v>55</v>
      </c>
      <c r="E52" s="9">
        <f>March!E52+D52</f>
        <v>55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>
        <f>10+42+12+18+32+36+38+13+16+20+23+13+12+3+2888+10+24+18+91+19+44+66+70+3+67+23+15+12+108+73+42+15+23+9+21+28+95+39+6+11+29+32+33+30+4+38+56+54+63+15+13+72+68+174+66+16+72+64+57+13+12+62+42+1+22+21+4+52+24+33+37+51+59+4+7+9+27+15+43+10+25+50+72+147</f>
        <v>5906</v>
      </c>
      <c r="C53" s="9">
        <f>March!C53+B53</f>
        <v>17741</v>
      </c>
      <c r="D53" s="15">
        <f>86+1+3+10+3+2+2+1+1+3+2</f>
        <v>114</v>
      </c>
      <c r="E53" s="9">
        <f>March!E53+D53</f>
        <v>1179</v>
      </c>
      <c r="F53" s="17">
        <f>1+2+1+2+1+1+1+1+1+10+2+10+6+30+20+44+1+72+110+8+9+69+38+49+17+51+2+1+2+2+1+5+30+30+60+7+5+31+39+55+2+59+7+7+27+1+1</f>
        <v>931</v>
      </c>
      <c r="G53" s="9">
        <f>March!G53+F53</f>
        <v>3578</v>
      </c>
      <c r="H53" s="19">
        <f>37</f>
        <v>37</v>
      </c>
      <c r="I53" s="9">
        <f>March!I53+H53</f>
        <v>37</v>
      </c>
    </row>
    <row r="54" spans="1:9" s="5" customFormat="1" ht="18" customHeight="1" thickBot="1">
      <c r="A54" s="10" t="s">
        <v>56</v>
      </c>
      <c r="B54" s="13">
        <f>85+52+151+139+200+450+33+9</f>
        <v>1119</v>
      </c>
      <c r="C54" s="9">
        <f>March!C54+B54</f>
        <v>4145</v>
      </c>
      <c r="D54" s="16">
        <f>49+1+1+33+24+88+61+59+43+2+1</f>
        <v>362</v>
      </c>
      <c r="E54" s="9">
        <f>March!E54+D54</f>
        <v>1163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80873</v>
      </c>
      <c r="C55" s="11"/>
      <c r="D55" s="11">
        <f>SUM(D5:D54)</f>
        <v>5246</v>
      </c>
      <c r="E55" s="11"/>
      <c r="F55" s="11">
        <f>SUM(F5:F54)</f>
        <v>2785</v>
      </c>
      <c r="G55" s="11"/>
      <c r="H55" s="11">
        <f>SUM(H5:H54)</f>
        <v>47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376485</v>
      </c>
      <c r="D57" s="11"/>
      <c r="E57" s="11">
        <f>March!E57+D55</f>
        <v>29728</v>
      </c>
      <c r="F57" s="11"/>
      <c r="G57" s="11">
        <f>March!G57+F55</f>
        <v>13331</v>
      </c>
      <c r="H57" s="11"/>
      <c r="I57" s="11">
        <f>March!I57+H55</f>
        <v>127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3530</v>
      </c>
      <c r="F60" s="5">
        <v>24360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6561</v>
      </c>
      <c r="G62" s="4">
        <f>March!G62+F60</f>
        <v>24360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41" activePane="bottomLeft" state="frozen"/>
      <selection pane="topLeft" activeCell="A1" sqref="A1"/>
      <selection pane="bottomLeft" activeCell="B47" sqref="B47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April!C5+B5</f>
        <v>0</v>
      </c>
      <c r="D5" s="15">
        <f>1</f>
        <v>1</v>
      </c>
      <c r="E5" s="9">
        <f>April!E5+D5</f>
        <v>5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/>
      <c r="C7" s="9">
        <f>April!C7+B7</f>
        <v>344</v>
      </c>
      <c r="D7" s="15"/>
      <c r="E7" s="9">
        <f>April!E7+D7</f>
        <v>0</v>
      </c>
      <c r="F7" s="17">
        <f>700</f>
        <v>700</v>
      </c>
      <c r="G7" s="9">
        <f>April!G7+F7</f>
        <v>700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>
        <f>63+60+106+66+67+101</f>
        <v>463</v>
      </c>
      <c r="C8" s="9">
        <f>April!C8+B8</f>
        <v>2614</v>
      </c>
      <c r="D8" s="15"/>
      <c r="E8" s="9">
        <f>April!E8+D8</f>
        <v>32</v>
      </c>
      <c r="F8" s="17"/>
      <c r="G8" s="9">
        <f>April!G8+F8</f>
        <v>131</v>
      </c>
      <c r="H8" s="19"/>
      <c r="I8" s="9">
        <f>April!I8+H8</f>
        <v>0</v>
      </c>
    </row>
    <row r="9" spans="1:9" s="5" customFormat="1" ht="18" customHeight="1">
      <c r="A9" s="9" t="s">
        <v>11</v>
      </c>
      <c r="B9" s="13">
        <f>86+233</f>
        <v>319</v>
      </c>
      <c r="C9" s="9">
        <f>April!C9+B9</f>
        <v>319</v>
      </c>
      <c r="D9" s="15">
        <f>20+37+38</f>
        <v>95</v>
      </c>
      <c r="E9" s="9">
        <f>April!E9+D9</f>
        <v>110</v>
      </c>
      <c r="F9" s="17">
        <f>7+16+4+8+25+8+6+14+110+42+43+18+26+16+117+38+13+4+196</f>
        <v>711</v>
      </c>
      <c r="G9" s="9">
        <f>April!G9+F9</f>
        <v>3397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>
        <f>872+183</f>
        <v>1055</v>
      </c>
      <c r="C10" s="9">
        <f>April!C10+B10</f>
        <v>2037</v>
      </c>
      <c r="D10" s="15">
        <f>3</f>
        <v>3</v>
      </c>
      <c r="E10" s="9">
        <f>April!E10+D10</f>
        <v>37</v>
      </c>
      <c r="F10" s="17">
        <f>1+6</f>
        <v>7</v>
      </c>
      <c r="G10" s="9">
        <f>April!G10+F10</f>
        <v>23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>
        <f>5+15</f>
        <v>20</v>
      </c>
      <c r="C11" s="9">
        <f>April!C11+B11</f>
        <v>276</v>
      </c>
      <c r="D11" s="15">
        <f>3</f>
        <v>3</v>
      </c>
      <c r="E11" s="9">
        <f>April!E11+D11</f>
        <v>439</v>
      </c>
      <c r="F11" s="17">
        <f>46+48+14+32+8+32+16+32+20</f>
        <v>248</v>
      </c>
      <c r="G11" s="9">
        <f>April!G11+F11</f>
        <v>368</v>
      </c>
      <c r="H11" s="19">
        <f>16</f>
        <v>16</v>
      </c>
      <c r="I11" s="9">
        <f>April!I11+H11</f>
        <v>16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16</v>
      </c>
      <c r="B14" s="13">
        <f>10+115</f>
        <v>125</v>
      </c>
      <c r="C14" s="9">
        <f>April!C14+B14</f>
        <v>167</v>
      </c>
      <c r="D14" s="15">
        <f>115</f>
        <v>115</v>
      </c>
      <c r="E14" s="9">
        <f>April!E14+D14</f>
        <v>115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>
        <f>350+56</f>
        <v>406</v>
      </c>
      <c r="C15" s="9">
        <f>April!C15+B15</f>
        <v>1018</v>
      </c>
      <c r="D15" s="15"/>
      <c r="E15" s="9">
        <f>April!E15+D15</f>
        <v>19</v>
      </c>
      <c r="F15" s="17"/>
      <c r="G15" s="9">
        <f>April!G15+F15</f>
        <v>284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>
        <f>180</f>
        <v>180</v>
      </c>
      <c r="C17" s="9">
        <f>April!C17+B17</f>
        <v>1315</v>
      </c>
      <c r="D17" s="15">
        <f>1+2+1+10+23+23+2+7+45+60</f>
        <v>174</v>
      </c>
      <c r="E17" s="9">
        <f>April!E17+D17</f>
        <v>203</v>
      </c>
      <c r="F17" s="17">
        <f>123+1</f>
        <v>124</v>
      </c>
      <c r="G17" s="9">
        <f>April!G17+F17</f>
        <v>124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>
        <f>6+52+69+1+2+171</f>
        <v>301</v>
      </c>
      <c r="C18" s="9">
        <f>April!C18+B18</f>
        <v>2648</v>
      </c>
      <c r="D18" s="15">
        <f>2+19+19</f>
        <v>40</v>
      </c>
      <c r="E18" s="9">
        <f>April!E18+D18</f>
        <v>849</v>
      </c>
      <c r="F18" s="17">
        <f>3+6+87+5+1+1+1+3+3+4</f>
        <v>114</v>
      </c>
      <c r="G18" s="9">
        <f>April!G18+F18</f>
        <v>241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>
        <f>120+100+50+150+150+67+67+62+62+848+1383</f>
        <v>3059</v>
      </c>
      <c r="C19" s="9">
        <f>April!C19+B19</f>
        <v>8017</v>
      </c>
      <c r="D19" s="15">
        <f>2+99+50+1+1</f>
        <v>153</v>
      </c>
      <c r="E19" s="9">
        <f>April!E19+D19</f>
        <v>322</v>
      </c>
      <c r="F19" s="17">
        <f>1</f>
        <v>1</v>
      </c>
      <c r="G19" s="9">
        <f>April!G19+F19</f>
        <v>660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>
        <f>67+70+70+53+52+53+53+26+53+53+33+33+40+350+64+29+210</f>
        <v>1309</v>
      </c>
      <c r="C20" s="9">
        <f>April!C20+B20</f>
        <v>11447</v>
      </c>
      <c r="D20" s="15">
        <f>2+1+4+3+80+2+1+50+6+24+2+1+50+6+24+2+21+13+8+8+6+55+48+48</f>
        <v>465</v>
      </c>
      <c r="E20" s="9">
        <f>April!E20+D20</f>
        <v>870</v>
      </c>
      <c r="F20" s="17"/>
      <c r="G20" s="9">
        <f>April!G20+F20</f>
        <v>512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>
        <f>54+59+85+182+65+85+70+140+140+65+59+405+68+180+55+78+72+91+96+188+71+96+61+66+127+60+56+120+65+52+114+69+77+58+117+66+147+180+75+62+1000+106+112+92+18+81+25+53+52+29+24+54+101+39+59+129+66+340+24+29+54+101+39+59+129+66+340+89+83+90+74+425+116+191+74+68+62+250+225+145+63+58+140+125+130+315+130+130+64+471+117+77+12+91+81+22+205+106+70+73+106+109+107+104+71+62+62+61+5+57+76+59+56+61+66+348+93+44+57+65+45+24+70+62+140+180+130+134+62+79+87+74+150+195+68+65+62+69+179+106+71+68+62+58+77+58+114+69+120+60+56+127+188+71+96+96+61+66+65+117+53+52+81+25+92+18+112+75+31+340+79+62+134</f>
        <v>18073</v>
      </c>
      <c r="C21" s="9">
        <f>April!C21+B21</f>
        <v>53070</v>
      </c>
      <c r="D21" s="15">
        <f>1+1+1+1+1+1</f>
        <v>6</v>
      </c>
      <c r="E21" s="9">
        <f>April!E21+D21</f>
        <v>139</v>
      </c>
      <c r="F21" s="17"/>
      <c r="G21" s="9">
        <f>April!G21+F21</f>
        <v>11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14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>
        <f>1+1</f>
        <v>2</v>
      </c>
      <c r="E24" s="9">
        <f>April!E24+D24</f>
        <v>6</v>
      </c>
      <c r="F24" s="17">
        <f>1+1</f>
        <v>2</v>
      </c>
      <c r="G24" s="9">
        <f>April!G24+F24</f>
        <v>3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>
        <f>87+100+100+66+113</f>
        <v>466</v>
      </c>
      <c r="C26" s="9">
        <f>April!C26+B26</f>
        <v>1637</v>
      </c>
      <c r="D26" s="15"/>
      <c r="E26" s="9">
        <f>April!E26+D26</f>
        <v>12</v>
      </c>
      <c r="F26" s="17">
        <f>1+6</f>
        <v>7</v>
      </c>
      <c r="G26" s="9">
        <f>April!G26+F26</f>
        <v>13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>
        <f>4+55+17+33+30+25+13+3+2+10+12+5+54+50+52+8+36+4+11+59+5+25+68+65+89+48+8+2+23+24+28+7+10+2+29+7+13+13+57+6+12+63+52+46+80+235+11+69+35+67+64+34+37+72+53+57+29+54+22</f>
        <v>2104</v>
      </c>
      <c r="C27" s="9">
        <f>April!C27+B27</f>
        <v>21157</v>
      </c>
      <c r="D27" s="15">
        <f>9+63+18+2+9+75+3+31</f>
        <v>210</v>
      </c>
      <c r="E27" s="9">
        <f>April!E27+D27</f>
        <v>1120</v>
      </c>
      <c r="F27" s="17">
        <f>5+121+2+4+8+11+60+12+62+2+43</f>
        <v>330</v>
      </c>
      <c r="G27" s="9">
        <f>April!G27+F27</f>
        <v>2935</v>
      </c>
      <c r="H27" s="19"/>
      <c r="I27" s="9">
        <f>April!I27+H27</f>
        <v>46</v>
      </c>
    </row>
    <row r="28" spans="1:9" s="5" customFormat="1" ht="18" customHeight="1">
      <c r="A28" s="9" t="s">
        <v>30</v>
      </c>
      <c r="B28" s="13">
        <f>50</f>
        <v>50</v>
      </c>
      <c r="C28" s="9">
        <f>April!C28+B28</f>
        <v>311</v>
      </c>
      <c r="D28" s="15"/>
      <c r="E28" s="9">
        <f>April!E28+D28</f>
        <v>6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>
        <f>132+79+120+41+116+68+97+77+88+110+78+88+80+109+54+20+110+186+80+116+74+70+70+70+89+59+59+71+40+11+42+2+53+87+8+95+68+38+25+116+45+145+100+82+55+68+75+71+120+71+68+115+91+60+86+113+61+57+58+83+122+100+94+61+42+53+72+69+77+67+60+108+100+60+40+60+8+114+73+81+53+20+117+133+110+75+19+93+69+65+319+40+44+187+67+200+75+92+41+18+82+104+64+82+90+72+80+86+72+86+112+59+167+96+65+68</f>
        <v>9303</v>
      </c>
      <c r="C29" s="9">
        <f>April!C29+B29</f>
        <v>66696</v>
      </c>
      <c r="D29" s="15">
        <f>2+2+60+62+8+6+1+1+18</f>
        <v>160</v>
      </c>
      <c r="E29" s="9">
        <f>April!E29+D29</f>
        <v>2186</v>
      </c>
      <c r="F29" s="17">
        <f>79+301+51+40+40+1</f>
        <v>512</v>
      </c>
      <c r="G29" s="9">
        <f>April!G29+F29</f>
        <v>512</v>
      </c>
      <c r="H29" s="19">
        <f>90+94</f>
        <v>184</v>
      </c>
      <c r="I29" s="9">
        <f>April!I29+H29</f>
        <v>189</v>
      </c>
    </row>
    <row r="30" spans="1:9" s="5" customFormat="1" ht="18" customHeight="1">
      <c r="A30" s="9" t="s">
        <v>32</v>
      </c>
      <c r="B30" s="13">
        <f>16+100+260+305+118+25+65+23+70+7+37+15+100+190+36+15+80+257+144+51+53+66+15+9+14+38+92+40</f>
        <v>2241</v>
      </c>
      <c r="C30" s="9">
        <f>April!C30+B30</f>
        <v>20059</v>
      </c>
      <c r="D30" s="15">
        <f>6+53+32+182+1+1+16+1+2+19+90+12+90+34</f>
        <v>539</v>
      </c>
      <c r="E30" s="9">
        <f>April!E30+D30</f>
        <v>3461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>
        <f>55</f>
        <v>55</v>
      </c>
      <c r="C31" s="9">
        <f>April!C31+B31</f>
        <v>15975</v>
      </c>
      <c r="D31" s="15">
        <f>2+9+4+3+4+2+45+47+13+49+129+4+5+28+41+41+33+41+41+15+41+41+6+20+35+35+2+37+37+108+37+37+1+37+37+2+1+42+25+72+1+54+40+104+1+5+3+1+3+74+40+3+2+10+144+6+61+6+5+170+35+68+2</f>
        <v>2047</v>
      </c>
      <c r="E31" s="9">
        <f>April!E31+D31</f>
        <v>13255</v>
      </c>
      <c r="F31" s="17">
        <f>41+40+40+159</f>
        <v>280</v>
      </c>
      <c r="G31" s="9">
        <f>April!G31+F31</f>
        <v>1279</v>
      </c>
      <c r="H31" s="19"/>
      <c r="I31" s="9">
        <f>April!I31+H31</f>
        <v>0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1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>
        <f>1050</f>
        <v>1050</v>
      </c>
      <c r="C35" s="9">
        <f>April!C35+B35</f>
        <v>1881</v>
      </c>
      <c r="D35" s="15">
        <f>8</f>
        <v>8</v>
      </c>
      <c r="E35" s="9">
        <f>April!E35+D35</f>
        <v>8</v>
      </c>
      <c r="F35" s="17"/>
      <c r="G35" s="9">
        <f>April!G35+F35</f>
        <v>137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>
        <f>68</f>
        <v>68</v>
      </c>
      <c r="C36" s="9">
        <f>April!C36+B36</f>
        <v>68</v>
      </c>
      <c r="D36" s="15">
        <f>37+1</f>
        <v>38</v>
      </c>
      <c r="E36" s="9">
        <f>April!E36+D36</f>
        <v>174</v>
      </c>
      <c r="F36" s="17">
        <f>1+80+1+106</f>
        <v>188</v>
      </c>
      <c r="G36" s="9">
        <f>April!G36+F36</f>
        <v>1095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845</v>
      </c>
      <c r="D37" s="15"/>
      <c r="E37" s="9">
        <f>April!E37+D37</f>
        <v>6</v>
      </c>
      <c r="F37" s="17"/>
      <c r="G37" s="9">
        <f>April!G37+F37</f>
        <v>0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>
        <f>320+31+76+57+79+41+83+87+32+35+90+225+76+32+152+84+170+270+97</f>
        <v>2037</v>
      </c>
      <c r="C38" s="9">
        <f>April!C38+B38</f>
        <v>31481</v>
      </c>
      <c r="D38" s="15">
        <f>3+28+6+35+40+118+18+36+3+2+71+61+2</f>
        <v>423</v>
      </c>
      <c r="E38" s="9">
        <f>April!E38+D38</f>
        <v>1298</v>
      </c>
      <c r="F38" s="17"/>
      <c r="G38" s="9">
        <f>April!G38+F38</f>
        <v>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>
        <f>8+6+210</f>
        <v>224</v>
      </c>
      <c r="C39" s="9">
        <f>April!C39+B39</f>
        <v>12111</v>
      </c>
      <c r="D39" s="15">
        <f>1</f>
        <v>1</v>
      </c>
      <c r="E39" s="9">
        <f>April!E39+D39</f>
        <v>22</v>
      </c>
      <c r="F39" s="17">
        <f>2+100+1+1</f>
        <v>104</v>
      </c>
      <c r="G39" s="9">
        <f>April!G39+F39</f>
        <v>304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>
        <f>75+25+279+165+300+90+98+89+165+99+115+46+82+60+195+70+110+259</f>
        <v>2322</v>
      </c>
      <c r="C40" s="9">
        <f>April!C40+B40</f>
        <v>7090</v>
      </c>
      <c r="D40" s="15">
        <f>49+15+11+15+1+4+15+15+16+1+4+15</f>
        <v>161</v>
      </c>
      <c r="E40" s="9">
        <f>April!E40+D40</f>
        <v>1360</v>
      </c>
      <c r="F40" s="17"/>
      <c r="G40" s="9">
        <f>April!G40+F40</f>
        <v>4</v>
      </c>
      <c r="H40" s="19"/>
      <c r="I40" s="9">
        <f>April!I40+H40</f>
        <v>39</v>
      </c>
    </row>
    <row r="41" spans="1:9" s="5" customFormat="1" ht="18" customHeight="1">
      <c r="A41" s="9" t="s">
        <v>43</v>
      </c>
      <c r="B41" s="13">
        <f>35+8+6</f>
        <v>49</v>
      </c>
      <c r="C41" s="9">
        <f>April!C41+B41</f>
        <v>831</v>
      </c>
      <c r="D41" s="15"/>
      <c r="E41" s="9">
        <f>April!E41+D41</f>
        <v>66</v>
      </c>
      <c r="F41" s="17"/>
      <c r="G41" s="9">
        <f>April!G41+F41</f>
        <v>4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/>
      <c r="C42" s="9">
        <f>April!C42+B42</f>
        <v>769</v>
      </c>
      <c r="D42" s="15"/>
      <c r="E42" s="9">
        <f>April!E42+D42</f>
        <v>25</v>
      </c>
      <c r="F42" s="17"/>
      <c r="G42" s="9">
        <f>April!G42+F42</f>
        <v>79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>
        <f>15+15+45+81+86+101</f>
        <v>343</v>
      </c>
      <c r="C44" s="9">
        <f>April!C44+B44</f>
        <v>2125</v>
      </c>
      <c r="D44" s="15">
        <f>8</f>
        <v>8</v>
      </c>
      <c r="E44" s="9">
        <f>April!E44+D44</f>
        <v>16</v>
      </c>
      <c r="F44" s="17"/>
      <c r="G44" s="9">
        <f>April!G44+F44</f>
        <v>1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>
        <f>118+8+12+34+10+9+27+11+47+93+23+40+22+7+54+24+8+186+15+21+16+107+30+167+281+8+40+36+8+12+105+77+66+55+114+17+160+68+35+67+56+25+15+71+22+24+18+15+8+37+63+76+58+105+76+81+60+68+180+70+94+406+58+27+12+162+34+5+47+19+88+278+46+376+48+178+18+75+22+67+17+18+21+41+27+103+67+24+26+210+67+174+67+166+108+80+168+96+97+141+423+214+62+58+66+79+191+116+114+48+74+9+252+87+7+24+43+32+78+25+115+41+91+116+60+130+59+74+86+51+72+56+122+148+59+75+69+18+330+82+72+54+79+96+23+17+9+6+20+33+73+18+42+34+21+249+25+23+2056+2056+84+66+60+88+25+163+80+100+70+106+43+82+140+46+135+40+127+44+152+101+42+58+65+84+114+92+51+62+70+65+47+66+67+320+166+240+64+2+55+3+13+49+11+7+75+75+14+980+26+700+85+29+25+13+53+60+11+4+5+173+12+49+25+17+70+4+22+5+19+31+18+140+76+149+17+5</f>
        <v>22558</v>
      </c>
      <c r="C45" s="9">
        <f>April!C45+B45</f>
        <v>135230</v>
      </c>
      <c r="D45" s="15">
        <f>7+49+3+30+20+30+16+18+7+24+5+15+30+30+9+9+1+2+4+37+2+14+16+17+12+5+32+19+29+26+13+69+13+19+3+6+2+31+44+12+9+37</f>
        <v>776</v>
      </c>
      <c r="E45" s="9">
        <f>April!E45+D45</f>
        <v>4126</v>
      </c>
      <c r="F45" s="17">
        <f>2+2+1</f>
        <v>5</v>
      </c>
      <c r="G45" s="9">
        <f>April!G45+F45</f>
        <v>146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>
        <f>110+30+80+97+35+35+69+60+65+55+56+45+50+135+174+105+90+43+68+165+70+40+45</f>
        <v>1722</v>
      </c>
      <c r="C46" s="9">
        <f>April!C46+B46</f>
        <v>8777</v>
      </c>
      <c r="D46" s="15">
        <f>2+1+7</f>
        <v>10</v>
      </c>
      <c r="E46" s="9">
        <f>April!E46+D46</f>
        <v>13</v>
      </c>
      <c r="F46" s="17">
        <f>2</f>
        <v>2</v>
      </c>
      <c r="G46" s="9">
        <f>April!G46+F46</f>
        <v>18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>
        <f>63+184+219+58+75+234+165+173</f>
        <v>1171</v>
      </c>
      <c r="C47" s="9">
        <f>April!C47+B47</f>
        <v>3804</v>
      </c>
      <c r="D47" s="15">
        <f>59+5+64+64+29+30+10+3+150+80+64+6+38+38+24+4+13+3+7+53+11+6</f>
        <v>761</v>
      </c>
      <c r="E47" s="9">
        <f>April!E47+D47</f>
        <v>3125</v>
      </c>
      <c r="F47" s="17">
        <f>46+4+114+22+69</f>
        <v>255</v>
      </c>
      <c r="G47" s="9">
        <f>April!G47+F47</f>
        <v>362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>
        <f>34+34+126+121</f>
        <v>315</v>
      </c>
      <c r="C48" s="9">
        <f>April!C48+B48</f>
        <v>315</v>
      </c>
      <c r="D48" s="15">
        <f>1</f>
        <v>1</v>
      </c>
      <c r="E48" s="9">
        <f>April!E48+D48</f>
        <v>90</v>
      </c>
      <c r="F48" s="17">
        <f>2</f>
        <v>2</v>
      </c>
      <c r="G48" s="9">
        <f>April!G48+F48</f>
        <v>2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>
        <f>38+51+65+13+56+80+55+32+35+36+57</f>
        <v>518</v>
      </c>
      <c r="C50" s="9">
        <f>April!C50+B50</f>
        <v>10690</v>
      </c>
      <c r="D50" s="15">
        <f>3</f>
        <v>3</v>
      </c>
      <c r="E50" s="9">
        <f>April!E50+D50</f>
        <v>4</v>
      </c>
      <c r="F50" s="17">
        <f>1</f>
        <v>1</v>
      </c>
      <c r="G50" s="9">
        <f>April!G50+F50</f>
        <v>1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>
        <f>1</f>
        <v>1</v>
      </c>
      <c r="C51" s="9">
        <f>April!C51+B51</f>
        <v>1</v>
      </c>
      <c r="D51" s="15">
        <f>117</f>
        <v>117</v>
      </c>
      <c r="E51" s="9">
        <f>April!E51+D51</f>
        <v>117</v>
      </c>
      <c r="F51" s="17"/>
      <c r="G51" s="9">
        <f>April!G51+F51</f>
        <v>0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>
        <f>55+74+60+62</f>
        <v>251</v>
      </c>
      <c r="C52" s="9">
        <f>April!C52+B52</f>
        <v>1632</v>
      </c>
      <c r="D52" s="15">
        <f>62</f>
        <v>62</v>
      </c>
      <c r="E52" s="9">
        <f>April!E52+D52</f>
        <v>117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>
        <f>78+288+204+1+6+48+48+75+11+29+4+34+21+26+62+41+71+16+88+50+20+90+25+19+68+28+38+5+69+49+18+165+59+126+90+2+5+26+75+38+59+72+48+155+50+10+24+135+130</f>
        <v>2899</v>
      </c>
      <c r="C53" s="9">
        <f>April!C53+B53</f>
        <v>20640</v>
      </c>
      <c r="D53" s="15">
        <f>21+12+6+6+32+11+5+2+6+3+2</f>
        <v>106</v>
      </c>
      <c r="E53" s="9">
        <f>April!E53+D53</f>
        <v>1285</v>
      </c>
      <c r="F53" s="17">
        <f>1+5+100+2+83+25+25+39+1+39+23+29+7+55+1+31+12+3+1+1+1+1+34+5+3+19+4+80+29+1+11</f>
        <v>671</v>
      </c>
      <c r="G53" s="9">
        <f>April!G53+F53</f>
        <v>4249</v>
      </c>
      <c r="H53" s="19"/>
      <c r="I53" s="9">
        <f>April!I53+H53</f>
        <v>37</v>
      </c>
    </row>
    <row r="54" spans="1:9" s="5" customFormat="1" ht="18" customHeight="1" thickBot="1">
      <c r="A54" s="10" t="s">
        <v>56</v>
      </c>
      <c r="B54" s="13">
        <f>200+126</f>
        <v>326</v>
      </c>
      <c r="C54" s="9">
        <f>April!C54+B54</f>
        <v>4471</v>
      </c>
      <c r="D54" s="16">
        <f>3+6+10+49</f>
        <v>68</v>
      </c>
      <c r="E54" s="9">
        <f>April!E54+D54</f>
        <v>1231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75383</v>
      </c>
      <c r="C55" s="11"/>
      <c r="D55" s="11">
        <f>SUM(D5:D54)</f>
        <v>6556</v>
      </c>
      <c r="E55" s="11"/>
      <c r="F55" s="11">
        <f>SUM(F5:F54)</f>
        <v>4264</v>
      </c>
      <c r="G55" s="11"/>
      <c r="H55" s="11">
        <f>SUM(H5:H54)</f>
        <v>200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451868</v>
      </c>
      <c r="D57" s="11"/>
      <c r="E57" s="11">
        <f>April!E57+D55</f>
        <v>36284</v>
      </c>
      <c r="F57" s="11"/>
      <c r="G57" s="11">
        <f>April!G57+F55</f>
        <v>17595</v>
      </c>
      <c r="H57" s="11"/>
      <c r="I57" s="11">
        <f>April!I57+H55</f>
        <v>327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13550</v>
      </c>
      <c r="F60" s="5">
        <v>15650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20111</v>
      </c>
      <c r="G62" s="4">
        <f>April!G62+F60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5">
      <selection activeCell="C31" sqref="C3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64+70+70</f>
        <v>204</v>
      </c>
      <c r="C5" s="9">
        <f>May!C5+B5</f>
        <v>204</v>
      </c>
      <c r="D5" s="15">
        <f>3</f>
        <v>3</v>
      </c>
      <c r="E5" s="9">
        <f>May!E5+D5</f>
        <v>8</v>
      </c>
      <c r="F5" s="17">
        <f>5+61+1+2+180</f>
        <v>249</v>
      </c>
      <c r="G5" s="9">
        <f>May!G5+F5</f>
        <v>249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>
        <f>63</f>
        <v>63</v>
      </c>
      <c r="C7" s="9">
        <f>May!C7+B7</f>
        <v>407</v>
      </c>
      <c r="D7" s="15"/>
      <c r="E7" s="9">
        <f>May!E7+D7</f>
        <v>0</v>
      </c>
      <c r="F7" s="17"/>
      <c r="G7" s="9">
        <f>May!G7+F7</f>
        <v>700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>
        <f>63+89+67+92+112+85+45+64+13+44+103+79+60+81+49+85+85+70+70+70+90</f>
        <v>1516</v>
      </c>
      <c r="C8" s="9">
        <f>May!C8+B8</f>
        <v>4130</v>
      </c>
      <c r="D8" s="15"/>
      <c r="E8" s="9">
        <f>May!E8+D8</f>
        <v>32</v>
      </c>
      <c r="F8" s="17"/>
      <c r="G8" s="9">
        <f>May!G8+F8</f>
        <v>131</v>
      </c>
      <c r="H8" s="19"/>
      <c r="I8" s="9">
        <f>May!I8+H8</f>
        <v>0</v>
      </c>
    </row>
    <row r="9" spans="1:9" s="5" customFormat="1" ht="18" customHeight="1">
      <c r="A9" s="9" t="s">
        <v>11</v>
      </c>
      <c r="B9" s="13"/>
      <c r="C9" s="9">
        <f>May!C9+B9</f>
        <v>319</v>
      </c>
      <c r="D9" s="15">
        <f>6+8</f>
        <v>14</v>
      </c>
      <c r="E9" s="9">
        <f>May!E9+D9</f>
        <v>124</v>
      </c>
      <c r="F9" s="17"/>
      <c r="G9" s="9">
        <f>May!G9+F9</f>
        <v>3397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2037</v>
      </c>
      <c r="D10" s="15"/>
      <c r="E10" s="9">
        <f>May!E10+D10</f>
        <v>37</v>
      </c>
      <c r="F10" s="17"/>
      <c r="G10" s="9">
        <f>May!G10+F10</f>
        <v>23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/>
      <c r="C11" s="9">
        <f>May!C11+B11</f>
        <v>276</v>
      </c>
      <c r="D11" s="15">
        <f>1+1+10+26+1+66+2+1+12+14</f>
        <v>134</v>
      </c>
      <c r="E11" s="9">
        <f>May!E11+D11</f>
        <v>573</v>
      </c>
      <c r="F11" s="17"/>
      <c r="G11" s="9">
        <f>May!G11+F11</f>
        <v>368</v>
      </c>
      <c r="H11" s="19">
        <f>40+35</f>
        <v>75</v>
      </c>
      <c r="I11" s="9">
        <f>May!I11+H11</f>
        <v>91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167</v>
      </c>
      <c r="D14" s="15"/>
      <c r="E14" s="9">
        <f>May!E14+D14</f>
        <v>115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>
        <f>95+96+38+20+100+70+75</f>
        <v>494</v>
      </c>
      <c r="C15" s="9">
        <f>May!C15+B15</f>
        <v>1512</v>
      </c>
      <c r="D15" s="15"/>
      <c r="E15" s="9">
        <f>May!E15+D15</f>
        <v>19</v>
      </c>
      <c r="F15" s="17"/>
      <c r="G15" s="9">
        <f>May!G15+F15</f>
        <v>284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>
        <f>11+56+54+16</f>
        <v>137</v>
      </c>
      <c r="C17" s="9">
        <f>May!C17+B17</f>
        <v>1452</v>
      </c>
      <c r="D17" s="15">
        <f>50</f>
        <v>50</v>
      </c>
      <c r="E17" s="9">
        <f>May!E17+D17</f>
        <v>253</v>
      </c>
      <c r="F17" s="17"/>
      <c r="G17" s="9">
        <f>May!G17+F17</f>
        <v>124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>
        <f>76+71+50+72+12</f>
        <v>281</v>
      </c>
      <c r="C18" s="9">
        <f>May!C18+B18</f>
        <v>2929</v>
      </c>
      <c r="D18" s="15">
        <f>1+3+8+3</f>
        <v>15</v>
      </c>
      <c r="E18" s="9">
        <f>May!E18+D18</f>
        <v>864</v>
      </c>
      <c r="F18" s="17">
        <f>5+1+4+1</f>
        <v>11</v>
      </c>
      <c r="G18" s="9">
        <f>May!G18+F18</f>
        <v>252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>
        <f>150+50+68+64+70+150+130</f>
        <v>682</v>
      </c>
      <c r="C19" s="9">
        <f>May!C19+B19</f>
        <v>8699</v>
      </c>
      <c r="D19" s="15">
        <f>2+1+1</f>
        <v>4</v>
      </c>
      <c r="E19" s="9">
        <f>May!E19+D19</f>
        <v>326</v>
      </c>
      <c r="F19" s="17">
        <f>100</f>
        <v>100</v>
      </c>
      <c r="G19" s="9">
        <f>May!G19+F19</f>
        <v>760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>
        <f>120+62+55+148+178+110+67+31+29+16+67+71+34+16+24+49+69+60+184</f>
        <v>1390</v>
      </c>
      <c r="C20" s="9">
        <f>May!C20+B20</f>
        <v>12837</v>
      </c>
      <c r="D20" s="15">
        <f>12+4+58+13+5+47+5+11+10+12+20+10+27+1+24+14+9+39+15</f>
        <v>336</v>
      </c>
      <c r="E20" s="9">
        <f>May!E20+D20</f>
        <v>1206</v>
      </c>
      <c r="F20" s="17">
        <f>1</f>
        <v>1</v>
      </c>
      <c r="G20" s="9">
        <f>May!G20+F20</f>
        <v>513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>
        <f>1+55+61+12+18+51+58+119+72+28+54+58+61+11+18+50+121+64+86+28+28+56+123+61+122+55+70+107+47+31+34+84+171+91+78+56+112+90+225+60+101+240+152+107+142+55+64+229+180+129+327+137+114+131+61+110+57+69+68+72+180+65+180+91+363+13+17+70+66+129+137+62+56+64+71+66+60+63+57+60+67+188+26+65+11+101+74+85+109+48+72+74+45+12+80+51+14+210+44+15+228+67+65+109+360+87+117+115+126+64+74+31+23+169+116+50+65+102+67+118+65+145+104+107+109+106+70+73+106+100+105+81+22+12+91+77+85+56+40+7+61+54+58+72+28+54+119+58+121+50+64+86+61+11+18+63+64+70+63</f>
        <v>13422</v>
      </c>
      <c r="C21" s="9">
        <f>May!C21+B21</f>
        <v>66492</v>
      </c>
      <c r="D21" s="15">
        <f>1</f>
        <v>1</v>
      </c>
      <c r="E21" s="9">
        <f>May!E21+D21</f>
        <v>140</v>
      </c>
      <c r="F21" s="17"/>
      <c r="G21" s="9">
        <f>May!G21+F21</f>
        <v>11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14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6</v>
      </c>
      <c r="F24" s="17">
        <f>1+1</f>
        <v>2</v>
      </c>
      <c r="G24" s="9">
        <f>May!G24+F24</f>
        <v>5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>
        <f>87+87+72+70+90+135</f>
        <v>541</v>
      </c>
      <c r="C26" s="9">
        <f>May!C26+B26</f>
        <v>2178</v>
      </c>
      <c r="D26" s="15"/>
      <c r="E26" s="9">
        <f>May!E26+D26</f>
        <v>12</v>
      </c>
      <c r="F26" s="17">
        <f>4+1</f>
        <v>5</v>
      </c>
      <c r="G26" s="9">
        <f>May!G26+F26</f>
        <v>18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>
        <f>46+11+30+33+171+69+76+185+130+82+251+42+140+139+80+233+25+119+15+19+37+3+2+21+14+7+16+2+10+2+21+2+17+8+14+2+14+204+51+186+461+102+61+115+206+85+51+16+22+22+20+123+2+42+17+4+5+6+7+18+4+32+169+20+5+5+10+31+24+16+25+28+46+28+4+4+120+57+69+7+10+15+5+88+61+32+11+14+10</f>
        <v>4864</v>
      </c>
      <c r="C27" s="9">
        <f>May!C27+B27</f>
        <v>26021</v>
      </c>
      <c r="D27" s="15">
        <f>4+21+5+171+6+9+23+20+14+53+50+2+5+2+7+7+5</f>
        <v>404</v>
      </c>
      <c r="E27" s="9">
        <f>May!E27+D27</f>
        <v>1524</v>
      </c>
      <c r="F27" s="17">
        <f>1+2+98+60+2+1+16+2+2+26+9+25+33+60+1+61+3+9+29+13+60+2+23+11+11+4+60+7+95</f>
        <v>726</v>
      </c>
      <c r="G27" s="9">
        <f>May!G27+F27</f>
        <v>3661</v>
      </c>
      <c r="H27" s="19"/>
      <c r="I27" s="9">
        <f>May!I27+H27</f>
        <v>46</v>
      </c>
    </row>
    <row r="28" spans="1:9" s="5" customFormat="1" ht="18" customHeight="1">
      <c r="A28" s="9" t="s">
        <v>30</v>
      </c>
      <c r="B28" s="13">
        <f>98+92+55+94+92+75</f>
        <v>506</v>
      </c>
      <c r="C28" s="9">
        <f>May!C28+B28</f>
        <v>817</v>
      </c>
      <c r="D28" s="15"/>
      <c r="E28" s="9">
        <f>May!E28+D28</f>
        <v>6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>
        <f>120+120+94+99+124+109+118+79+65+65+65+80+95+65+68+92+83+80+73+72+95+210+87+310+128+125+63+58+13+177+70+114+247+46+36+75+25+122+80+80+79+59+113+76+111+58+100+51+54+53+26+32+11+26+289+28+62+11+3+126+37+13+84+41+123+62+71+51+126+14+65+74+105+36+116+34+81+99+20+34+42+15+70+46+89+71+19+61+89+84+139+90+120+91+180+70+68+79+33+122+73+62+92+74+87+69+60+99+23+67+85+46+96+20+69+83+85+89+106+101+15+134+85+53+18+104+78+84+72+92+64+82+84+92+74+62+91+37+69+45+74+36+11+99+85+70+26+77+99+81+60+59+99+60+93+326+60+73+98+110+86+67+96+62+59+113+70+15+79+170+79+69+173+59+166+75+122+95+65+70+120+79+80+73+13+60+97+48+62+55+70+14+63+112+86+69+162+66+81+405+247+321+128+185+133+65+104+76+40+88+75+130+5+156+57+46+64+94+30+129+126+67+90+69+31+96+87+16</f>
        <v>19136</v>
      </c>
      <c r="C29" s="9">
        <f>May!C29+B29</f>
        <v>85832</v>
      </c>
      <c r="D29" s="15">
        <f>2+21+1+22+23+23+23+23+2+11+1+2+22+17+24+2+2</f>
        <v>221</v>
      </c>
      <c r="E29" s="9">
        <f>May!E29+D29</f>
        <v>2407</v>
      </c>
      <c r="F29" s="17">
        <f>34</f>
        <v>34</v>
      </c>
      <c r="G29" s="9">
        <f>May!G29+F29</f>
        <v>546</v>
      </c>
      <c r="H29" s="19"/>
      <c r="I29" s="9">
        <f>May!I29+H29</f>
        <v>189</v>
      </c>
    </row>
    <row r="30" spans="1:9" s="5" customFormat="1" ht="18" customHeight="1">
      <c r="A30" s="9" t="s">
        <v>32</v>
      </c>
      <c r="B30" s="13">
        <f>24+18+24+340+67+14+30+290+203+15+15+105+37+12+23+100+140+34+34+98+74+28+13+14+220+350+16+16+29+17+75+30+7+7+115+3+29+9+6</f>
        <v>2681</v>
      </c>
      <c r="C30" s="9">
        <f>May!C30+B30</f>
        <v>22740</v>
      </c>
      <c r="D30" s="15">
        <f>150+140+177+42+205+208+32+176+68+160+1+13+175+1</f>
        <v>1548</v>
      </c>
      <c r="E30" s="9">
        <f>May!E30+D30</f>
        <v>5009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>
        <f>10+9+60+56+300+264+138+44+2+1+170+25+77+34+9+116+33+58+2+110+83+227+64+114+72+62+79+34+105+150+84+4+54+43+171+31+181+131+57+15+11+28+129+14+355+21+68+130+63+105+11+3+148+392</f>
        <v>4757</v>
      </c>
      <c r="C31" s="9">
        <f>May!C31+B31</f>
        <v>20732</v>
      </c>
      <c r="D31" s="15">
        <f>21+7+2+90+11+2+1+48+16+75+40+134+3+12+3+6+20+1+2+1+1+2+14+32+38+86+110+78+9+37+10+5+11+3+4+1+1+3+24+36+4+51+3+37+1+7+1+2+4+38+60+12+17+16+4</f>
        <v>1257</v>
      </c>
      <c r="E31" s="9">
        <f>May!E31+D31</f>
        <v>14512</v>
      </c>
      <c r="F31" s="17">
        <f>44+442+123+40+123+123+42</f>
        <v>937</v>
      </c>
      <c r="G31" s="9">
        <f>May!G31+F31</f>
        <v>2216</v>
      </c>
      <c r="H31" s="19"/>
      <c r="I31" s="9">
        <f>May!I31+H31</f>
        <v>0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1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/>
      <c r="C35" s="9">
        <f>May!C35+B35</f>
        <v>1881</v>
      </c>
      <c r="D35" s="15"/>
      <c r="E35" s="9">
        <f>May!E35+D35</f>
        <v>8</v>
      </c>
      <c r="F35" s="17"/>
      <c r="G35" s="9">
        <f>May!G35+F35</f>
        <v>137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>
        <f>7+55+47</f>
        <v>109</v>
      </c>
      <c r="C36" s="9">
        <f>May!C36+B36</f>
        <v>177</v>
      </c>
      <c r="D36" s="15"/>
      <c r="E36" s="9">
        <f>May!E36+D36</f>
        <v>174</v>
      </c>
      <c r="F36" s="17">
        <f>1+1</f>
        <v>2</v>
      </c>
      <c r="G36" s="9">
        <f>May!G36+F36</f>
        <v>1097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>
        <f>68</f>
        <v>68</v>
      </c>
      <c r="C37" s="9">
        <f>May!C37+B37</f>
        <v>913</v>
      </c>
      <c r="D37" s="15"/>
      <c r="E37" s="9">
        <f>May!E37+D37</f>
        <v>6</v>
      </c>
      <c r="F37" s="17">
        <f>13+5</f>
        <v>18</v>
      </c>
      <c r="G37" s="9">
        <f>May!G37+F37</f>
        <v>18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>
        <f>87+19+39+66+17+149+71+135+205+83+67+216</f>
        <v>1154</v>
      </c>
      <c r="C38" s="9">
        <f>May!C38+B38</f>
        <v>32635</v>
      </c>
      <c r="D38" s="15">
        <f>2+15+2+71+70+5+11</f>
        <v>176</v>
      </c>
      <c r="E38" s="9">
        <f>May!E38+D38</f>
        <v>1474</v>
      </c>
      <c r="F38" s="17"/>
      <c r="G38" s="9">
        <f>May!G38+F38</f>
        <v>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>
        <f>270+32+12</f>
        <v>314</v>
      </c>
      <c r="C39" s="9">
        <f>May!C39+B39</f>
        <v>12425</v>
      </c>
      <c r="D39" s="15">
        <f>12</f>
        <v>12</v>
      </c>
      <c r="E39" s="9">
        <f>May!E39+D39</f>
        <v>34</v>
      </c>
      <c r="F39" s="17">
        <f>100+88</f>
        <v>188</v>
      </c>
      <c r="G39" s="9">
        <f>May!G39+F39</f>
        <v>492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>
        <f>185+95+95+96+61+99+62+61+91+33+87+85+95+104+90+90+65+198+90+101+73+95+66+101+83+90+80</f>
        <v>2471</v>
      </c>
      <c r="C40" s="9">
        <f>May!C40+B40</f>
        <v>9561</v>
      </c>
      <c r="D40" s="15">
        <f>1+4+2+14+14+8+3+1+4+20</f>
        <v>71</v>
      </c>
      <c r="E40" s="9">
        <f>May!E40+D40</f>
        <v>1431</v>
      </c>
      <c r="F40" s="17">
        <f>1+1</f>
        <v>2</v>
      </c>
      <c r="G40" s="9">
        <f>May!G40+F40</f>
        <v>6</v>
      </c>
      <c r="H40" s="19"/>
      <c r="I40" s="9">
        <f>May!I40+H40</f>
        <v>39</v>
      </c>
    </row>
    <row r="41" spans="1:9" s="5" customFormat="1" ht="18" customHeight="1">
      <c r="A41" s="9" t="s">
        <v>43</v>
      </c>
      <c r="B41" s="13">
        <f>62+17</f>
        <v>79</v>
      </c>
      <c r="C41" s="9">
        <f>May!C41+B41</f>
        <v>910</v>
      </c>
      <c r="D41" s="15">
        <f>11</f>
        <v>11</v>
      </c>
      <c r="E41" s="9">
        <f>May!E41+D41</f>
        <v>77</v>
      </c>
      <c r="F41" s="17"/>
      <c r="G41" s="9">
        <f>May!G41+F41</f>
        <v>4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>
        <f>100+60+60</f>
        <v>220</v>
      </c>
      <c r="C42" s="9">
        <f>May!C42+B42</f>
        <v>989</v>
      </c>
      <c r="D42" s="15"/>
      <c r="E42" s="9">
        <f>May!E42+D42</f>
        <v>25</v>
      </c>
      <c r="F42" s="17">
        <f>3+4+1+314</f>
        <v>322</v>
      </c>
      <c r="G42" s="9">
        <f>May!G42+F42</f>
        <v>401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>
        <f>81+114+85+84+88+97+95+42+86+104+83+165+74+74+87</f>
        <v>1359</v>
      </c>
      <c r="C44" s="9">
        <f>May!C44+B44</f>
        <v>3484</v>
      </c>
      <c r="D44" s="15"/>
      <c r="E44" s="9">
        <f>May!E44+D44</f>
        <v>16</v>
      </c>
      <c r="F44" s="17">
        <f>15+25</f>
        <v>40</v>
      </c>
      <c r="G44" s="9">
        <f>May!G44+F44</f>
        <v>41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>
        <f>75+67+16+50+124+14+244+107+14+14+39+10+17+195+88+310+21+65+30+46+54+16+76+37+24+63+94+73+71+220+135+251+68+69+122+60+617+19+88+71+179+147+99+99+115+59+156+127+8+66+84+76+192+215+55+137+240+70+72+69+391+114+105+87+305+122+85+105+67+348+67+97+100+210+61+78+35+118+60+47+54+8+42+68+86+75+32+90+31+131+180+63+165+54+68+11+76+67+120+135+120+106+87+85+66+63+119+90+136+69+479+114+56+56+7+88+39+17+56+17+79+77+21+78+59+12+115+185+54+87+87+5+32+26+9+36+48+23+26+24+14+15+255+183+77+66+117+14+358+358+7+37+74+14+44+38+85+44+44+57+22+25+204+62+99+53+22+178+55+89+110+9+71+23+22+20+1+66+30+22+96+40+5+44+19+111+107+19</f>
        <v>16675</v>
      </c>
      <c r="C45" s="9">
        <f>May!C45+B45</f>
        <v>151905</v>
      </c>
      <c r="D45" s="15">
        <f>7+22+80+4+5+13+15+6+1+1+7+48+1+7+5+8+3+3</f>
        <v>236</v>
      </c>
      <c r="E45" s="9">
        <f>May!E45+D45</f>
        <v>4362</v>
      </c>
      <c r="F45" s="17">
        <f>1</f>
        <v>1</v>
      </c>
      <c r="G45" s="9">
        <f>May!G45+F45</f>
        <v>147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>
        <f>52+70+70+125+100+85+85+62+46+203+58+95+112+85+60+69+208+87+76+90+94+190+74+100+62+25+25+78+72+92+110+80+75+40+99+77+76+74+130+130+50</f>
        <v>3591</v>
      </c>
      <c r="C46" s="9">
        <f>May!C46+B46</f>
        <v>12368</v>
      </c>
      <c r="D46" s="15">
        <f>1</f>
        <v>1</v>
      </c>
      <c r="E46" s="9">
        <f>May!E46+D46</f>
        <v>14</v>
      </c>
      <c r="F46" s="17"/>
      <c r="G46" s="9">
        <f>May!G46+F46</f>
        <v>18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>
        <f>200+45+400+270+133+130+211+30+30+67</f>
        <v>1516</v>
      </c>
      <c r="C47" s="9">
        <f>May!C47+B47</f>
        <v>5320</v>
      </c>
      <c r="D47" s="15">
        <f>1+8+12</f>
        <v>21</v>
      </c>
      <c r="E47" s="9">
        <f>May!E47+D47</f>
        <v>3146</v>
      </c>
      <c r="F47" s="17">
        <f>40+344+280</f>
        <v>664</v>
      </c>
      <c r="G47" s="9">
        <f>May!G47+F47</f>
        <v>1026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315</v>
      </c>
      <c r="D48" s="15"/>
      <c r="E48" s="9">
        <f>May!E48+D48</f>
        <v>90</v>
      </c>
      <c r="F48" s="17"/>
      <c r="G48" s="9">
        <f>May!G48+F48</f>
        <v>2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>
        <f>180+62+72+55+123+115+56+66+61+91+57+77+106+125+61+45+48+70+70+67+79+115+58+114+87+39+47+225</f>
        <v>2371</v>
      </c>
      <c r="C50" s="9">
        <f>May!C50+B50</f>
        <v>13061</v>
      </c>
      <c r="D50" s="15"/>
      <c r="E50" s="9">
        <f>May!E50+D50</f>
        <v>4</v>
      </c>
      <c r="F50" s="17"/>
      <c r="G50" s="9">
        <f>May!G50+F50</f>
        <v>1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/>
      <c r="C51" s="9">
        <f>May!C51+B51</f>
        <v>1</v>
      </c>
      <c r="D51" s="15"/>
      <c r="E51" s="9">
        <f>May!E51+D51</f>
        <v>117</v>
      </c>
      <c r="F51" s="17"/>
      <c r="G51" s="9">
        <f>May!G51+F51</f>
        <v>0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>
        <f>67+63+55+75+50+50</f>
        <v>360</v>
      </c>
      <c r="C52" s="9">
        <f>May!C52+B52</f>
        <v>1992</v>
      </c>
      <c r="D52" s="15"/>
      <c r="E52" s="9">
        <f>May!E52+D52</f>
        <v>117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>
        <f>4+27+28+4+88+28+20+83+73+9+59+15+84+31+80+9+28+100+288+72+113+27+26+211+16+14+2+40+7+47+88+34+19+50+9+22+10+4+50+58+18+5+57+31+77+57+285+65+20+24+22+125+72+14+4+155+62+77+122+14+69+27+82+7+331+32+51+12+31+64+21</f>
        <v>4010</v>
      </c>
      <c r="C53" s="9">
        <f>May!C53+B53</f>
        <v>24650</v>
      </c>
      <c r="D53" s="15">
        <f>10+5+5+4+7+4+3+10+10+7+2</f>
        <v>67</v>
      </c>
      <c r="E53" s="9">
        <f>May!E53+D53</f>
        <v>1352</v>
      </c>
      <c r="F53" s="17">
        <f>5+100+70+45+89+2+2+80+39+13+33+5+3+140+2+19+4+2+6+16+20+30+4+17+30+43+80+40+3</f>
        <v>942</v>
      </c>
      <c r="G53" s="9">
        <f>May!G53+F53</f>
        <v>5191</v>
      </c>
      <c r="H53" s="19"/>
      <c r="I53" s="9">
        <f>May!I53+H53</f>
        <v>37</v>
      </c>
    </row>
    <row r="54" spans="1:9" s="5" customFormat="1" ht="18" customHeight="1" thickBot="1">
      <c r="A54" s="10" t="s">
        <v>56</v>
      </c>
      <c r="B54" s="13"/>
      <c r="C54" s="9">
        <f>May!C54+B54</f>
        <v>4471</v>
      </c>
      <c r="D54" s="16">
        <f>80+48+73+44+53+1+2</f>
        <v>301</v>
      </c>
      <c r="E54" s="9">
        <f>May!E54+D54</f>
        <v>1532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84971</v>
      </c>
      <c r="C55" s="11"/>
      <c r="D55" s="11">
        <f>SUM(D5:D54)</f>
        <v>4883</v>
      </c>
      <c r="E55" s="11"/>
      <c r="F55" s="11">
        <f>SUM(F5:F54)</f>
        <v>4244</v>
      </c>
      <c r="G55" s="11"/>
      <c r="H55" s="11">
        <f>SUM(H5:H54)</f>
        <v>75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536839</v>
      </c>
      <c r="D57" s="11"/>
      <c r="E57" s="11">
        <f>May!E57+D55</f>
        <v>41167</v>
      </c>
      <c r="F57" s="11"/>
      <c r="G57" s="11">
        <f>May!G57+F55</f>
        <v>21839</v>
      </c>
      <c r="H57" s="11"/>
      <c r="I57" s="11">
        <f>May!I57+H55</f>
        <v>402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20111</v>
      </c>
      <c r="G62" s="4">
        <f>May!G62+F60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35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60</f>
        <v>60</v>
      </c>
      <c r="C5" s="9">
        <f>June!C5+B5</f>
        <v>264</v>
      </c>
      <c r="D5" s="15"/>
      <c r="E5" s="9">
        <f>June!E5+D5</f>
        <v>8</v>
      </c>
      <c r="F5" s="17"/>
      <c r="G5" s="9">
        <f>June!G5+F5</f>
        <v>249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407</v>
      </c>
      <c r="D7" s="15"/>
      <c r="E7" s="9">
        <f>June!E7+D7</f>
        <v>0</v>
      </c>
      <c r="F7" s="17"/>
      <c r="G7" s="9">
        <f>June!G7+F7</f>
        <v>700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>
        <f>96+56+19+73+66+50+70+90+77+25+80+68+30+69</f>
        <v>869</v>
      </c>
      <c r="C8" s="9">
        <f>June!C8+B8</f>
        <v>4999</v>
      </c>
      <c r="D8" s="15">
        <f>4+1+2+3+40</f>
        <v>50</v>
      </c>
      <c r="E8" s="9">
        <f>June!E8+D8</f>
        <v>82</v>
      </c>
      <c r="F8" s="17"/>
      <c r="G8" s="9">
        <f>June!G8+F8</f>
        <v>131</v>
      </c>
      <c r="H8" s="19"/>
      <c r="I8" s="9">
        <f>June!I8+H8</f>
        <v>0</v>
      </c>
    </row>
    <row r="9" spans="1:9" s="5" customFormat="1" ht="18" customHeight="1">
      <c r="A9" s="9" t="s">
        <v>11</v>
      </c>
      <c r="B9" s="13">
        <f>82+13+85+85+190</f>
        <v>455</v>
      </c>
      <c r="C9" s="9">
        <f>June!C9+B9</f>
        <v>774</v>
      </c>
      <c r="D9" s="15"/>
      <c r="E9" s="9">
        <f>June!E9+D9</f>
        <v>124</v>
      </c>
      <c r="F9" s="17"/>
      <c r="G9" s="9">
        <f>June!G9+F9</f>
        <v>3397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/>
      <c r="C10" s="9">
        <f>June!C10+B10</f>
        <v>2037</v>
      </c>
      <c r="D10" s="15">
        <v>2</v>
      </c>
      <c r="E10" s="9">
        <f>June!E10+D10</f>
        <v>39</v>
      </c>
      <c r="F10" s="17"/>
      <c r="G10" s="9">
        <f>June!G10+F10</f>
        <v>23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>
        <f>66</f>
        <v>66</v>
      </c>
      <c r="C11" s="9">
        <f>June!C11+B11</f>
        <v>342</v>
      </c>
      <c r="D11" s="15">
        <f>13+2+1+4+31+31+31+10+5+10+11+96+1+2+2</f>
        <v>250</v>
      </c>
      <c r="E11" s="9">
        <f>June!E11+D11</f>
        <v>823</v>
      </c>
      <c r="F11" s="17"/>
      <c r="G11" s="9">
        <f>June!G11+F11</f>
        <v>368</v>
      </c>
      <c r="H11" s="19">
        <f>38+37</f>
        <v>75</v>
      </c>
      <c r="I11" s="9">
        <f>June!I11+H11</f>
        <v>166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>
        <f>394</f>
        <v>394</v>
      </c>
      <c r="C14" s="9">
        <f>June!C14+B14</f>
        <v>561</v>
      </c>
      <c r="D14" s="15">
        <v>2</v>
      </c>
      <c r="E14" s="9">
        <f>June!E14+D14</f>
        <v>117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>
        <f>74+40+30</f>
        <v>144</v>
      </c>
      <c r="C15" s="9">
        <f>June!C15+B15</f>
        <v>1656</v>
      </c>
      <c r="D15" s="15"/>
      <c r="E15" s="9">
        <f>June!E15+D15</f>
        <v>19</v>
      </c>
      <c r="F15" s="17"/>
      <c r="G15" s="9">
        <f>June!G15+F15</f>
        <v>284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1452</v>
      </c>
      <c r="D17" s="15"/>
      <c r="E17" s="9">
        <f>June!E17+D17</f>
        <v>253</v>
      </c>
      <c r="F17" s="17"/>
      <c r="G17" s="9">
        <f>June!G17+F17</f>
        <v>124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>
        <f>55+85</f>
        <v>140</v>
      </c>
      <c r="C18" s="9">
        <f>June!C18+B18</f>
        <v>3069</v>
      </c>
      <c r="D18" s="15">
        <f>4+5+6+3+5+9+3+4+2+10+3+3+3</f>
        <v>60</v>
      </c>
      <c r="E18" s="9">
        <f>June!E18+D18</f>
        <v>924</v>
      </c>
      <c r="F18" s="17">
        <f>7+1</f>
        <v>8</v>
      </c>
      <c r="G18" s="9">
        <f>June!G18+F18</f>
        <v>260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>
        <f>20+27+50+175+1484</f>
        <v>1756</v>
      </c>
      <c r="C19" s="9">
        <f>June!C19+B19</f>
        <v>10455</v>
      </c>
      <c r="D19" s="15">
        <f>3+4+2+3+1</f>
        <v>13</v>
      </c>
      <c r="E19" s="9">
        <f>June!E19+D19</f>
        <v>339</v>
      </c>
      <c r="F19" s="17">
        <f>52+84</f>
        <v>136</v>
      </c>
      <c r="G19" s="9">
        <f>June!G19+F19</f>
        <v>896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>
        <f>77+124+240+158+120+100+66+74+64+10+177+100+450+900+180+105+52+585</f>
        <v>3582</v>
      </c>
      <c r="C20" s="9">
        <f>June!C20+B20</f>
        <v>16419</v>
      </c>
      <c r="D20" s="15">
        <f>1+42+9+9+3+5+56+7+1+2+1+2</f>
        <v>138</v>
      </c>
      <c r="E20" s="9">
        <f>June!E20+D20</f>
        <v>1344</v>
      </c>
      <c r="F20" s="17">
        <f>38</f>
        <v>38</v>
      </c>
      <c r="G20" s="9">
        <f>June!G20+F20</f>
        <v>551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>
        <f>65+92+87+112+85+76+90+62+55+195+117+315+168+60+120+51+237+78+88+20+136+71+350+125+112+133+80+249+176+58+121+73+190+90+119+71+80+57+184+57+87+82+61+29+49+196+77+105+78+92+65</f>
        <v>5626</v>
      </c>
      <c r="C21" s="9">
        <f>June!C21+B21</f>
        <v>72118</v>
      </c>
      <c r="D21" s="15">
        <f>5+6</f>
        <v>11</v>
      </c>
      <c r="E21" s="9">
        <f>June!E21+D21</f>
        <v>151</v>
      </c>
      <c r="F21" s="17"/>
      <c r="G21" s="9">
        <f>June!G21+F21</f>
        <v>11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>
        <f>4</f>
        <v>4</v>
      </c>
      <c r="E22" s="9">
        <f>June!E22+D22</f>
        <v>18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/>
      <c r="E24" s="9">
        <f>June!E24+D24</f>
        <v>6</v>
      </c>
      <c r="F24" s="17"/>
      <c r="G24" s="9">
        <f>June!G24+F24</f>
        <v>5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>
        <f>136+87+87+87+87+87+87</f>
        <v>658</v>
      </c>
      <c r="C26" s="9">
        <f>June!C26+B26</f>
        <v>2836</v>
      </c>
      <c r="D26" s="15">
        <f>1</f>
        <v>1</v>
      </c>
      <c r="E26" s="9">
        <f>June!E26+D26</f>
        <v>13</v>
      </c>
      <c r="F26" s="17"/>
      <c r="G26" s="9">
        <f>June!G26+F26</f>
        <v>18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>
        <f>4+160+44+26+27+47+55+15+54+2+32+4+10+26+14+7+2+5+5+10+1+134+51+56+47+78+16+88+121+65+110+40+100+80+150+230+69+30+30+34+35+34+47+37+12+27+30+11+6+34+17+7+5+4+6+12+7+6+2+57</f>
        <v>2475</v>
      </c>
      <c r="C27" s="9">
        <f>June!C27+B27</f>
        <v>28496</v>
      </c>
      <c r="D27" s="15">
        <f>5+2+3+3+3+5+1+2+16+130+5+4+5+3+6+3+10</f>
        <v>206</v>
      </c>
      <c r="E27" s="9">
        <f>June!E27+D27</f>
        <v>1730</v>
      </c>
      <c r="F27" s="17">
        <f>11+120+60+2+3+161+104+121+120+2+40+36+28+9+141</f>
        <v>958</v>
      </c>
      <c r="G27" s="9">
        <f>June!G27+F27</f>
        <v>4619</v>
      </c>
      <c r="H27" s="19"/>
      <c r="I27" s="9">
        <f>June!I27+H27</f>
        <v>46</v>
      </c>
    </row>
    <row r="28" spans="1:9" s="5" customFormat="1" ht="18" customHeight="1">
      <c r="A28" s="9" t="s">
        <v>30</v>
      </c>
      <c r="B28" s="13">
        <f>52+97+109+82</f>
        <v>340</v>
      </c>
      <c r="C28" s="9">
        <f>June!C28+B28</f>
        <v>1157</v>
      </c>
      <c r="D28" s="15">
        <f>5+4</f>
        <v>9</v>
      </c>
      <c r="E28" s="9">
        <f>June!E28+D28</f>
        <v>15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>
        <f>60+105+40+88+78+87+80+70+117+106+70+102+90+87+112+72+110+113+87+84+50+76+75+162+76+66+70+67+74+180+66+51+94+31+84+120+95+110+16+65+53+67+48+56+11+68+125+24+81+62+68+111+124+29+57+81+80+200+61+80+143+97+71+99+67+96+74+29+60+51+82+54+27+65+6+230+54+32+52+16+28+1+1+12+65+10+1+6+8+34+60+32+55+25+82+4+26+126+73+128+8+28+40+51+62+63+63+7+117+76+36+18+167+64+76+117+28+101+82+94+71+167</f>
        <v>8590</v>
      </c>
      <c r="C29" s="9">
        <f>June!C29+B29</f>
        <v>94422</v>
      </c>
      <c r="D29" s="15">
        <f>3+1+16+1+13+7+1+5+49+2+5+11+5+22+2+1+9+22+22+2+3+22+4</f>
        <v>228</v>
      </c>
      <c r="E29" s="9">
        <f>June!E29+D29</f>
        <v>2635</v>
      </c>
      <c r="F29" s="17">
        <f>1+1</f>
        <v>2</v>
      </c>
      <c r="G29" s="9">
        <f>June!G29+F29</f>
        <v>548</v>
      </c>
      <c r="H29" s="19"/>
      <c r="I29" s="9">
        <f>June!I29+H29</f>
        <v>189</v>
      </c>
    </row>
    <row r="30" spans="1:9" s="5" customFormat="1" ht="18" customHeight="1">
      <c r="A30" s="9" t="s">
        <v>32</v>
      </c>
      <c r="B30" s="13">
        <f>200+124+400+67+52+3+3+25+51+39+64+210+162+66+14+203+400+70+11+15+170</f>
        <v>2349</v>
      </c>
      <c r="C30" s="9">
        <f>June!C30+B30</f>
        <v>25089</v>
      </c>
      <c r="D30" s="15">
        <f>40</f>
        <v>40</v>
      </c>
      <c r="E30" s="9">
        <f>June!E30+D30</f>
        <v>5049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>
        <f>120+66+7+75+62+38+69+79+75+46+862+84+18+124+64+6+184+186+76+178+116+240+95+58+294+37+4+43+191+110+65+209+5+328+73+17+125+725</f>
        <v>5154</v>
      </c>
      <c r="C31" s="9">
        <f>June!C31+B31</f>
        <v>25886</v>
      </c>
      <c r="D31" s="15">
        <f>1+12+1+3+1+5+6+42+2</f>
        <v>73</v>
      </c>
      <c r="E31" s="9">
        <f>June!E31+D31</f>
        <v>14585</v>
      </c>
      <c r="F31" s="17">
        <f>40+40+40+40+154</f>
        <v>314</v>
      </c>
      <c r="G31" s="9">
        <f>June!G31+F31</f>
        <v>2530</v>
      </c>
      <c r="H31" s="19"/>
      <c r="I31" s="9">
        <f>June!I31+H31</f>
        <v>0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>
        <f>68+13+64+5</f>
        <v>150</v>
      </c>
      <c r="E32" s="9">
        <f>June!E32+D32</f>
        <v>151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>
        <f>95</f>
        <v>95</v>
      </c>
      <c r="C35" s="9">
        <f>June!C35+B35</f>
        <v>1976</v>
      </c>
      <c r="D35" s="15"/>
      <c r="E35" s="9">
        <f>June!E35+D35</f>
        <v>8</v>
      </c>
      <c r="F35" s="17"/>
      <c r="G35" s="9">
        <f>June!G35+F35</f>
        <v>137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177</v>
      </c>
      <c r="D36" s="15"/>
      <c r="E36" s="9">
        <f>June!E36+D36</f>
        <v>174</v>
      </c>
      <c r="F36" s="17">
        <f>37+93+3</f>
        <v>133</v>
      </c>
      <c r="G36" s="9">
        <f>June!G36+F36</f>
        <v>1230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>
        <f>82+77</f>
        <v>159</v>
      </c>
      <c r="C37" s="9">
        <f>June!C37+B37</f>
        <v>1072</v>
      </c>
      <c r="D37" s="15"/>
      <c r="E37" s="9">
        <f>June!E37+D37</f>
        <v>6</v>
      </c>
      <c r="F37" s="17"/>
      <c r="G37" s="9">
        <f>June!G37+F37</f>
        <v>18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>
        <f>117+9+37+52</f>
        <v>215</v>
      </c>
      <c r="C38" s="9">
        <f>June!C38+B38</f>
        <v>32850</v>
      </c>
      <c r="D38" s="15">
        <f>39+21+26+9+1+1</f>
        <v>97</v>
      </c>
      <c r="E38" s="9">
        <f>June!E38+D38</f>
        <v>1571</v>
      </c>
      <c r="F38" s="17"/>
      <c r="G38" s="9">
        <f>June!G38+F38</f>
        <v>0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>
        <f>11+3+262+294</f>
        <v>570</v>
      </c>
      <c r="C39" s="9">
        <f>June!C39+B39</f>
        <v>12995</v>
      </c>
      <c r="D39" s="15">
        <f>1+2</f>
        <v>3</v>
      </c>
      <c r="E39" s="9">
        <f>June!E39+D39</f>
        <v>37</v>
      </c>
      <c r="F39" s="17">
        <f>1</f>
        <v>1</v>
      </c>
      <c r="G39" s="9">
        <f>June!G39+F39</f>
        <v>493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>
        <f>85+71+85+80+85+90+94+80+95+80+80+95+95+200+58+64+70+22+22+324</f>
        <v>1875</v>
      </c>
      <c r="C40" s="9">
        <f>June!C40+B40</f>
        <v>11436</v>
      </c>
      <c r="D40" s="15">
        <f>4+5+2+7+3+13+2+4+7+9+3+3+1+10+1</f>
        <v>74</v>
      </c>
      <c r="E40" s="9">
        <f>June!E40+D40</f>
        <v>1505</v>
      </c>
      <c r="F40" s="17"/>
      <c r="G40" s="9">
        <f>June!G40+F40</f>
        <v>6</v>
      </c>
      <c r="H40" s="19"/>
      <c r="I40" s="9">
        <f>June!I40+H40</f>
        <v>39</v>
      </c>
    </row>
    <row r="41" spans="1:9" s="5" customFormat="1" ht="18" customHeight="1">
      <c r="A41" s="9" t="s">
        <v>43</v>
      </c>
      <c r="B41" s="13"/>
      <c r="C41" s="9">
        <f>June!C41+B41</f>
        <v>910</v>
      </c>
      <c r="D41" s="15"/>
      <c r="E41" s="9">
        <f>June!E41+D41</f>
        <v>77</v>
      </c>
      <c r="F41" s="17">
        <f>2</f>
        <v>2</v>
      </c>
      <c r="G41" s="9">
        <f>June!G41+F41</f>
        <v>6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/>
      <c r="C42" s="9">
        <f>June!C42+B42</f>
        <v>989</v>
      </c>
      <c r="D42" s="15">
        <f>1</f>
        <v>1</v>
      </c>
      <c r="E42" s="9">
        <f>June!E42+D42</f>
        <v>26</v>
      </c>
      <c r="F42" s="17"/>
      <c r="G42" s="9">
        <f>June!G42+F42</f>
        <v>401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>
        <f>84+75+146+84+61+79+81+86+84</f>
        <v>780</v>
      </c>
      <c r="C44" s="9">
        <f>June!C44+B44</f>
        <v>4264</v>
      </c>
      <c r="D44" s="15"/>
      <c r="E44" s="9">
        <f>June!E44+D44</f>
        <v>16</v>
      </c>
      <c r="F44" s="17"/>
      <c r="G44" s="9">
        <f>June!G44+F44</f>
        <v>41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>
        <f>14+22+90+147+8+2+13+9+38+31+27+5+18+13+25+1+17+23+15+21+54+21+14+6+27+44+56+11+35+20+1+26+72+56+30+64+115+68+295+279+451+29+31+81+80+7+240+63+101+69+62+304+34+34+7+185+61+330+18+82+61+34+22+10+45+135+31+27+29+11+29+174+148+159+209+61+76+114+153+48+181+64+162+260+18+29+11+76+65+120+47+122+211+264+283+76+26+6+7+57+219+261+67+80+66+84+230+56+49+82190+321+70+208</f>
        <v>91664</v>
      </c>
      <c r="C45" s="9">
        <f>June!C45+B45</f>
        <v>243569</v>
      </c>
      <c r="D45" s="15">
        <f>3+21+33+166+42+28+16+28+14+2+58+60+9+10+10+11+16</f>
        <v>527</v>
      </c>
      <c r="E45" s="9">
        <f>June!E45+D45</f>
        <v>4889</v>
      </c>
      <c r="F45" s="17">
        <f>30</f>
        <v>30</v>
      </c>
      <c r="G45" s="9">
        <f>June!G45+F45</f>
        <v>177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>
        <f>59+52+79+119+140+104+120+100+70+78+67+76+174+58</f>
        <v>1296</v>
      </c>
      <c r="C46" s="9">
        <f>June!C46+B46</f>
        <v>13664</v>
      </c>
      <c r="D46" s="15">
        <f>4</f>
        <v>4</v>
      </c>
      <c r="E46" s="9">
        <f>June!E46+D46</f>
        <v>18</v>
      </c>
      <c r="F46" s="17"/>
      <c r="G46" s="9">
        <f>June!G46+F46</f>
        <v>18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>
        <f>71+216+125+5+77+7+60+104</f>
        <v>665</v>
      </c>
      <c r="C47" s="9">
        <f>June!C47+B47</f>
        <v>5985</v>
      </c>
      <c r="D47" s="15">
        <f>3+2+4</f>
        <v>9</v>
      </c>
      <c r="E47" s="9">
        <f>June!E47+D47</f>
        <v>3155</v>
      </c>
      <c r="F47" s="17"/>
      <c r="G47" s="9">
        <f>June!G47+F47</f>
        <v>1026</v>
      </c>
      <c r="H47" s="19"/>
      <c r="I47" s="9">
        <f>June!I47+H47</f>
        <v>0</v>
      </c>
    </row>
    <row r="48" spans="1:9" s="5" customFormat="1" ht="18" customHeight="1">
      <c r="A48" s="9" t="s">
        <v>50</v>
      </c>
      <c r="B48" s="13"/>
      <c r="C48" s="9">
        <f>June!C48+B48</f>
        <v>315</v>
      </c>
      <c r="D48" s="15"/>
      <c r="E48" s="9">
        <f>June!E48+D48</f>
        <v>90</v>
      </c>
      <c r="F48" s="17"/>
      <c r="G48" s="9">
        <f>June!G48+F48</f>
        <v>2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>
        <f>2</f>
        <v>2</v>
      </c>
      <c r="G49" s="9">
        <f>June!G49+F49</f>
        <v>2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>
        <f>66+116+115+76+112+106+435+57+74+385+112+160+86+121+232+232</f>
        <v>2485</v>
      </c>
      <c r="C50" s="9">
        <f>June!C50+B50</f>
        <v>15546</v>
      </c>
      <c r="D50" s="15"/>
      <c r="E50" s="9">
        <f>June!E50+D50</f>
        <v>4</v>
      </c>
      <c r="F50" s="17"/>
      <c r="G50" s="9">
        <f>June!G50+F50</f>
        <v>1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1</v>
      </c>
      <c r="D51" s="15"/>
      <c r="E51" s="9">
        <f>June!E51+D51</f>
        <v>117</v>
      </c>
      <c r="F51" s="17"/>
      <c r="G51" s="9">
        <f>June!G51+F51</f>
        <v>0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>
        <f>50+50+110+60+50+50+57+65+50+50</f>
        <v>592</v>
      </c>
      <c r="C52" s="9">
        <f>June!C52+B52</f>
        <v>2584</v>
      </c>
      <c r="D52" s="15"/>
      <c r="E52" s="9">
        <f>June!E52+D52</f>
        <v>117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>
        <f>72+40+288+48+72+40+142+29+84+21+95+26+6+11+13+37+62+399+53+210+125+73+231+23+3+3+72+72+72+288+27+32+30+80+104</f>
        <v>2983</v>
      </c>
      <c r="C53" s="9">
        <f>June!C53+B53</f>
        <v>27633</v>
      </c>
      <c r="D53" s="15">
        <f>3+15+5+4+20+9+3+8+31+9</f>
        <v>107</v>
      </c>
      <c r="E53" s="9">
        <f>June!E53+D53</f>
        <v>1459</v>
      </c>
      <c r="F53" s="17">
        <f>23+39+11+16+30+14+14+2+119+22+11+4+81+92+4+38+5+122+18+60+1</f>
        <v>726</v>
      </c>
      <c r="G53" s="9">
        <f>June!G53+F53</f>
        <v>5917</v>
      </c>
      <c r="H53" s="19"/>
      <c r="I53" s="9">
        <f>June!I53+H53</f>
        <v>37</v>
      </c>
    </row>
    <row r="54" spans="1:9" s="5" customFormat="1" ht="18" customHeight="1" thickBot="1">
      <c r="A54" s="10" t="s">
        <v>56</v>
      </c>
      <c r="B54" s="13">
        <f>18+143+32+49+40+263+80+31+207+223+231+67+315+105+160+74+37+15+33+7+33+35+381</f>
        <v>2579</v>
      </c>
      <c r="C54" s="9">
        <f>June!C54+B54</f>
        <v>7050</v>
      </c>
      <c r="D54" s="16">
        <f>5+132+37+92+108</f>
        <v>374</v>
      </c>
      <c r="E54" s="9">
        <f>June!E54+D54</f>
        <v>1906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138616</v>
      </c>
      <c r="C55" s="11"/>
      <c r="D55" s="11">
        <f>SUM(D5:D54)</f>
        <v>2433</v>
      </c>
      <c r="E55" s="11"/>
      <c r="F55" s="11">
        <f>SUM(F5:F54)</f>
        <v>2350</v>
      </c>
      <c r="G55" s="11"/>
      <c r="H55" s="11">
        <f>SUM(H5:H54)</f>
        <v>75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675455</v>
      </c>
      <c r="D57" s="11"/>
      <c r="E57" s="11">
        <f>June!E57+D55</f>
        <v>43600</v>
      </c>
      <c r="F57" s="11"/>
      <c r="G57" s="11">
        <f>June!G57+F55</f>
        <v>24189</v>
      </c>
      <c r="H57" s="11"/>
      <c r="I57" s="11">
        <f>June!I57+H55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2902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23013</v>
      </c>
      <c r="G62" s="4">
        <f>June!G62+F60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I69" sqref="I68:I6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73+75</f>
        <v>148</v>
      </c>
      <c r="C5" s="9">
        <f>July!C5+B5</f>
        <v>412</v>
      </c>
      <c r="D5" s="15">
        <f>1</f>
        <v>1</v>
      </c>
      <c r="E5" s="9">
        <f>July!E5+D5</f>
        <v>9</v>
      </c>
      <c r="F5" s="17">
        <f>98</f>
        <v>98</v>
      </c>
      <c r="G5" s="9">
        <f>July!G5+F5</f>
        <v>347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407</v>
      </c>
      <c r="D7" s="15"/>
      <c r="E7" s="9">
        <f>July!E7+D7</f>
        <v>0</v>
      </c>
      <c r="F7" s="17"/>
      <c r="G7" s="9">
        <f>July!G7+F7</f>
        <v>700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>
        <f>100+100+65</f>
        <v>265</v>
      </c>
      <c r="C8" s="9">
        <f>July!C8+B8</f>
        <v>5264</v>
      </c>
      <c r="D8" s="15">
        <f>2+5+2</f>
        <v>9</v>
      </c>
      <c r="E8" s="9">
        <f>July!E8+D8</f>
        <v>91</v>
      </c>
      <c r="F8" s="17"/>
      <c r="G8" s="9">
        <f>July!G8+F8</f>
        <v>131</v>
      </c>
      <c r="H8" s="19"/>
      <c r="I8" s="9">
        <f>July!I8+H8</f>
        <v>0</v>
      </c>
    </row>
    <row r="9" spans="1:9" s="5" customFormat="1" ht="18" customHeight="1">
      <c r="A9" s="9" t="s">
        <v>11</v>
      </c>
      <c r="B9" s="13">
        <f>65+90+80+89+85</f>
        <v>409</v>
      </c>
      <c r="C9" s="9">
        <f>July!C9+B9</f>
        <v>1183</v>
      </c>
      <c r="D9" s="15"/>
      <c r="E9" s="9">
        <f>July!E9+D9</f>
        <v>124</v>
      </c>
      <c r="F9" s="17">
        <f>2+1</f>
        <v>3</v>
      </c>
      <c r="G9" s="9">
        <f>July!G9+F9</f>
        <v>3400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>
        <f>1000</f>
        <v>1000</v>
      </c>
      <c r="C10" s="9">
        <f>July!C10+B10</f>
        <v>3037</v>
      </c>
      <c r="D10" s="15">
        <f>72+2</f>
        <v>74</v>
      </c>
      <c r="E10" s="9">
        <f>July!E10+D10</f>
        <v>113</v>
      </c>
      <c r="F10" s="17"/>
      <c r="G10" s="9">
        <f>July!G10+F10</f>
        <v>23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>
        <f>3+225+57+4+102</f>
        <v>391</v>
      </c>
      <c r="C11" s="9">
        <f>July!C11+B11</f>
        <v>733</v>
      </c>
      <c r="D11" s="15">
        <f>2+5+1</f>
        <v>8</v>
      </c>
      <c r="E11" s="9">
        <f>July!E11+D11</f>
        <v>831</v>
      </c>
      <c r="F11" s="17">
        <f>1</f>
        <v>1</v>
      </c>
      <c r="G11" s="9">
        <f>July!G11+F11</f>
        <v>369</v>
      </c>
      <c r="H11" s="19"/>
      <c r="I11" s="9">
        <f>July!I11+H11</f>
        <v>166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561</v>
      </c>
      <c r="D14" s="15">
        <f>7</f>
        <v>7</v>
      </c>
      <c r="E14" s="9">
        <f>July!E14+D14</f>
        <v>124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>
        <f>28+23+97+97</f>
        <v>245</v>
      </c>
      <c r="C15" s="9">
        <f>July!C15+B15</f>
        <v>1901</v>
      </c>
      <c r="D15" s="15"/>
      <c r="E15" s="9">
        <f>July!E15+D15</f>
        <v>19</v>
      </c>
      <c r="F15" s="17"/>
      <c r="G15" s="9">
        <f>July!G15+F15</f>
        <v>284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1452</v>
      </c>
      <c r="D17" s="15"/>
      <c r="E17" s="9">
        <f>July!E17+D17</f>
        <v>253</v>
      </c>
      <c r="F17" s="17">
        <f>2</f>
        <v>2</v>
      </c>
      <c r="G17" s="9">
        <f>July!G17+F17</f>
        <v>126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>
        <f>80+85+89+65+1+5+60+7+70+1</f>
        <v>463</v>
      </c>
      <c r="C18" s="9">
        <f>July!C18+B18</f>
        <v>3532</v>
      </c>
      <c r="D18" s="15">
        <f>1+32+7+6+6+1</f>
        <v>53</v>
      </c>
      <c r="E18" s="9">
        <f>July!E18+D18</f>
        <v>977</v>
      </c>
      <c r="F18" s="17">
        <f>2+1+1+1</f>
        <v>5</v>
      </c>
      <c r="G18" s="9">
        <f>July!G18+F18</f>
        <v>265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>
        <f>138+250+1084</f>
        <v>1472</v>
      </c>
      <c r="C19" s="9">
        <f>July!C19+B19</f>
        <v>11927</v>
      </c>
      <c r="D19" s="15">
        <f>7+180+3+5</f>
        <v>195</v>
      </c>
      <c r="E19" s="9">
        <f>July!E19+D19</f>
        <v>534</v>
      </c>
      <c r="F19" s="17">
        <f>160</f>
        <v>160</v>
      </c>
      <c r="G19" s="9">
        <f>July!G19+F19</f>
        <v>1056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>
        <f>52+78+115+132+128+17+116+61+64+300+37+138+120+25+27+54+69+112+414+622+65+90+72+180+12+180+111+180+260+280+180+70+345</f>
        <v>4706</v>
      </c>
      <c r="C20" s="9">
        <f>July!C20+B20</f>
        <v>21125</v>
      </c>
      <c r="D20" s="15">
        <f>2+2+2+11</f>
        <v>17</v>
      </c>
      <c r="E20" s="9">
        <f>July!E20+D20</f>
        <v>1361</v>
      </c>
      <c r="F20" s="17">
        <f>9+7+7+2+1+1+1+7+7+7+7+7+7+7+7+7+7+38+38+4</f>
        <v>178</v>
      </c>
      <c r="G20" s="9">
        <f>July!G20+F20</f>
        <v>729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>
        <f>89+85+88+82+58+72+184+56+54+700+51+325+115+61+72+62+67+179+68+85+135+314+71+121+47+52+56+53+69+65+66+68+66+67+162+134+85+170+516+119+209+375+177+65+57+119+183+82+82+125+54+300+525+8+163+273+70+75+35+380+67+68+154+105</f>
        <v>8740</v>
      </c>
      <c r="C21" s="9">
        <f>July!C21+B21</f>
        <v>80858</v>
      </c>
      <c r="D21" s="15"/>
      <c r="E21" s="9">
        <f>July!E21+D21</f>
        <v>151</v>
      </c>
      <c r="F21" s="17"/>
      <c r="G21" s="9">
        <f>July!G21+F21</f>
        <v>11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18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>
        <f>2</f>
        <v>2</v>
      </c>
      <c r="G23" s="9">
        <f>July!G23+F23</f>
        <v>2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6</v>
      </c>
      <c r="F24" s="17"/>
      <c r="G24" s="9">
        <f>July!G24+F24</f>
        <v>5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>
        <f>110+110+110</f>
        <v>330</v>
      </c>
      <c r="C26" s="9">
        <f>July!C26+B26</f>
        <v>3166</v>
      </c>
      <c r="D26" s="15"/>
      <c r="E26" s="9">
        <f>July!E26+D26</f>
        <v>13</v>
      </c>
      <c r="F26" s="17"/>
      <c r="G26" s="9">
        <f>July!G26+F26</f>
        <v>18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>
        <f>5+11+100+52+65+2+20+9+29+5+2+17+4+7+3+3+7+2+16+2+4+12+5+56+4+3+49+53+57+36+120+8+61+9+7+14+25+5+1+48+12</f>
        <v>950</v>
      </c>
      <c r="C27" s="9">
        <f>July!C27+B27</f>
        <v>29446</v>
      </c>
      <c r="D27" s="15">
        <f>8+4+9+4+2+6+3+3+7+4+14</f>
        <v>64</v>
      </c>
      <c r="E27" s="9">
        <f>July!E27+D27</f>
        <v>1794</v>
      </c>
      <c r="F27" s="17">
        <f>4+29+25+60+29+60+8+61+20+120+141</f>
        <v>557</v>
      </c>
      <c r="G27" s="9">
        <f>July!G27+F27</f>
        <v>5176</v>
      </c>
      <c r="H27" s="19"/>
      <c r="I27" s="9">
        <f>July!I27+H27</f>
        <v>46</v>
      </c>
    </row>
    <row r="28" spans="1:9" s="5" customFormat="1" ht="18" customHeight="1">
      <c r="A28" s="9" t="s">
        <v>30</v>
      </c>
      <c r="B28" s="13">
        <f>97</f>
        <v>97</v>
      </c>
      <c r="C28" s="9">
        <f>July!C28+B28</f>
        <v>1254</v>
      </c>
      <c r="D28" s="15"/>
      <c r="E28" s="9">
        <f>July!E28+D28</f>
        <v>15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>
        <f>87+72+67+75+70+64+46+51+73+76+74+62+70+38+117+55+27+148+14+138+60+67+67+91+65+66+77+78+75+117+77+71+73+34+79+73+62+73+25+48+122+62+20+16+150+29+62+62+40+82+80+77+117+44+40+52+33+54+4+94+22+56+22+27+53+119+149</f>
        <v>4490</v>
      </c>
      <c r="C29" s="9">
        <f>July!C29+B29</f>
        <v>98912</v>
      </c>
      <c r="D29" s="15">
        <f>1+2+8+8+1+18+5+110+1+6+2+3+20</f>
        <v>185</v>
      </c>
      <c r="E29" s="9">
        <f>July!E29+D29</f>
        <v>2820</v>
      </c>
      <c r="F29" s="17"/>
      <c r="G29" s="9">
        <f>July!G29+F29</f>
        <v>548</v>
      </c>
      <c r="H29" s="19"/>
      <c r="I29" s="9">
        <f>July!I29+H29</f>
        <v>189</v>
      </c>
    </row>
    <row r="30" spans="1:9" s="5" customFormat="1" ht="18" customHeight="1">
      <c r="A30" s="9" t="s">
        <v>32</v>
      </c>
      <c r="B30" s="13">
        <f>12+210+52+38+217+455+6+22+300+51+29+84+47+48+157+16+150+150+83+177+135+130+240+180+105+450+120+87+46+7+64+55+110+24+2+4+7+200+10+26+6+12+7+18+1068+111+127+140+94+239</f>
        <v>6128</v>
      </c>
      <c r="C30" s="9">
        <f>July!C30+B30</f>
        <v>31217</v>
      </c>
      <c r="D30" s="15">
        <f>44+1</f>
        <v>45</v>
      </c>
      <c r="E30" s="9">
        <f>July!E30+D30</f>
        <v>5094</v>
      </c>
      <c r="F30" s="17">
        <f>72</f>
        <v>72</v>
      </c>
      <c r="G30" s="9">
        <f>July!G30+F30</f>
        <v>72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>
        <f>60+86+156+116+132+42+520+70+95+106+11+187+68+132+367+349+120+50+131+154+25+71+18+300+131+132+119+241+302+252+62+235+225+60+156+74+90+123+80+204+80+70+350+28+66+5+99+300+169+240+193+121+135+187+119+180+177+298+106+199+361+105+69+123+38+82+86+154+176+136+79+140+56+91+58+70+115+40+65+500</f>
        <v>11518</v>
      </c>
      <c r="C31" s="9">
        <f>July!C31+B31</f>
        <v>37404</v>
      </c>
      <c r="D31" s="15">
        <f>55+50+40+50+1+4+28+142+4+37+121+39+27+18+7+6+7+23+5+1+76+41+81+30+70+34+84+28+40+2</f>
        <v>1151</v>
      </c>
      <c r="E31" s="9">
        <f>July!E31+D31</f>
        <v>15736</v>
      </c>
      <c r="F31" s="17">
        <f>4+1+36+41+40+56+80+40+81</f>
        <v>379</v>
      </c>
      <c r="G31" s="9">
        <f>July!G31+F31</f>
        <v>2909</v>
      </c>
      <c r="H31" s="19"/>
      <c r="I31" s="9">
        <f>July!I31+H31</f>
        <v>0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151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1976</v>
      </c>
      <c r="D35" s="15"/>
      <c r="E35" s="9">
        <f>July!E35+D35</f>
        <v>8</v>
      </c>
      <c r="F35" s="17"/>
      <c r="G35" s="9">
        <f>July!G35+F35</f>
        <v>137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177</v>
      </c>
      <c r="D36" s="15"/>
      <c r="E36" s="9">
        <f>July!E36+D36</f>
        <v>174</v>
      </c>
      <c r="F36" s="17">
        <f>1+38</f>
        <v>39</v>
      </c>
      <c r="G36" s="9">
        <f>July!G36+F36</f>
        <v>1269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/>
      <c r="C37" s="9">
        <f>July!C37+B37</f>
        <v>1072</v>
      </c>
      <c r="D37" s="15">
        <f>1</f>
        <v>1</v>
      </c>
      <c r="E37" s="9">
        <f>July!E37+D37</f>
        <v>7</v>
      </c>
      <c r="F37" s="17"/>
      <c r="G37" s="9">
        <f>July!G37+F37</f>
        <v>18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>
        <f>348+370+57+57</f>
        <v>832</v>
      </c>
      <c r="C38" s="9">
        <f>July!C38+B38</f>
        <v>33682</v>
      </c>
      <c r="D38" s="15"/>
      <c r="E38" s="9">
        <f>July!E38+D38</f>
        <v>1571</v>
      </c>
      <c r="F38" s="17"/>
      <c r="G38" s="9">
        <f>July!G38+F38</f>
        <v>0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>
        <f>294+299+294+3+299+294+294+3</f>
        <v>1780</v>
      </c>
      <c r="C39" s="9">
        <f>July!C39+B39</f>
        <v>14775</v>
      </c>
      <c r="D39" s="15">
        <f>1</f>
        <v>1</v>
      </c>
      <c r="E39" s="9">
        <f>July!E39+D39</f>
        <v>38</v>
      </c>
      <c r="F39" s="17">
        <f>88</f>
        <v>88</v>
      </c>
      <c r="G39" s="9">
        <f>July!G39+F39</f>
        <v>581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>
        <f>99+71+74+78+80+161+80+85+185+80</f>
        <v>993</v>
      </c>
      <c r="C40" s="9">
        <f>July!C40+B40</f>
        <v>12429</v>
      </c>
      <c r="D40" s="15">
        <f>1+5+2</f>
        <v>8</v>
      </c>
      <c r="E40" s="9">
        <f>July!E40+D40</f>
        <v>1513</v>
      </c>
      <c r="F40" s="17"/>
      <c r="G40" s="9">
        <f>July!G40+F40</f>
        <v>6</v>
      </c>
      <c r="H40" s="19"/>
      <c r="I40" s="9">
        <f>July!I40+H40</f>
        <v>39</v>
      </c>
    </row>
    <row r="41" spans="1:9" s="5" customFormat="1" ht="18" customHeight="1">
      <c r="A41" s="9" t="s">
        <v>43</v>
      </c>
      <c r="B41" s="13">
        <f>78</f>
        <v>78</v>
      </c>
      <c r="C41" s="9">
        <f>July!C41+B41</f>
        <v>988</v>
      </c>
      <c r="D41" s="15"/>
      <c r="E41" s="9">
        <f>July!E41+D41</f>
        <v>77</v>
      </c>
      <c r="F41" s="17"/>
      <c r="G41" s="9">
        <f>July!G41+F41</f>
        <v>6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989</v>
      </c>
      <c r="D42" s="15"/>
      <c r="E42" s="9">
        <f>July!E42+D42</f>
        <v>26</v>
      </c>
      <c r="F42" s="17">
        <f>323</f>
        <v>323</v>
      </c>
      <c r="G42" s="9">
        <f>July!G42+F42</f>
        <v>724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>
        <f>75+81+73+76+172+74+76+70+101+57</f>
        <v>855</v>
      </c>
      <c r="C44" s="9">
        <f>July!C44+B44</f>
        <v>5119</v>
      </c>
      <c r="D44" s="15"/>
      <c r="E44" s="9">
        <f>July!E44+D44</f>
        <v>16</v>
      </c>
      <c r="F44" s="17"/>
      <c r="G44" s="9">
        <f>July!G44+F44</f>
        <v>41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>
        <f>450+40+383+118+222+82+27+17+217+10+138+196+113+99+50+5+16+49+19+32+76+144+91+66+250+195+21+252+72+217+66+328+288+50+15+366+139+227+180+137+181+126+67+136+67+12+184+53+69+67+92+69+20+81+68+77+64+345+29+85+20+33+24+117+83+29+79+34+28+12+18+22+35+55+25+25+30+63+6+27+23+12+60+13+43+81+23+19+19+44+19+5+6+46+26+143+24+76+4</f>
        <v>8806</v>
      </c>
      <c r="C45" s="9">
        <f>July!C45+B45</f>
        <v>252375</v>
      </c>
      <c r="D45" s="15">
        <f>12+2+1+3+5+34+1+45+4+1+1+5+8+7</f>
        <v>129</v>
      </c>
      <c r="E45" s="9">
        <f>July!E45+D45</f>
        <v>5018</v>
      </c>
      <c r="F45" s="17">
        <f>2+8+8</f>
        <v>18</v>
      </c>
      <c r="G45" s="9">
        <f>July!G45+F45</f>
        <v>195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>
        <f>76+55+95+77+150+26+90+82+142+90+37+20+64+86+55+58+77+125+75+78+78+71</f>
        <v>1707</v>
      </c>
      <c r="C46" s="9">
        <f>July!C46+B46</f>
        <v>15371</v>
      </c>
      <c r="D46" s="15"/>
      <c r="E46" s="9">
        <f>July!E46+D46</f>
        <v>18</v>
      </c>
      <c r="F46" s="17"/>
      <c r="G46" s="9">
        <f>July!G46+F46</f>
        <v>18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>
        <f>160+25+78+210+200+213+200+135+135+68+236</f>
        <v>1660</v>
      </c>
      <c r="C47" s="9">
        <f>July!C47+B47</f>
        <v>7645</v>
      </c>
      <c r="D47" s="15">
        <f>3+1+1+4+1+7+9+4+1+13+1</f>
        <v>45</v>
      </c>
      <c r="E47" s="9">
        <f>July!E47+D47</f>
        <v>3200</v>
      </c>
      <c r="F47" s="17">
        <v>10</v>
      </c>
      <c r="G47" s="9">
        <f>July!G47+F47</f>
        <v>1036</v>
      </c>
      <c r="H47" s="19"/>
      <c r="I47" s="9">
        <f>July!I47+H47</f>
        <v>0</v>
      </c>
    </row>
    <row r="48" spans="1:9" s="5" customFormat="1" ht="18" customHeight="1">
      <c r="A48" s="9" t="s">
        <v>50</v>
      </c>
      <c r="B48" s="13"/>
      <c r="C48" s="9">
        <f>July!C48+B48</f>
        <v>315</v>
      </c>
      <c r="D48" s="15"/>
      <c r="E48" s="9">
        <f>July!E48+D48</f>
        <v>90</v>
      </c>
      <c r="F48" s="17"/>
      <c r="G48" s="9">
        <f>July!G48+F48</f>
        <v>2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2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>
        <f>114+112+16+102+121+58+59+73+70+56+62+224+62+62+62+290+130+56+252+232+108+441</f>
        <v>2762</v>
      </c>
      <c r="C50" s="9">
        <f>July!C50+B50</f>
        <v>18308</v>
      </c>
      <c r="D50" s="15"/>
      <c r="E50" s="9">
        <f>July!E50+D50</f>
        <v>4</v>
      </c>
      <c r="F50" s="17"/>
      <c r="G50" s="9">
        <f>July!G50+F50</f>
        <v>1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1</v>
      </c>
      <c r="D51" s="15"/>
      <c r="E51" s="9">
        <f>July!E51+D51</f>
        <v>117</v>
      </c>
      <c r="F51" s="17"/>
      <c r="G51" s="9">
        <f>July!G51+F51</f>
        <v>0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>
        <f>65+82+80+65+63+80+78+62+60+8+53</f>
        <v>696</v>
      </c>
      <c r="C52" s="9">
        <f>July!C52+B52</f>
        <v>3280</v>
      </c>
      <c r="D52" s="15"/>
      <c r="E52" s="9">
        <f>July!E52+D52</f>
        <v>117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>
        <f>138+2+24+169+14+19+186+10+73+6+16+146+6+59+60+11+19+132+10+68+17+50+43+20+18+73+73+45+42+14+2+40+72+140+360+220+105+49+104+80+60+85+77+80+64+142+77+60+39+155+109+153+165+136+160+160+11+72+26+39+2+89+13+24+1+14+13+10+9+64+23+15+4+2+7+8+42+104+635</f>
        <v>5684</v>
      </c>
      <c r="C53" s="9">
        <f>July!C53+B53</f>
        <v>33317</v>
      </c>
      <c r="D53" s="15">
        <f>16+1+3+5+2+3+17+2+4+17+6+53+7+10+14+30+6+4+15+11</f>
        <v>226</v>
      </c>
      <c r="E53" s="9">
        <f>July!E53+D53</f>
        <v>1685</v>
      </c>
      <c r="F53" s="17">
        <f>38+5+7+1+42+43+30+17+60+42+65+13+38+65+3+1+72+53+80+38+7+1+39+170</f>
        <v>930</v>
      </c>
      <c r="G53" s="9">
        <f>July!G53+F53</f>
        <v>6847</v>
      </c>
      <c r="H53" s="19"/>
      <c r="I53" s="9">
        <f>July!I53+H53</f>
        <v>37</v>
      </c>
    </row>
    <row r="54" spans="1:9" s="5" customFormat="1" ht="18" customHeight="1" thickBot="1">
      <c r="A54" s="10" t="s">
        <v>56</v>
      </c>
      <c r="B54" s="13">
        <f>1184+129+75+7+280+75+85+128+207+167+330+80</f>
        <v>2747</v>
      </c>
      <c r="C54" s="9">
        <f>July!C54+B54</f>
        <v>9797</v>
      </c>
      <c r="D54" s="16">
        <f>2+1+33+1+82</f>
        <v>119</v>
      </c>
      <c r="E54" s="9">
        <f>July!E54+D54</f>
        <v>2025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69952</v>
      </c>
      <c r="C55" s="11"/>
      <c r="D55" s="11">
        <f>SUM(D5:D54)</f>
        <v>2338</v>
      </c>
      <c r="E55" s="11"/>
      <c r="F55" s="11">
        <f>SUM(F5:F54)</f>
        <v>2865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745407</v>
      </c>
      <c r="D57" s="11"/>
      <c r="E57" s="11">
        <f>July!E57+D55</f>
        <v>45938</v>
      </c>
      <c r="F57" s="11"/>
      <c r="G57" s="11">
        <f>July!G57+F55</f>
        <v>27054</v>
      </c>
      <c r="H57" s="11"/>
      <c r="I57" s="11">
        <f>July!I57+H55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2372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25385</v>
      </c>
      <c r="G62" s="4">
        <f>July!G62+F60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412</v>
      </c>
      <c r="D5" s="15"/>
      <c r="E5" s="9">
        <f>August!E5+D5</f>
        <v>9</v>
      </c>
      <c r="F5" s="17">
        <f>10</f>
        <v>10</v>
      </c>
      <c r="G5" s="9">
        <f>August!G5+F5</f>
        <v>357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407</v>
      </c>
      <c r="D7" s="15"/>
      <c r="E7" s="9">
        <f>August!E7+D7</f>
        <v>0</v>
      </c>
      <c r="F7" s="17"/>
      <c r="G7" s="9">
        <f>August!G7+F7</f>
        <v>700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>
        <f>61+98+30+54+66+128</f>
        <v>437</v>
      </c>
      <c r="C8" s="9">
        <f>August!C8+B8</f>
        <v>5701</v>
      </c>
      <c r="D8" s="15">
        <f>4+7+3</f>
        <v>14</v>
      </c>
      <c r="E8" s="9">
        <f>August!E8+D8</f>
        <v>105</v>
      </c>
      <c r="F8" s="17"/>
      <c r="G8" s="9">
        <f>August!G8+F8</f>
        <v>131</v>
      </c>
      <c r="H8" s="19"/>
      <c r="I8" s="9">
        <f>August!I8+H8</f>
        <v>0</v>
      </c>
    </row>
    <row r="9" spans="1:9" s="5" customFormat="1" ht="18" customHeight="1">
      <c r="A9" s="9" t="s">
        <v>11</v>
      </c>
      <c r="B9" s="13">
        <f>18</f>
        <v>18</v>
      </c>
      <c r="C9" s="9">
        <f>August!C9+B9</f>
        <v>1201</v>
      </c>
      <c r="D9" s="15">
        <f>1+1</f>
        <v>2</v>
      </c>
      <c r="E9" s="9">
        <f>August!E9+D9</f>
        <v>126</v>
      </c>
      <c r="F9" s="17">
        <f>94</f>
        <v>94</v>
      </c>
      <c r="G9" s="9">
        <f>August!G9+F9</f>
        <v>3494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3037</v>
      </c>
      <c r="D10" s="15"/>
      <c r="E10" s="9">
        <f>August!E10+D10</f>
        <v>113</v>
      </c>
      <c r="F10" s="17"/>
      <c r="G10" s="9">
        <f>August!G10+F10</f>
        <v>23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>
        <f>135+67+80</f>
        <v>282</v>
      </c>
      <c r="C11" s="9">
        <f>August!C11+B11</f>
        <v>1015</v>
      </c>
      <c r="D11" s="15">
        <f>90+40</f>
        <v>130</v>
      </c>
      <c r="E11" s="9">
        <f>August!E11+D11</f>
        <v>961</v>
      </c>
      <c r="F11" s="17"/>
      <c r="G11" s="9">
        <f>August!G11+F11</f>
        <v>369</v>
      </c>
      <c r="H11" s="19"/>
      <c r="I11" s="9">
        <f>August!I11+H11</f>
        <v>166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561</v>
      </c>
      <c r="D14" s="15"/>
      <c r="E14" s="9">
        <f>August!E14+D14</f>
        <v>124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>
        <f>14+70+43+64+49+11+70+70+64+70</f>
        <v>525</v>
      </c>
      <c r="C15" s="9">
        <f>August!C15+B15</f>
        <v>2426</v>
      </c>
      <c r="D15" s="15"/>
      <c r="E15" s="9">
        <f>August!E15+D15</f>
        <v>19</v>
      </c>
      <c r="F15" s="17"/>
      <c r="G15" s="9">
        <f>August!G15+F15</f>
        <v>284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>
        <f>470+65</f>
        <v>535</v>
      </c>
      <c r="C17" s="9">
        <f>August!C17+B17</f>
        <v>1987</v>
      </c>
      <c r="D17" s="15"/>
      <c r="E17" s="9">
        <f>August!E17+D17</f>
        <v>253</v>
      </c>
      <c r="F17" s="17"/>
      <c r="G17" s="9">
        <f>August!G17+F17</f>
        <v>126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>
        <f>70+75</f>
        <v>145</v>
      </c>
      <c r="C18" s="9">
        <f>August!C18+B18</f>
        <v>3677</v>
      </c>
      <c r="D18" s="15">
        <f>1+1+1+1+1+1+2+1+5</f>
        <v>14</v>
      </c>
      <c r="E18" s="9">
        <f>August!E18+D18</f>
        <v>991</v>
      </c>
      <c r="F18" s="17">
        <f>7+2</f>
        <v>9</v>
      </c>
      <c r="G18" s="9">
        <f>August!G18+F18</f>
        <v>274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>
        <f>150+3+42+38+68+1506</f>
        <v>1807</v>
      </c>
      <c r="C19" s="9">
        <f>August!C19+B19</f>
        <v>13734</v>
      </c>
      <c r="D19" s="15">
        <f>150+150+1+1+2+1+1</f>
        <v>306</v>
      </c>
      <c r="E19" s="9">
        <f>August!E19+D19</f>
        <v>840</v>
      </c>
      <c r="F19" s="17">
        <f>100+160+150</f>
        <v>410</v>
      </c>
      <c r="G19" s="9">
        <f>August!G19+F19</f>
        <v>1466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>
        <f>23+301+301+185+55+147+70+63+270+114+64+174+56+60+106+229+240+168+60+120+105+320</f>
        <v>3231</v>
      </c>
      <c r="C20" s="9">
        <f>August!C20+B20</f>
        <v>24356</v>
      </c>
      <c r="D20" s="15">
        <f>10+2+1+1</f>
        <v>14</v>
      </c>
      <c r="E20" s="9">
        <f>August!E20+D20</f>
        <v>1375</v>
      </c>
      <c r="F20" s="17"/>
      <c r="G20" s="9">
        <f>August!G20+F20</f>
        <v>729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>
        <f>140+85+60+177+114+77+84+80+148+148+78+68+122+59+126+63+117+222+70+130+186+55+74+130+131+244+59+108+69+53+120+203+48+64+110+135+89+88+84+450+450+55+53+67+188+158+142+7+65+49+63+65+106+60+110+164+57+73+9+75+97+81+214+88+123+138+165</f>
        <v>7590</v>
      </c>
      <c r="C21" s="9">
        <f>August!C21+B21</f>
        <v>88448</v>
      </c>
      <c r="D21" s="15"/>
      <c r="E21" s="9">
        <f>August!E21+D21</f>
        <v>151</v>
      </c>
      <c r="F21" s="17"/>
      <c r="G21" s="9">
        <f>August!G21+F21</f>
        <v>11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18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2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>
        <f>1+2</f>
        <v>3</v>
      </c>
      <c r="E24" s="9">
        <f>August!E24+D24</f>
        <v>9</v>
      </c>
      <c r="F24" s="17">
        <f>1+1+1+2</f>
        <v>5</v>
      </c>
      <c r="G24" s="9">
        <f>August!G24+F24</f>
        <v>10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>
        <f>145+85+85+63+63</f>
        <v>441</v>
      </c>
      <c r="C26" s="9">
        <f>August!C26+B26</f>
        <v>3607</v>
      </c>
      <c r="D26" s="15">
        <f>4+7+10+4</f>
        <v>25</v>
      </c>
      <c r="E26" s="9">
        <f>August!E26+D26</f>
        <v>38</v>
      </c>
      <c r="F26" s="17"/>
      <c r="G26" s="9">
        <f>August!G26+F26</f>
        <v>18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>
        <f>3+2+31+10+1+48+97+710+133+267+120+59+154+39+114+73+50+28+12+2+21+42+35+43+34+2+36+33+24+124+80+69+23+199+35+122+165+74+31+4+9+8+16+12+150+119+112+21+24+52+17+61+11+69+39+12+10+104+10+62+10+10+22+11+86+18+3+16+22+8+3+2+200+90+4</f>
        <v>4572</v>
      </c>
      <c r="C27" s="9">
        <f>August!C27+B27</f>
        <v>34018</v>
      </c>
      <c r="D27" s="15">
        <f>6+7+5+3+7+7+1+3+6+7+4+2+9+23+23+4+3</f>
        <v>120</v>
      </c>
      <c r="E27" s="9">
        <f>August!E27+D27</f>
        <v>1914</v>
      </c>
      <c r="F27" s="17">
        <f>3+17+50+48+5+8+7+3+15+12+20+25+9+14+7+31+4+141</f>
        <v>419</v>
      </c>
      <c r="G27" s="9">
        <f>August!G27+F27</f>
        <v>5595</v>
      </c>
      <c r="H27" s="19"/>
      <c r="I27" s="9">
        <f>August!I27+H27</f>
        <v>46</v>
      </c>
    </row>
    <row r="28" spans="1:9" s="5" customFormat="1" ht="18" customHeight="1">
      <c r="A28" s="9" t="s">
        <v>30</v>
      </c>
      <c r="B28" s="13">
        <f>70</f>
        <v>70</v>
      </c>
      <c r="C28" s="9">
        <f>August!C28+B28</f>
        <v>1324</v>
      </c>
      <c r="D28" s="15"/>
      <c r="E28" s="9">
        <f>August!E28+D28</f>
        <v>15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>
        <f>60+35+60+194+68+60+18+75+60+67+60+72+70+132+24+191+122+118+63+250+115+73+162+235+54+23+60+81+65+65+57+44+69+71+73+105+4+126+62+109+87+75+177+82+85+65+53+92+85+7+117+75+68+197+133+60+71+68+65+96+100+105+48+53+49+120+57+65+74+72+150+70+73+61+80+65+65+65+72+99+28+38+53+73+42+70+6+68+40+91+18+172+62+41+80</f>
        <v>7635</v>
      </c>
      <c r="C29" s="9">
        <f>August!C29+B29</f>
        <v>106547</v>
      </c>
      <c r="D29" s="15">
        <f>1+22+4+6+25+12+5</f>
        <v>75</v>
      </c>
      <c r="E29" s="9">
        <f>August!E29+D29</f>
        <v>2895</v>
      </c>
      <c r="F29" s="17"/>
      <c r="G29" s="9">
        <f>August!G29+F29</f>
        <v>548</v>
      </c>
      <c r="H29" s="19"/>
      <c r="I29" s="9">
        <f>August!I29+H29</f>
        <v>189</v>
      </c>
    </row>
    <row r="30" spans="1:9" s="5" customFormat="1" ht="18" customHeight="1">
      <c r="A30" s="9" t="s">
        <v>32</v>
      </c>
      <c r="B30" s="13">
        <f>49+350+351+16+134+338+130+175+98+60+225+460+70+122+63+63+84+130+419+24+14+14+32+3+6+26+7+45+497+270+190+165+450+81+49+71+4+100+388+300+25+13+43+142+163+112+67+210+61+23+165+90+110+61+145+105+150+130+378+380+430+140+450+400+18+13+31+398+85+17+62+9+170+49+2+53+85+65+85+70+95+135+500+350+349+59+32+210+205+5+13+24+70+234+110+211+400+300+48+320+20+23+67+160+120+53+41+89+80+86+17+14+60+333</f>
        <v>16111</v>
      </c>
      <c r="C30" s="9">
        <f>August!C30+B30</f>
        <v>47328</v>
      </c>
      <c r="D30" s="15">
        <f>104+104+75+134</f>
        <v>417</v>
      </c>
      <c r="E30" s="9">
        <f>August!E30+D30</f>
        <v>5511</v>
      </c>
      <c r="F30" s="17"/>
      <c r="G30" s="9">
        <f>August!G30+F30</f>
        <v>72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>
        <f>1+245+305+5+75+84+111+165+79+544+99+70+268+127+308+134+128+7+66+225+24+43+226+65+60+69+87+61+118+55+106+29+133+380+181+65+159+199+132+69+17+145+126+187+180+130+75+164+139+129+145+126+180+130+159+164+76+129+187+41+156+28+65+113+63+76+60+49+104+122+95+67+43+52+56+79+119+10+95+2+55+180+9+64+55+416+87+71+125+255+345+125</f>
        <v>11177</v>
      </c>
      <c r="C31" s="9">
        <f>August!C31+B31</f>
        <v>48581</v>
      </c>
      <c r="D31" s="15">
        <f>48+4+1+1+10+4+84+10+1+1+3+1+42+51+45+40+3+11+50+55+146+50+42+61</f>
        <v>764</v>
      </c>
      <c r="E31" s="9">
        <f>August!E31+D31</f>
        <v>16500</v>
      </c>
      <c r="F31" s="17">
        <f>40+6+40+40+72</f>
        <v>198</v>
      </c>
      <c r="G31" s="9">
        <f>August!G31+F31</f>
        <v>3107</v>
      </c>
      <c r="H31" s="19"/>
      <c r="I31" s="9">
        <f>August!I31+H31</f>
        <v>0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151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>
        <v>322</v>
      </c>
      <c r="C35" s="9">
        <f>August!C35+B35</f>
        <v>2298</v>
      </c>
      <c r="D35" s="15"/>
      <c r="E35" s="9">
        <f>August!E35+D35</f>
        <v>8</v>
      </c>
      <c r="F35" s="17"/>
      <c r="G35" s="9">
        <f>August!G35+F35</f>
        <v>137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177</v>
      </c>
      <c r="D36" s="15"/>
      <c r="E36" s="9">
        <f>August!E36+D36</f>
        <v>174</v>
      </c>
      <c r="F36" s="17">
        <f>1+10+69+16</f>
        <v>96</v>
      </c>
      <c r="G36" s="9">
        <f>August!G36+F36</f>
        <v>1365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1072</v>
      </c>
      <c r="D37" s="15"/>
      <c r="E37" s="9">
        <f>August!E37+D37</f>
        <v>7</v>
      </c>
      <c r="F37" s="17"/>
      <c r="G37" s="9">
        <f>August!G37+F37</f>
        <v>18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>
        <f>107+300+248+135+164+230+305+64+200+62+68+143+145+250+117+77+170+359+400+69+65+600+257+45+108+229+120+73+41+1</f>
        <v>5152</v>
      </c>
      <c r="C38" s="9">
        <f>August!C38+B38</f>
        <v>38834</v>
      </c>
      <c r="D38" s="15">
        <f>1</f>
        <v>1</v>
      </c>
      <c r="E38" s="9">
        <f>August!E38+D38</f>
        <v>1572</v>
      </c>
      <c r="F38" s="17"/>
      <c r="G38" s="9">
        <f>August!G38+F38</f>
        <v>0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>
        <f>240+85</f>
        <v>325</v>
      </c>
      <c r="C39" s="9">
        <f>August!C39+B39</f>
        <v>15100</v>
      </c>
      <c r="D39" s="15">
        <f>8</f>
        <v>8</v>
      </c>
      <c r="E39" s="9">
        <f>August!E39+D39</f>
        <v>46</v>
      </c>
      <c r="F39" s="17"/>
      <c r="G39" s="9">
        <f>August!G39+F39</f>
        <v>581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>
        <f>85+85+93+61+750+54+111+54+195+104+99+104+82+130+73</f>
        <v>2080</v>
      </c>
      <c r="C40" s="9">
        <f>August!C40+B40</f>
        <v>14509</v>
      </c>
      <c r="D40" s="15">
        <f>24+15+1+36+13+6+2</f>
        <v>97</v>
      </c>
      <c r="E40" s="9">
        <f>August!E40+D40</f>
        <v>1610</v>
      </c>
      <c r="F40" s="17"/>
      <c r="G40" s="9">
        <f>August!G40+F40</f>
        <v>6</v>
      </c>
      <c r="H40" s="19"/>
      <c r="I40" s="9">
        <f>August!I40+H40</f>
        <v>39</v>
      </c>
    </row>
    <row r="41" spans="1:9" s="5" customFormat="1" ht="18" customHeight="1">
      <c r="A41" s="9" t="s">
        <v>43</v>
      </c>
      <c r="B41" s="13">
        <f>56+18+65+64+59</f>
        <v>262</v>
      </c>
      <c r="C41" s="9">
        <f>August!C41+B41</f>
        <v>1250</v>
      </c>
      <c r="D41" s="15"/>
      <c r="E41" s="9">
        <f>August!E41+D41</f>
        <v>77</v>
      </c>
      <c r="F41" s="17"/>
      <c r="G41" s="9">
        <f>August!G41+F41</f>
        <v>6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989</v>
      </c>
      <c r="D42" s="15"/>
      <c r="E42" s="9">
        <f>August!E42+D42</f>
        <v>26</v>
      </c>
      <c r="F42" s="17">
        <f>1+1</f>
        <v>2</v>
      </c>
      <c r="G42" s="9">
        <f>August!G42+F42</f>
        <v>726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>
        <f>68+104+74+105+74+71+74+73+72+76+87+86+76+65+73+75+151+72+76+73+68+70+71+67+72+63+74+64+71+75</f>
        <v>2320</v>
      </c>
      <c r="C44" s="9">
        <f>August!C44+B44</f>
        <v>7439</v>
      </c>
      <c r="D44" s="15"/>
      <c r="E44" s="9">
        <f>August!E44+D44</f>
        <v>16</v>
      </c>
      <c r="F44" s="17">
        <f>30+8</f>
        <v>38</v>
      </c>
      <c r="G44" s="9">
        <f>August!G44+F44</f>
        <v>79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>
        <f>80+78+600+62+60+43+65+55+32+57+33+6+125+120+126+79+216+437+8+42+54+22+11+52+114+66+21+170+64+53+85+38+4+18+153+60+69+66+118+50+230+196+77+31+22+63+26+85+55+64+83+212+116+5+17+7+14+51+56+190+13+69+202+11+88+8+71+69+4+158+120+62+170+132+157+58+75+122+62+295+65+35+19+3+33+30+14+43+125+110+179+218+194+607+239+65+155+124+239+61+71+56+78+121+19+82+70+20+66+31+71+63+55+83+72+68+5+18+47+355+57+123+70+120+84+37+62+78+125+243+11+440+56+130+55+39+75+54+141+14+75+174+27+152+64+281+227+105+371+63+69+127+34+26+10+12+188+12+67+62+71+58+177+110+70+70+77+92+78+124+210+96+7+132+66+295+501+65+65+270+62+70+27+35+41+20+13+36+30+56+43+33+23+46+19+13+14+21+47+53+17+29+12+28+65+56+64+24+280+117+40+19+15+17+18+14+25+78+47+14+107+27+47+258+69+63+126+31+90+105+55+97+17+26+35+49+16+18+82+9+55+90+65</f>
        <v>21179</v>
      </c>
      <c r="C45" s="9">
        <f>August!C45+B45</f>
        <v>273554</v>
      </c>
      <c r="D45" s="15">
        <f>56+2+14+9+92+5+1+41</f>
        <v>220</v>
      </c>
      <c r="E45" s="9">
        <f>August!E45+D45</f>
        <v>5238</v>
      </c>
      <c r="F45" s="17">
        <f>1</f>
        <v>1</v>
      </c>
      <c r="G45" s="9">
        <f>August!G45+F45</f>
        <v>196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>
        <f>71+103+70+85+62+150+61+59+64+76+56+43+116+205+52+47+64+95+68</f>
        <v>1547</v>
      </c>
      <c r="C46" s="9">
        <f>August!C46+B46</f>
        <v>16918</v>
      </c>
      <c r="D46" s="15"/>
      <c r="E46" s="9">
        <f>August!E46+D46</f>
        <v>18</v>
      </c>
      <c r="F46" s="17"/>
      <c r="G46" s="9">
        <f>August!G46+F46</f>
        <v>18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>
        <f>284+222+209+56+74+150+165+72</f>
        <v>1232</v>
      </c>
      <c r="C47" s="9">
        <f>August!C47+B47</f>
        <v>8877</v>
      </c>
      <c r="D47" s="15">
        <f>4+4+50</f>
        <v>58</v>
      </c>
      <c r="E47" s="9">
        <f>August!E47+D47</f>
        <v>3258</v>
      </c>
      <c r="F47" s="17"/>
      <c r="G47" s="9">
        <f>August!G47+F47</f>
        <v>1036</v>
      </c>
      <c r="H47" s="19"/>
      <c r="I47" s="9">
        <f>August!I47+H47</f>
        <v>0</v>
      </c>
    </row>
    <row r="48" spans="1:9" s="5" customFormat="1" ht="18" customHeight="1">
      <c r="A48" s="9" t="s">
        <v>50</v>
      </c>
      <c r="B48" s="13"/>
      <c r="C48" s="9">
        <f>August!C48+B48</f>
        <v>315</v>
      </c>
      <c r="D48" s="15">
        <f>115+70</f>
        <v>185</v>
      </c>
      <c r="E48" s="9">
        <f>August!E48+D48</f>
        <v>275</v>
      </c>
      <c r="F48" s="17"/>
      <c r="G48" s="9">
        <f>August!G48+F48</f>
        <v>2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2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>
        <f>70+57+60+60+62+800+160+160+52+72+65+114+700+275+110+130+165+260+600+240+60+107+70+74+115+116+102+67+92+62+250+58+51+120+58+50+63+8</f>
        <v>5735</v>
      </c>
      <c r="C50" s="9">
        <f>August!C50+B50</f>
        <v>24043</v>
      </c>
      <c r="D50" s="15"/>
      <c r="E50" s="9">
        <f>August!E50+D50</f>
        <v>4</v>
      </c>
      <c r="F50" s="17"/>
      <c r="G50" s="9">
        <f>August!G50+F50</f>
        <v>1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1</v>
      </c>
      <c r="D51" s="15"/>
      <c r="E51" s="9">
        <f>August!E51+D51</f>
        <v>117</v>
      </c>
      <c r="F51" s="17">
        <f>100</f>
        <v>100</v>
      </c>
      <c r="G51" s="9">
        <f>August!G51+F51</f>
        <v>100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>
        <f>80+14+33+80+80+50+46+8+2+54+53+58+100+88+100</f>
        <v>846</v>
      </c>
      <c r="C52" s="9">
        <f>August!C52+B52</f>
        <v>4126</v>
      </c>
      <c r="D52" s="15"/>
      <c r="E52" s="9">
        <f>August!E52+D52</f>
        <v>117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>
        <f>21+231+30+50+265+117+167+288+14+81+131+15+5+64+8+10+21+19+207+130+24+24+11+50+100+160+160+271+18+72+12+14+112+20+30+16+11+73+79+50+29+30+50+72+132+400</f>
        <v>3894</v>
      </c>
      <c r="C53" s="9">
        <f>August!C53+B53</f>
        <v>37211</v>
      </c>
      <c r="D53" s="15">
        <f>5+30+2+3+4+16+33+107+6+7+23+1</f>
        <v>237</v>
      </c>
      <c r="E53" s="9">
        <f>August!E53+D53</f>
        <v>1922</v>
      </c>
      <c r="F53" s="17">
        <f>48+20+27+86+13+12+48+3+22+34+1+39+33+39+38+8+10+160</f>
        <v>641</v>
      </c>
      <c r="G53" s="9">
        <f>August!G53+F53</f>
        <v>7488</v>
      </c>
      <c r="H53" s="19"/>
      <c r="I53" s="9">
        <f>August!I53+H53</f>
        <v>37</v>
      </c>
    </row>
    <row r="54" spans="1:9" s="5" customFormat="1" ht="18" customHeight="1" thickBot="1">
      <c r="A54" s="10" t="s">
        <v>56</v>
      </c>
      <c r="B54" s="13">
        <f>191+30+230+170+114+206+317+117+5+200+200+815+145+193+120+370+170+103+117+214+65+100+133+111+18+68+324+261+366+106+840+114+120+250+1+74</f>
        <v>6978</v>
      </c>
      <c r="C54" s="9">
        <f>August!C54+B54</f>
        <v>16775</v>
      </c>
      <c r="D54" s="16">
        <f>41+68+13+47</f>
        <v>169</v>
      </c>
      <c r="E54" s="9">
        <f>August!E54+D54</f>
        <v>2194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106448</v>
      </c>
      <c r="C55" s="11"/>
      <c r="D55" s="11">
        <f>SUM(D5:D54)</f>
        <v>2859</v>
      </c>
      <c r="E55" s="11"/>
      <c r="F55" s="11">
        <f>SUM(F5:F54)</f>
        <v>2023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851855</v>
      </c>
      <c r="D57" s="11"/>
      <c r="E57" s="11">
        <f>August!E57+D55</f>
        <v>48797</v>
      </c>
      <c r="F57" s="11"/>
      <c r="G57" s="11">
        <f>August!G57+F55</f>
        <v>29077</v>
      </c>
      <c r="H57" s="11"/>
      <c r="I57" s="11">
        <f>August!I57+H55</f>
        <v>477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90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25475</v>
      </c>
      <c r="G62" s="4">
        <f>August!G62+F60</f>
        <v>40010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2011-01-10T22:07:14Z</cp:lastPrinted>
  <dcterms:created xsi:type="dcterms:W3CDTF">2010-10-14T14:44:24Z</dcterms:created>
  <dcterms:modified xsi:type="dcterms:W3CDTF">2013-02-22T17:50:36Z</dcterms:modified>
  <cp:category/>
  <cp:version/>
  <cp:contentType/>
  <cp:contentStatus/>
</cp:coreProperties>
</file>