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tabRatio="784" firstSheet="3" activeTab="6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'January'!$A$1:$K$62</definedName>
  </definedNames>
  <calcPr fullCalcOnLoad="1"/>
</workbook>
</file>

<file path=xl/sharedStrings.xml><?xml version="1.0" encoding="utf-8"?>
<sst xmlns="http://schemas.openxmlformats.org/spreadsheetml/2006/main" count="852" uniqueCount="76">
  <si>
    <t>Karla Crawford</t>
  </si>
  <si>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</si>
  <si>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</si>
  <si>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</si>
  <si>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</si>
  <si>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</si>
  <si>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</si>
  <si>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</si>
  <si>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</si>
  <si>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</si>
  <si>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</si>
  <si>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</si>
  <si>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</si>
  <si>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</si>
  <si>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</si>
  <si>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</si>
  <si>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</si>
  <si>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</si>
  <si>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</si>
  <si>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</si>
  <si>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</si>
  <si>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</si>
  <si>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</si>
  <si>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</si>
  <si>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</si>
  <si>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</si>
  <si>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</si>
  <si>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</si>
  <si>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</si>
  <si>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</si>
  <si>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</si>
  <si>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</si>
  <si>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</si>
  <si>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</si>
  <si>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</si>
  <si>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</si>
  <si>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</si>
  <si>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</si>
  <si>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</si>
  <si>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</si>
  <si>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</si>
  <si>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</si>
  <si>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</si>
  <si>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</si>
  <si>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</si>
  <si>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</si>
  <si>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</si>
  <si>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</si>
  <si>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</si>
  <si>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</si>
  <si>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</si>
  <si>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</si>
  <si>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</si>
  <si>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</si>
  <si>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</si>
  <si>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</si>
  <si>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</si>
  <si>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</si>
  <si>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</si>
  <si>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</si>
  <si>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</si>
  <si>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</si>
  <si>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2011 Cattle Imported Into Iowa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</si>
  <si>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</si>
  <si>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</si>
  <si>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</si>
  <si>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</si>
  <si>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</si>
  <si>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</si>
  <si>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</si>
  <si>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</si>
  <si>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</si>
  <si>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</si>
  <si>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</si>
  <si>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</si>
  <si>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KARLA CRAWFORD AND LISA POTTER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</si>
</sst>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34">
      <selection activeCell="F53" sqref="F53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63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</row>
    <row r="6" spans="1:9" s="5" customFormat="1" ht="18" customHeight="1">
      <c r="A6" s="9" t="s">
        <v>9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</row>
    <row r="7" spans="1:9" s="5" customFormat="1" ht="18" customHeight="1">
      <c r="A7" s="9" t="s">
        <v>10</v>
      </c>
      <c r="B7" s="13">
        <v>198</v>
      </c>
      <c r="C7" s="9">
        <f t="shared" si="0"/>
        <v>198</v>
      </c>
      <c r="D7" s="15"/>
      <c r="E7" s="9">
        <f t="shared" si="1"/>
        <v>0</v>
      </c>
      <c r="F7" s="17">
        <v>156</v>
      </c>
      <c r="G7" s="9">
        <f t="shared" si="2"/>
        <v>156</v>
      </c>
      <c r="H7" s="19"/>
      <c r="I7" s="9">
        <f t="shared" si="3"/>
        <v>0</v>
      </c>
    </row>
    <row r="8" spans="1:9" s="5" customFormat="1" ht="18" customHeight="1">
      <c r="A8" s="9" t="s">
        <v>11</v>
      </c>
      <c r="B8" s="13">
        <f>55+24+125+737+813+75+79</f>
        <v>1908</v>
      </c>
      <c r="C8" s="9">
        <f t="shared" si="0"/>
        <v>1908</v>
      </c>
      <c r="D8" s="15">
        <f>2</f>
        <v>2</v>
      </c>
      <c r="E8" s="9">
        <f t="shared" si="1"/>
        <v>2</v>
      </c>
      <c r="F8" s="17"/>
      <c r="G8" s="9">
        <f t="shared" si="2"/>
        <v>0</v>
      </c>
      <c r="H8" s="19"/>
      <c r="I8" s="9">
        <f t="shared" si="3"/>
        <v>0</v>
      </c>
    </row>
    <row r="9" spans="1:9" s="5" customFormat="1" ht="18" customHeight="1">
      <c r="A9" s="9" t="s">
        <v>12</v>
      </c>
      <c r="B9" s="13"/>
      <c r="C9" s="9">
        <f t="shared" si="0"/>
        <v>0</v>
      </c>
      <c r="D9" s="15">
        <v>1</v>
      </c>
      <c r="E9" s="9">
        <f t="shared" si="1"/>
        <v>1</v>
      </c>
      <c r="F9" s="17">
        <f>1+98</f>
        <v>99</v>
      </c>
      <c r="G9" s="9">
        <f t="shared" si="2"/>
        <v>99</v>
      </c>
      <c r="H9" s="19"/>
      <c r="I9" s="9">
        <f t="shared" si="3"/>
        <v>0</v>
      </c>
    </row>
    <row r="10" spans="1:9" s="5" customFormat="1" ht="18" customHeight="1">
      <c r="A10" s="9" t="s">
        <v>13</v>
      </c>
      <c r="B10" s="13"/>
      <c r="C10" s="9">
        <f t="shared" si="0"/>
        <v>0</v>
      </c>
      <c r="D10" s="15"/>
      <c r="E10" s="9">
        <f t="shared" si="1"/>
        <v>0</v>
      </c>
      <c r="F10" s="17"/>
      <c r="G10" s="9">
        <f t="shared" si="2"/>
        <v>0</v>
      </c>
      <c r="H10" s="19"/>
      <c r="I10" s="9">
        <f t="shared" si="3"/>
        <v>0</v>
      </c>
    </row>
    <row r="11" spans="1:9" s="5" customFormat="1" ht="18" customHeight="1">
      <c r="A11" s="9" t="s">
        <v>14</v>
      </c>
      <c r="B11" s="13">
        <f>85+100+180+90+5+307</f>
        <v>767</v>
      </c>
      <c r="C11" s="9">
        <f t="shared" si="0"/>
        <v>767</v>
      </c>
      <c r="D11" s="15">
        <f>35+38+62+118+119+169+1+1</f>
        <v>543</v>
      </c>
      <c r="E11" s="9">
        <f t="shared" si="1"/>
        <v>543</v>
      </c>
      <c r="F11" s="17">
        <f>100+13+16+16+16+16</f>
        <v>177</v>
      </c>
      <c r="G11" s="9">
        <f t="shared" si="2"/>
        <v>177</v>
      </c>
      <c r="H11" s="19"/>
      <c r="I11" s="9">
        <f t="shared" si="3"/>
        <v>0</v>
      </c>
    </row>
    <row r="12" spans="1:9" s="5" customFormat="1" ht="18" customHeight="1">
      <c r="A12" s="9" t="s">
        <v>15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</row>
    <row r="13" spans="1:9" s="5" customFormat="1" ht="18" customHeight="1">
      <c r="A13" s="9" t="s">
        <v>16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</row>
    <row r="14" spans="1:9" s="5" customFormat="1" ht="18" customHeight="1">
      <c r="A14" s="9" t="s">
        <v>17</v>
      </c>
      <c r="B14" s="13"/>
      <c r="C14" s="9">
        <f t="shared" si="0"/>
        <v>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</row>
    <row r="15" spans="1:9" s="5" customFormat="1" ht="18" customHeight="1">
      <c r="A15" s="9" t="s">
        <v>18</v>
      </c>
      <c r="B15" s="13">
        <f>76+80+120+4+16+5+9+12</f>
        <v>322</v>
      </c>
      <c r="C15" s="9">
        <f t="shared" si="0"/>
        <v>322</v>
      </c>
      <c r="D15" s="15">
        <f>15+33+15+33+3</f>
        <v>99</v>
      </c>
      <c r="E15" s="9">
        <f t="shared" si="1"/>
        <v>99</v>
      </c>
      <c r="F15" s="17"/>
      <c r="G15" s="9">
        <f t="shared" si="2"/>
        <v>0</v>
      </c>
      <c r="H15" s="19"/>
      <c r="I15" s="9">
        <f t="shared" si="3"/>
        <v>0</v>
      </c>
    </row>
    <row r="16" spans="1:9" s="5" customFormat="1" ht="18" customHeight="1">
      <c r="A16" s="9" t="s">
        <v>19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</row>
    <row r="17" spans="1:9" s="5" customFormat="1" ht="18" customHeight="1">
      <c r="A17" s="9" t="s">
        <v>20</v>
      </c>
      <c r="B17" s="13">
        <f>89+88+6+5+80+82+82+79+79+79+79+78+78+72+72+72</f>
        <v>1120</v>
      </c>
      <c r="C17" s="9">
        <f t="shared" si="0"/>
        <v>1120</v>
      </c>
      <c r="D17" s="15">
        <f>47+43+15</f>
        <v>105</v>
      </c>
      <c r="E17" s="9">
        <f t="shared" si="1"/>
        <v>105</v>
      </c>
      <c r="F17" s="17"/>
      <c r="G17" s="9">
        <f t="shared" si="2"/>
        <v>0</v>
      </c>
      <c r="H17" s="19"/>
      <c r="I17" s="9">
        <f t="shared" si="3"/>
        <v>0</v>
      </c>
    </row>
    <row r="18" spans="1:9" s="5" customFormat="1" ht="18" customHeight="1">
      <c r="A18" s="9" t="s">
        <v>21</v>
      </c>
      <c r="B18" s="13">
        <f>140+83+85+7+61+4+1+10+27+51+26+69+87+55+45+3+20+16+60+136</f>
        <v>986</v>
      </c>
      <c r="C18" s="9">
        <f t="shared" si="0"/>
        <v>986</v>
      </c>
      <c r="D18" s="15">
        <f>45+2+3+2+10+5+20+6+4+3</f>
        <v>100</v>
      </c>
      <c r="E18" s="9">
        <f t="shared" si="1"/>
        <v>100</v>
      </c>
      <c r="F18" s="17">
        <f>2+1+1</f>
        <v>4</v>
      </c>
      <c r="G18" s="9">
        <f t="shared" si="2"/>
        <v>4</v>
      </c>
      <c r="H18" s="19"/>
      <c r="I18" s="9">
        <f t="shared" si="3"/>
        <v>0</v>
      </c>
    </row>
    <row r="19" spans="1:9" s="5" customFormat="1" ht="18" customHeight="1">
      <c r="A19" s="9" t="s">
        <v>22</v>
      </c>
      <c r="B19" s="13">
        <f>300+12+50+240</f>
        <v>602</v>
      </c>
      <c r="C19" s="9">
        <f t="shared" si="0"/>
        <v>602</v>
      </c>
      <c r="D19" s="15">
        <f>11+15+1</f>
        <v>27</v>
      </c>
      <c r="E19" s="9">
        <f t="shared" si="1"/>
        <v>27</v>
      </c>
      <c r="F19" s="17">
        <f>24+1+100+104+150+6+150+300+150+99+98+100</f>
        <v>1282</v>
      </c>
      <c r="G19" s="9">
        <f t="shared" si="2"/>
        <v>1282</v>
      </c>
      <c r="H19" s="19"/>
      <c r="I19" s="9">
        <f t="shared" si="3"/>
        <v>0</v>
      </c>
    </row>
    <row r="20" spans="1:9" s="5" customFormat="1" ht="18" customHeight="1">
      <c r="A20" s="9" t="s">
        <v>23</v>
      </c>
      <c r="B20" s="13">
        <f>68+72+70+68+71+59+60+72+140+257+20+67+62</f>
        <v>1086</v>
      </c>
      <c r="C20" s="9">
        <f t="shared" si="0"/>
        <v>1086</v>
      </c>
      <c r="D20" s="15">
        <f>1+1</f>
        <v>2</v>
      </c>
      <c r="E20" s="9">
        <f t="shared" si="1"/>
        <v>2</v>
      </c>
      <c r="F20" s="17"/>
      <c r="G20" s="9">
        <f t="shared" si="2"/>
        <v>0</v>
      </c>
      <c r="H20" s="19"/>
      <c r="I20" s="9">
        <f t="shared" si="3"/>
        <v>0</v>
      </c>
    </row>
    <row r="21" spans="1:9" s="5" customFormat="1" ht="18" customHeight="1">
      <c r="A21" s="9" t="s">
        <v>24</v>
      </c>
      <c r="B21" s="13">
        <f>5329+99+4</f>
        <v>5432</v>
      </c>
      <c r="C21" s="9">
        <f t="shared" si="0"/>
        <v>5432</v>
      </c>
      <c r="D21" s="15"/>
      <c r="E21" s="9">
        <f t="shared" si="1"/>
        <v>0</v>
      </c>
      <c r="F21" s="17"/>
      <c r="G21" s="9">
        <f t="shared" si="2"/>
        <v>0</v>
      </c>
      <c r="H21" s="19"/>
      <c r="I21" s="9">
        <f t="shared" si="3"/>
        <v>0</v>
      </c>
    </row>
    <row r="22" spans="1:9" s="5" customFormat="1" ht="18" customHeight="1">
      <c r="A22" s="9" t="s">
        <v>25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</row>
    <row r="23" spans="1:9" s="5" customFormat="1" ht="18" customHeight="1">
      <c r="A23" s="9" t="s">
        <v>26</v>
      </c>
      <c r="B23" s="13"/>
      <c r="C23" s="9">
        <f t="shared" si="0"/>
        <v>0</v>
      </c>
      <c r="D23" s="15"/>
      <c r="E23" s="9">
        <f t="shared" si="1"/>
        <v>0</v>
      </c>
      <c r="F23" s="17"/>
      <c r="G23" s="9">
        <f t="shared" si="2"/>
        <v>0</v>
      </c>
      <c r="H23" s="19"/>
      <c r="I23" s="9">
        <f t="shared" si="3"/>
        <v>0</v>
      </c>
    </row>
    <row r="24" spans="1:9" s="5" customFormat="1" ht="18" customHeight="1">
      <c r="A24" s="9" t="s">
        <v>27</v>
      </c>
      <c r="B24" s="13"/>
      <c r="C24" s="9">
        <f t="shared" si="0"/>
        <v>0</v>
      </c>
      <c r="D24" s="15"/>
      <c r="E24" s="9">
        <f t="shared" si="1"/>
        <v>0</v>
      </c>
      <c r="F24" s="17">
        <v>2</v>
      </c>
      <c r="G24" s="9">
        <f t="shared" si="2"/>
        <v>2</v>
      </c>
      <c r="H24" s="19"/>
      <c r="I24" s="9">
        <f t="shared" si="3"/>
        <v>0</v>
      </c>
    </row>
    <row r="25" spans="1:9" s="5" customFormat="1" ht="18" customHeight="1">
      <c r="A25" s="9" t="s">
        <v>28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</row>
    <row r="26" spans="1:9" s="5" customFormat="1" ht="18" customHeight="1">
      <c r="A26" s="9" t="s">
        <v>29</v>
      </c>
      <c r="B26" s="13">
        <v>77</v>
      </c>
      <c r="C26" s="9">
        <f t="shared" si="0"/>
        <v>77</v>
      </c>
      <c r="D26" s="15"/>
      <c r="E26" s="9">
        <f t="shared" si="1"/>
        <v>0</v>
      </c>
      <c r="F26" s="17"/>
      <c r="G26" s="9">
        <f t="shared" si="2"/>
        <v>0</v>
      </c>
      <c r="H26" s="19"/>
      <c r="I26" s="9">
        <f t="shared" si="3"/>
        <v>0</v>
      </c>
    </row>
    <row r="27" spans="1:9" s="5" customFormat="1" ht="18" customHeight="1">
      <c r="A27" s="9" t="s">
        <v>30</v>
      </c>
      <c r="B27" s="13">
        <f>66+22+36+69+64+1+21+85+69+81+37+12+334+71+53+18+141+70+14+26+20+89+614+70+70+70+70+70+37+17+493+38+31+74+11+14+2+2+3+24+179+108+60+8+2+12+5+25+23+22+5+58+36+20+94+15+46+3+13+61+98+1+72+22+75+149+45+2+14+40+15+29+44+16+42+8+11+7+11+39+114+137+61+2+16+1+2+11+11+24+11+18+2+12+3+2</f>
        <v>5071</v>
      </c>
      <c r="C27" s="9">
        <f t="shared" si="0"/>
        <v>5071</v>
      </c>
      <c r="D27" s="15">
        <f>1+34+1+4+10+12+10+6+5+1+1+2+2+3+15+4+6+2+1+32+1+1+10+8+13+8+6+6+3+7+6+15+7+2+4+5+1+2+1+3+1+1+6+8+1+3+3+7</f>
        <v>291</v>
      </c>
      <c r="E27" s="9">
        <f t="shared" si="1"/>
        <v>291</v>
      </c>
      <c r="F27" s="17">
        <f>147+102+2+12+82+27+43+4+61+1+27+50+31+45+47+1+46+43+1+16+9+6+3+43+24+1+1+9+41+25+41+2+3+5+51+79+7+63+38+242+1</f>
        <v>1482</v>
      </c>
      <c r="G27" s="9">
        <f t="shared" si="2"/>
        <v>1482</v>
      </c>
      <c r="H27" s="19"/>
      <c r="I27" s="9">
        <f t="shared" si="3"/>
        <v>0</v>
      </c>
    </row>
    <row r="28" spans="1:9" s="5" customFormat="1" ht="18" customHeight="1">
      <c r="A28" s="9" t="s">
        <v>31</v>
      </c>
      <c r="B28" s="13"/>
      <c r="C28" s="9">
        <f t="shared" si="0"/>
        <v>0</v>
      </c>
      <c r="D28" s="15">
        <v>1</v>
      </c>
      <c r="E28" s="9">
        <f t="shared" si="1"/>
        <v>1</v>
      </c>
      <c r="F28" s="17"/>
      <c r="G28" s="9">
        <f t="shared" si="2"/>
        <v>0</v>
      </c>
      <c r="H28" s="19"/>
      <c r="I28" s="9">
        <f t="shared" si="3"/>
        <v>0</v>
      </c>
    </row>
    <row r="29" spans="1:9" s="5" customFormat="1" ht="18" customHeight="1">
      <c r="A29" s="9" t="s">
        <v>32</v>
      </c>
      <c r="B29" s="13">
        <f>130+63+205+80+31+62+79+79+55+83+67+78+70+79+20+17+77+62+31+149+70+15+85+73+32+87+63+72+78+53+57+84+85+60+60+1+50+61+16+92+19+140+180+68+230+70+95+89+90+34+38+59+280+152+25+32+84+68+65+31+46+46+63+20+32+10+72+130+66+135+124+64+60+27+44+57+58+70+82+86+36+57+149+94+66+38+90+193+353+70+65+66+3+71+78+80+140+240+85+39+91+71+34+80+1+81+61+20+27+19+81+16+11</f>
        <v>8458</v>
      </c>
      <c r="C29" s="9">
        <f t="shared" si="0"/>
        <v>8458</v>
      </c>
      <c r="D29" s="15">
        <f>647+1+9+19+11+3+31</f>
        <v>721</v>
      </c>
      <c r="E29" s="9">
        <f t="shared" si="1"/>
        <v>721</v>
      </c>
      <c r="F29" s="17"/>
      <c r="G29" s="9">
        <f t="shared" si="2"/>
        <v>0</v>
      </c>
      <c r="H29" s="19"/>
      <c r="I29" s="9">
        <f t="shared" si="3"/>
        <v>0</v>
      </c>
    </row>
    <row r="30" spans="1:9" s="5" customFormat="1" ht="18" customHeight="1">
      <c r="A30" s="9" t="s">
        <v>33</v>
      </c>
      <c r="B30" s="13">
        <f>100+72+103+65+115+240+110+93+180+150+144+132+40+107+112+91+83+203+30+5+6+10+135+108+10+60+83+15+1+87+200+500+41+62+58+200+88+100+130+49+13+4+7+25+9+89+80+13+17</f>
        <v>4375</v>
      </c>
      <c r="C30" s="9">
        <f t="shared" si="0"/>
        <v>4375</v>
      </c>
      <c r="D30" s="15">
        <f>77+2+112+1+2+276</f>
        <v>470</v>
      </c>
      <c r="E30" s="9">
        <f t="shared" si="1"/>
        <v>470</v>
      </c>
      <c r="F30" s="17"/>
      <c r="G30" s="9">
        <f t="shared" si="2"/>
        <v>0</v>
      </c>
      <c r="H30" s="19"/>
      <c r="I30" s="9">
        <f t="shared" si="3"/>
        <v>0</v>
      </c>
    </row>
    <row r="31" spans="1:9" s="5" customFormat="1" ht="18" customHeight="1">
      <c r="A31" s="9" t="s">
        <v>34</v>
      </c>
      <c r="B31" s="13">
        <f>96+71+47+11+7+68+20+70+211+23+263+100+92+147+68+160+75+37+6+4+92+81+24+97+174+200+196+35+50+306+62+150+393+3+14+221+408+31+53+45+75+76</f>
        <v>4362</v>
      </c>
      <c r="C31" s="9">
        <f t="shared" si="0"/>
        <v>4362</v>
      </c>
      <c r="D31" s="15">
        <f>44+33+97+6+44+2+12+49+40+86+22+6+38+10+1+2+12+1+2+11+7+19+24+54+4+1+1+1+33</f>
        <v>662</v>
      </c>
      <c r="E31" s="9">
        <f t="shared" si="1"/>
        <v>662</v>
      </c>
      <c r="F31" s="17">
        <f>40+40+42+3+70</f>
        <v>195</v>
      </c>
      <c r="G31" s="9">
        <f t="shared" si="2"/>
        <v>195</v>
      </c>
      <c r="H31" s="19"/>
      <c r="I31" s="9">
        <f t="shared" si="3"/>
        <v>0</v>
      </c>
    </row>
    <row r="32" spans="1:9" s="5" customFormat="1" ht="18" customHeight="1">
      <c r="A32" s="9" t="s">
        <v>35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</row>
    <row r="33" spans="1:9" s="5" customFormat="1" ht="18" customHeight="1">
      <c r="A33" s="9" t="s">
        <v>36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</row>
    <row r="34" spans="1:9" s="5" customFormat="1" ht="18" customHeight="1">
      <c r="A34" s="9" t="s">
        <v>37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</row>
    <row r="35" spans="1:9" s="5" customFormat="1" ht="18" customHeight="1">
      <c r="A35" s="9" t="s">
        <v>38</v>
      </c>
      <c r="B35" s="13">
        <f>57+180</f>
        <v>237</v>
      </c>
      <c r="C35" s="9">
        <f t="shared" si="0"/>
        <v>237</v>
      </c>
      <c r="D35" s="15"/>
      <c r="E35" s="9">
        <f t="shared" si="1"/>
        <v>0</v>
      </c>
      <c r="F35" s="17">
        <f>4</f>
        <v>4</v>
      </c>
      <c r="G35" s="9">
        <f t="shared" si="2"/>
        <v>4</v>
      </c>
      <c r="H35" s="19"/>
      <c r="I35" s="9">
        <f t="shared" si="3"/>
        <v>0</v>
      </c>
    </row>
    <row r="36" spans="1:9" s="5" customFormat="1" ht="18" customHeight="1">
      <c r="A36" s="9" t="s">
        <v>39</v>
      </c>
      <c r="B36" s="13"/>
      <c r="C36" s="9">
        <f t="shared" si="0"/>
        <v>0</v>
      </c>
      <c r="D36" s="15"/>
      <c r="E36" s="9">
        <f t="shared" si="1"/>
        <v>0</v>
      </c>
      <c r="F36" s="17">
        <v>38</v>
      </c>
      <c r="G36" s="9">
        <f t="shared" si="2"/>
        <v>38</v>
      </c>
      <c r="H36" s="19"/>
      <c r="I36" s="9">
        <f t="shared" si="3"/>
        <v>0</v>
      </c>
    </row>
    <row r="37" spans="1:9" s="5" customFormat="1" ht="18" customHeight="1">
      <c r="A37" s="9" t="s">
        <v>40</v>
      </c>
      <c r="B37" s="13">
        <v>90</v>
      </c>
      <c r="C37" s="9">
        <f aca="true" t="shared" si="4" ref="C37:C54">B37</f>
        <v>90</v>
      </c>
      <c r="D37" s="15">
        <v>1</v>
      </c>
      <c r="E37" s="9">
        <f aca="true" t="shared" si="5" ref="E37:E54">D37</f>
        <v>1</v>
      </c>
      <c r="F37" s="17"/>
      <c r="G37" s="9">
        <f aca="true" t="shared" si="6" ref="G37:G54">F37</f>
        <v>0</v>
      </c>
      <c r="H37" s="19"/>
      <c r="I37" s="9">
        <f aca="true" t="shared" si="7" ref="I37:I54">H37</f>
        <v>0</v>
      </c>
    </row>
    <row r="38" spans="1:9" s="5" customFormat="1" ht="18" customHeight="1">
      <c r="A38" s="9" t="s">
        <v>41</v>
      </c>
      <c r="B38" s="13">
        <f>70+120+150+198+172+85+40+378+157+260+85+85+671+82+101+94+64+59+113+160+120+39+78+218+110+134+315+89+87+77+68+188+96+82+99+82+181+71+281+89+85+87+234+185+82+78+89+118+156+87+179+287+77+160+267+145+110+120+200+100+115+121+15+15+110+75+75+191+77+83+12+80+90+55+84+148+93+34+44+82+185+96+82+91+70+252+248+169+72+80+50+70+82+58+80+115+82+81+102+77</f>
        <v>12235</v>
      </c>
      <c r="C38" s="9">
        <f t="shared" si="4"/>
        <v>12235</v>
      </c>
      <c r="D38" s="15">
        <f>29+12+9+127+45</f>
        <v>222</v>
      </c>
      <c r="E38" s="9">
        <f t="shared" si="5"/>
        <v>222</v>
      </c>
      <c r="F38" s="17">
        <v>79</v>
      </c>
      <c r="G38" s="9">
        <f t="shared" si="6"/>
        <v>79</v>
      </c>
      <c r="H38" s="19"/>
      <c r="I38" s="9">
        <f t="shared" si="7"/>
        <v>0</v>
      </c>
    </row>
    <row r="39" spans="1:9" s="5" customFormat="1" ht="18" customHeight="1">
      <c r="A39" s="9" t="s">
        <v>42</v>
      </c>
      <c r="B39" s="13">
        <f>110+110+110+12+12+4+90+90+4+12+12+115+115+90</f>
        <v>886</v>
      </c>
      <c r="C39" s="9">
        <f t="shared" si="4"/>
        <v>886</v>
      </c>
      <c r="D39" s="15">
        <v>10</v>
      </c>
      <c r="E39" s="9">
        <f t="shared" si="5"/>
        <v>10</v>
      </c>
      <c r="F39" s="17">
        <f>9+6+6+2+12+11</f>
        <v>46</v>
      </c>
      <c r="G39" s="9">
        <f t="shared" si="6"/>
        <v>46</v>
      </c>
      <c r="H39" s="19"/>
      <c r="I39" s="9">
        <f t="shared" si="7"/>
        <v>0</v>
      </c>
    </row>
    <row r="40" spans="1:9" s="5" customFormat="1" ht="18" customHeight="1">
      <c r="A40" s="9" t="s">
        <v>43</v>
      </c>
      <c r="B40" s="13">
        <v>113</v>
      </c>
      <c r="C40" s="9">
        <f t="shared" si="4"/>
        <v>113</v>
      </c>
      <c r="D40" s="15">
        <f>1+1+4</f>
        <v>6</v>
      </c>
      <c r="E40" s="9">
        <f t="shared" si="5"/>
        <v>6</v>
      </c>
      <c r="F40" s="17"/>
      <c r="G40" s="9">
        <f t="shared" si="6"/>
        <v>0</v>
      </c>
      <c r="H40" s="19"/>
      <c r="I40" s="9">
        <f t="shared" si="7"/>
        <v>0</v>
      </c>
    </row>
    <row r="41" spans="1:9" s="5" customFormat="1" ht="18" customHeight="1">
      <c r="A41" s="9" t="s">
        <v>44</v>
      </c>
      <c r="B41" s="13"/>
      <c r="C41" s="9">
        <f t="shared" si="4"/>
        <v>0</v>
      </c>
      <c r="D41" s="15">
        <f>36+1+48</f>
        <v>85</v>
      </c>
      <c r="E41" s="9">
        <f t="shared" si="5"/>
        <v>85</v>
      </c>
      <c r="F41" s="17"/>
      <c r="G41" s="9">
        <f t="shared" si="6"/>
        <v>0</v>
      </c>
      <c r="H41" s="19"/>
      <c r="I41" s="9">
        <f t="shared" si="7"/>
        <v>0</v>
      </c>
    </row>
    <row r="42" spans="1:9" s="5" customFormat="1" ht="18" customHeight="1">
      <c r="A42" s="9" t="s">
        <v>45</v>
      </c>
      <c r="B42" s="13">
        <f>100+70+70</f>
        <v>240</v>
      </c>
      <c r="C42" s="9">
        <f t="shared" si="4"/>
        <v>240</v>
      </c>
      <c r="D42" s="15">
        <f>1+10+2+95</f>
        <v>108</v>
      </c>
      <c r="E42" s="9">
        <f t="shared" si="5"/>
        <v>108</v>
      </c>
      <c r="F42" s="17">
        <v>1</v>
      </c>
      <c r="G42" s="9">
        <f t="shared" si="6"/>
        <v>1</v>
      </c>
      <c r="H42" s="19"/>
      <c r="I42" s="9">
        <f t="shared" si="7"/>
        <v>0</v>
      </c>
    </row>
    <row r="43" spans="1:9" s="5" customFormat="1" ht="18" customHeight="1">
      <c r="A43" s="9" t="s">
        <v>46</v>
      </c>
      <c r="B43" s="13"/>
      <c r="C43" s="9">
        <f t="shared" si="4"/>
        <v>0</v>
      </c>
      <c r="D43" s="15"/>
      <c r="E43" s="9">
        <f t="shared" si="5"/>
        <v>0</v>
      </c>
      <c r="F43" s="17"/>
      <c r="G43" s="9">
        <f t="shared" si="6"/>
        <v>0</v>
      </c>
      <c r="H43" s="19"/>
      <c r="I43" s="9">
        <f t="shared" si="7"/>
        <v>0</v>
      </c>
    </row>
    <row r="44" spans="1:9" s="5" customFormat="1" ht="18" customHeight="1">
      <c r="A44" s="9" t="s">
        <v>47</v>
      </c>
      <c r="B44" s="13">
        <f>99+90</f>
        <v>189</v>
      </c>
      <c r="C44" s="9">
        <f t="shared" si="4"/>
        <v>189</v>
      </c>
      <c r="D44" s="15"/>
      <c r="E44" s="9">
        <f t="shared" si="5"/>
        <v>0</v>
      </c>
      <c r="F44" s="17"/>
      <c r="G44" s="9">
        <f t="shared" si="6"/>
        <v>0</v>
      </c>
      <c r="H44" s="19"/>
      <c r="I44" s="9">
        <f t="shared" si="7"/>
        <v>0</v>
      </c>
    </row>
    <row r="45" spans="1:9" s="5" customFormat="1" ht="18" customHeight="1">
      <c r="A45" s="9" t="s">
        <v>48</v>
      </c>
      <c r="B45" s="13">
        <f>41+6+8+19+16+110+72+21+21+29+29+12+17+29+80+75+25+161+84+78+76+67+52+100+70+30+190+200+155+9+39+58+69+68+41+82+15+101+141+108+106+44+82+27+116+94+114+63+105+40+50+60+81+94+43+34+88+59+48+180+88+41+80+111+92+10+19+14+44+18+19+19+3+14+13+68+59+59+83+52+17+23+24+83+9+4+8+90+100+563+226+124+236+59+154+82+13+109+60+31+50+48+5+70+18+16+12+2+2+23+26+1+15+86+162+82+139+107+7+81+174+71+10+93+86+33+63+12+5+197+6+5+6+34+81+8+1+7+21+2+79+24+10+8+61+102+32+43+7+65+74+97+22+86+19+84+9+8+4+14+9+27+7+117+4+106+74+22+17+44+4+90+30+100+157+34+104+464+42+64+59+14+30+95+30+29+64+4+8+1+1+95+30+29+64+4+90+80+52+18+27+137+39+87+159+95+14+71+85+121+197+108+46+100+302+163+46+147+399+16+32+79+70+77+86+100+91+63+74+89+48+84+74+426+170+133+36+114+58+41+90+90+282+82+80+113+75+234+46+99+90+96+320+130+86+101+78+88+142+253+60+253+125+67+333+493+5+2+96+93+86+82+93+76+74+90+77+80+60+83+1+250+340+183+14+36+67+42+2+38+3+15+92+42+6+18+146+58+11+1+8+15+41+25+68+78+20+89+13+15+658+30+20+1+11+1+1+80+9+7+16+30+67+16+62+171+123+17+9+95+91+35+78+174+89+83+81+196+391+270+340+88+28+76+20+91+67+108+174+71+87+116+26+175+150+96+157+80+71+142+155+258+112+18+54+85+77</f>
        <v>28859</v>
      </c>
      <c r="C45" s="9">
        <f t="shared" si="4"/>
        <v>28859</v>
      </c>
      <c r="D45" s="15">
        <f>1+15+8+17+8+17+8+7+2+54+2+35+2+1+1+5+4+45+4515+6+20+2+2+2+2+41+10+6+9+15+26</f>
        <v>4888</v>
      </c>
      <c r="E45" s="9">
        <f t="shared" si="5"/>
        <v>4888</v>
      </c>
      <c r="F45" s="17">
        <v>11</v>
      </c>
      <c r="G45" s="9">
        <f t="shared" si="6"/>
        <v>11</v>
      </c>
      <c r="H45" s="19"/>
      <c r="I45" s="9">
        <f t="shared" si="7"/>
        <v>0</v>
      </c>
    </row>
    <row r="46" spans="1:9" s="5" customFormat="1" ht="18" customHeight="1">
      <c r="A46" s="9" t="s">
        <v>49</v>
      </c>
      <c r="B46" s="13">
        <f>105+151+101+60+53+56+56+69+78+55+55</f>
        <v>839</v>
      </c>
      <c r="C46" s="9">
        <f t="shared" si="4"/>
        <v>839</v>
      </c>
      <c r="D46" s="15">
        <f>1+1+1+27+27+1</f>
        <v>58</v>
      </c>
      <c r="E46" s="9">
        <f t="shared" si="5"/>
        <v>58</v>
      </c>
      <c r="F46" s="17"/>
      <c r="G46" s="9">
        <f t="shared" si="6"/>
        <v>0</v>
      </c>
      <c r="H46" s="19"/>
      <c r="I46" s="9">
        <f t="shared" si="7"/>
        <v>0</v>
      </c>
    </row>
    <row r="47" spans="1:9" s="5" customFormat="1" ht="18" customHeight="1">
      <c r="A47" s="9" t="s">
        <v>50</v>
      </c>
      <c r="B47" s="13"/>
      <c r="C47" s="9">
        <f t="shared" si="4"/>
        <v>0</v>
      </c>
      <c r="D47" s="15"/>
      <c r="E47" s="9">
        <f t="shared" si="5"/>
        <v>0</v>
      </c>
      <c r="F47" s="17"/>
      <c r="G47" s="9">
        <f t="shared" si="6"/>
        <v>0</v>
      </c>
      <c r="H47" s="19"/>
      <c r="I47" s="9">
        <f t="shared" si="7"/>
        <v>0</v>
      </c>
    </row>
    <row r="48" spans="1:9" s="5" customFormat="1" ht="18" customHeight="1">
      <c r="A48" s="9" t="s">
        <v>51</v>
      </c>
      <c r="B48" s="13"/>
      <c r="C48" s="9">
        <f t="shared" si="4"/>
        <v>0</v>
      </c>
      <c r="D48" s="15"/>
      <c r="E48" s="9">
        <f t="shared" si="5"/>
        <v>0</v>
      </c>
      <c r="F48" s="17"/>
      <c r="G48" s="9">
        <f t="shared" si="6"/>
        <v>0</v>
      </c>
      <c r="H48" s="19"/>
      <c r="I48" s="9">
        <f t="shared" si="7"/>
        <v>0</v>
      </c>
    </row>
    <row r="49" spans="1:9" s="5" customFormat="1" ht="18" customHeight="1">
      <c r="A49" s="9" t="s">
        <v>52</v>
      </c>
      <c r="B49" s="13"/>
      <c r="C49" s="9">
        <f t="shared" si="4"/>
        <v>0</v>
      </c>
      <c r="D49" s="15"/>
      <c r="E49" s="9">
        <f t="shared" si="5"/>
        <v>0</v>
      </c>
      <c r="F49" s="17"/>
      <c r="G49" s="9">
        <f t="shared" si="6"/>
        <v>0</v>
      </c>
      <c r="H49" s="19"/>
      <c r="I49" s="9">
        <f t="shared" si="7"/>
        <v>0</v>
      </c>
    </row>
    <row r="50" spans="1:9" s="5" customFormat="1" ht="18" customHeight="1">
      <c r="A50" s="9" t="s">
        <v>53</v>
      </c>
      <c r="B50" s="13">
        <f>74+22+35+78+148+68+80+65+75+144</f>
        <v>789</v>
      </c>
      <c r="C50" s="9">
        <f t="shared" si="4"/>
        <v>789</v>
      </c>
      <c r="D50" s="15"/>
      <c r="E50" s="9">
        <f t="shared" si="5"/>
        <v>0</v>
      </c>
      <c r="F50" s="17"/>
      <c r="G50" s="9">
        <f t="shared" si="6"/>
        <v>0</v>
      </c>
      <c r="H50" s="19"/>
      <c r="I50" s="9">
        <f t="shared" si="7"/>
        <v>0</v>
      </c>
    </row>
    <row r="51" spans="1:9" s="5" customFormat="1" ht="18" customHeight="1">
      <c r="A51" s="9" t="s">
        <v>54</v>
      </c>
      <c r="B51" s="13">
        <f>160+16+14+160</f>
        <v>350</v>
      </c>
      <c r="C51" s="9">
        <f t="shared" si="4"/>
        <v>350</v>
      </c>
      <c r="D51" s="15"/>
      <c r="E51" s="9">
        <f t="shared" si="5"/>
        <v>0</v>
      </c>
      <c r="F51" s="17">
        <v>1</v>
      </c>
      <c r="G51" s="9">
        <f t="shared" si="6"/>
        <v>1</v>
      </c>
      <c r="H51" s="19"/>
      <c r="I51" s="9">
        <f t="shared" si="7"/>
        <v>0</v>
      </c>
    </row>
    <row r="52" spans="1:9" s="5" customFormat="1" ht="18" customHeight="1">
      <c r="A52" s="9" t="s">
        <v>55</v>
      </c>
      <c r="B52" s="13">
        <f>83+64+68+83+101+87</f>
        <v>486</v>
      </c>
      <c r="C52" s="9">
        <f t="shared" si="4"/>
        <v>486</v>
      </c>
      <c r="D52" s="15"/>
      <c r="E52" s="9">
        <f t="shared" si="5"/>
        <v>0</v>
      </c>
      <c r="F52" s="17"/>
      <c r="G52" s="9">
        <f t="shared" si="6"/>
        <v>0</v>
      </c>
      <c r="H52" s="19"/>
      <c r="I52" s="9">
        <f t="shared" si="7"/>
        <v>0</v>
      </c>
    </row>
    <row r="53" spans="1:9" s="5" customFormat="1" ht="18" customHeight="1">
      <c r="A53" s="9" t="s">
        <v>56</v>
      </c>
      <c r="B53" s="13">
        <f>288+10+11+3+170+80+23+28+15+288+125+37+74+19+35+23+3+34+22+51+57+123+7+17+20+24+17+14+25+12+204+30+40+21+20+100+21+5+44+10+5+188+43+101+8+14+57+10+13+7+15+20+11+94+137+6+1+10+37+13+21+20+250+72+125+15</f>
        <v>3443</v>
      </c>
      <c r="C53" s="9">
        <f t="shared" si="4"/>
        <v>3443</v>
      </c>
      <c r="D53" s="15">
        <f>1+1+2+30+29+1+40+2+4+24+1+1+1+1</f>
        <v>138</v>
      </c>
      <c r="E53" s="9">
        <f t="shared" si="5"/>
        <v>138</v>
      </c>
      <c r="F53" s="17">
        <f>38+10+1+80+16+38+40+41+2+3+80+1+321+1+16+6+19+1+7+21+22</f>
        <v>764</v>
      </c>
      <c r="G53" s="9">
        <f t="shared" si="6"/>
        <v>764</v>
      </c>
      <c r="H53" s="19"/>
      <c r="I53" s="9">
        <f t="shared" si="7"/>
        <v>0</v>
      </c>
    </row>
    <row r="54" spans="1:9" s="5" customFormat="1" ht="18" customHeight="1" thickBot="1">
      <c r="A54" s="10" t="s">
        <v>57</v>
      </c>
      <c r="B54" s="14">
        <f>80+75+136+110+440+98+275+29+100+100</f>
        <v>1443</v>
      </c>
      <c r="C54" s="9">
        <f t="shared" si="4"/>
        <v>1443</v>
      </c>
      <c r="D54" s="16">
        <f>195+1+1+3+1+16+87+2</f>
        <v>306</v>
      </c>
      <c r="E54" s="9">
        <f t="shared" si="5"/>
        <v>306</v>
      </c>
      <c r="F54" s="18"/>
      <c r="G54" s="9">
        <f t="shared" si="6"/>
        <v>0</v>
      </c>
      <c r="H54" s="20"/>
      <c r="I54" s="9">
        <f t="shared" si="7"/>
        <v>0</v>
      </c>
    </row>
    <row r="55" spans="1:9" s="5" customFormat="1" ht="18" customHeight="1" thickBot="1" thickTop="1">
      <c r="A55" s="11" t="s">
        <v>58</v>
      </c>
      <c r="B55" s="11">
        <f>SUM(B5:B54)</f>
        <v>84963</v>
      </c>
      <c r="C55" s="11"/>
      <c r="D55" s="11">
        <f>SUM(D5:D54)</f>
        <v>8846</v>
      </c>
      <c r="E55" s="11"/>
      <c r="F55" s="11">
        <f>SUM(F5:F54)</f>
        <v>4341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B55</f>
        <v>84963</v>
      </c>
      <c r="D57" s="11"/>
      <c r="E57" s="11">
        <f>D55</f>
        <v>8846</v>
      </c>
      <c r="F57" s="11"/>
      <c r="G57" s="11">
        <f>F55</f>
        <v>4341</v>
      </c>
      <c r="H57" s="11"/>
      <c r="I57" s="11">
        <f>H55</f>
        <v>0</v>
      </c>
    </row>
    <row r="58" s="5" customFormat="1" ht="18" customHeight="1" thickTop="1"/>
    <row r="59" s="5" customFormat="1" ht="18" customHeight="1">
      <c r="A59" s="5" t="s">
        <v>60</v>
      </c>
    </row>
    <row r="60" spans="1:6" s="5" customFormat="1" ht="18" customHeight="1">
      <c r="A60" s="5" t="s">
        <v>13</v>
      </c>
      <c r="D60" s="5">
        <f>32</f>
        <v>32</v>
      </c>
      <c r="F60" s="5">
        <f>2500</f>
        <v>2500</v>
      </c>
    </row>
    <row r="61" s="5" customFormat="1" ht="18" customHeight="1"/>
    <row r="62" spans="1:7" s="4" customFormat="1" ht="18" customHeight="1">
      <c r="A62" s="4" t="s">
        <v>61</v>
      </c>
      <c r="E62" s="4">
        <f>D60</f>
        <v>32</v>
      </c>
      <c r="G62" s="4">
        <f>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H3:I3"/>
    <mergeCell ref="B3:C3"/>
    <mergeCell ref="D3:E3"/>
    <mergeCell ref="F3:G3"/>
  </mergeCells>
  <printOptions/>
  <pageMargins left="0.5" right="0.5" top="0.1" bottom="0.1" header="0.5" footer="0.5"/>
  <pageSetup horizontalDpi="600" verticalDpi="600" orientation="portrait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72</v>
      </c>
      <c r="H1" s="2" t="s">
        <v>75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September!C5+B5</f>
        <v>742</v>
      </c>
      <c r="D5" s="15"/>
      <c r="E5" s="9">
        <f>September!E5+D5</f>
        <v>1147</v>
      </c>
      <c r="F5" s="17"/>
      <c r="G5" s="9">
        <f>September!G5+F5</f>
        <v>116</v>
      </c>
      <c r="H5" s="19"/>
      <c r="I5" s="9">
        <f>September!I5+H5</f>
        <v>0</v>
      </c>
    </row>
    <row r="6" spans="1:9" s="5" customFormat="1" ht="18" customHeight="1">
      <c r="A6" s="9" t="s">
        <v>9</v>
      </c>
      <c r="B6" s="13"/>
      <c r="C6" s="9">
        <f>September!C6+B6</f>
        <v>0</v>
      </c>
      <c r="D6" s="15"/>
      <c r="E6" s="9">
        <f>September!E6+D6</f>
        <v>0</v>
      </c>
      <c r="F6" s="17"/>
      <c r="G6" s="9">
        <f>September!G6+F6</f>
        <v>0</v>
      </c>
      <c r="H6" s="19"/>
      <c r="I6" s="9">
        <f>September!I6+H6</f>
        <v>0</v>
      </c>
    </row>
    <row r="7" spans="1:9" s="5" customFormat="1" ht="18" customHeight="1">
      <c r="A7" s="9" t="s">
        <v>10</v>
      </c>
      <c r="B7" s="13"/>
      <c r="C7" s="9">
        <f>September!C7+B7</f>
        <v>198</v>
      </c>
      <c r="D7" s="15"/>
      <c r="E7" s="9">
        <f>September!E7+D7</f>
        <v>0</v>
      </c>
      <c r="F7" s="17"/>
      <c r="G7" s="9">
        <f>September!G7+F7</f>
        <v>156</v>
      </c>
      <c r="H7" s="19"/>
      <c r="I7" s="9">
        <f>September!I7+H7</f>
        <v>0</v>
      </c>
    </row>
    <row r="8" spans="1:9" s="5" customFormat="1" ht="18" customHeight="1">
      <c r="A8" s="9" t="s">
        <v>11</v>
      </c>
      <c r="B8" s="13"/>
      <c r="C8" s="9">
        <f>September!C8+B8</f>
        <v>5939</v>
      </c>
      <c r="D8" s="15"/>
      <c r="E8" s="9">
        <f>September!E8+D8</f>
        <v>17</v>
      </c>
      <c r="F8" s="17"/>
      <c r="G8" s="9">
        <f>September!G8+F8</f>
        <v>10</v>
      </c>
      <c r="H8" s="19"/>
      <c r="I8" s="9">
        <f>September!I8+H8</f>
        <v>0</v>
      </c>
    </row>
    <row r="9" spans="1:9" s="5" customFormat="1" ht="18" customHeight="1">
      <c r="A9" s="9" t="s">
        <v>12</v>
      </c>
      <c r="B9" s="13"/>
      <c r="C9" s="9">
        <f>September!C9+B9</f>
        <v>617</v>
      </c>
      <c r="D9" s="15"/>
      <c r="E9" s="9">
        <f>September!E9+D9</f>
        <v>270</v>
      </c>
      <c r="F9" s="17"/>
      <c r="G9" s="9">
        <f>September!G9+F9</f>
        <v>1108</v>
      </c>
      <c r="H9" s="19"/>
      <c r="I9" s="9">
        <f>September!I9+H9</f>
        <v>144</v>
      </c>
    </row>
    <row r="10" spans="1:9" s="5" customFormat="1" ht="18" customHeight="1">
      <c r="A10" s="9" t="s">
        <v>13</v>
      </c>
      <c r="B10" s="13"/>
      <c r="C10" s="9">
        <f>September!C10+B10</f>
        <v>385</v>
      </c>
      <c r="D10" s="15"/>
      <c r="E10" s="9">
        <f>September!E10+D10</f>
        <v>149</v>
      </c>
      <c r="F10" s="17"/>
      <c r="G10" s="9">
        <f>September!G10+F10</f>
        <v>600</v>
      </c>
      <c r="H10" s="19"/>
      <c r="I10" s="9">
        <f>September!I10+H10</f>
        <v>0</v>
      </c>
    </row>
    <row r="11" spans="1:9" s="5" customFormat="1" ht="18" customHeight="1">
      <c r="A11" s="9" t="s">
        <v>14</v>
      </c>
      <c r="B11" s="13"/>
      <c r="C11" s="9">
        <f>September!C11+B11</f>
        <v>1554</v>
      </c>
      <c r="D11" s="15"/>
      <c r="E11" s="9">
        <f>September!E11+D11</f>
        <v>573</v>
      </c>
      <c r="F11" s="17"/>
      <c r="G11" s="9">
        <f>September!G11+F11</f>
        <v>783</v>
      </c>
      <c r="H11" s="19"/>
      <c r="I11" s="9">
        <f>September!I11+H11</f>
        <v>0</v>
      </c>
    </row>
    <row r="12" spans="1:9" s="5" customFormat="1" ht="18" customHeight="1">
      <c r="A12" s="9" t="s">
        <v>15</v>
      </c>
      <c r="B12" s="13"/>
      <c r="C12" s="9">
        <f>September!C12+B12</f>
        <v>0</v>
      </c>
      <c r="D12" s="15"/>
      <c r="E12" s="9">
        <f>September!E12+D12</f>
        <v>0</v>
      </c>
      <c r="F12" s="17"/>
      <c r="G12" s="9">
        <f>September!G12+F12</f>
        <v>0</v>
      </c>
      <c r="H12" s="19"/>
      <c r="I12" s="9">
        <f>September!I12+H12</f>
        <v>0</v>
      </c>
    </row>
    <row r="13" spans="1:9" s="5" customFormat="1" ht="18" customHeight="1">
      <c r="A13" s="9" t="s">
        <v>16</v>
      </c>
      <c r="B13" s="13"/>
      <c r="C13" s="9">
        <f>September!C13+B13</f>
        <v>0</v>
      </c>
      <c r="D13" s="15"/>
      <c r="E13" s="9">
        <f>September!E13+D13</f>
        <v>0</v>
      </c>
      <c r="F13" s="17"/>
      <c r="G13" s="9">
        <f>September!G13+F13</f>
        <v>0</v>
      </c>
      <c r="H13" s="19"/>
      <c r="I13" s="9">
        <f>September!I13+H13</f>
        <v>0</v>
      </c>
    </row>
    <row r="14" spans="1:9" s="5" customFormat="1" ht="18" customHeight="1">
      <c r="A14" s="9" t="s">
        <v>17</v>
      </c>
      <c r="B14" s="13"/>
      <c r="C14" s="9">
        <f>September!C14+B14</f>
        <v>772</v>
      </c>
      <c r="D14" s="15"/>
      <c r="E14" s="9">
        <f>September!E14+D14</f>
        <v>3</v>
      </c>
      <c r="F14" s="17"/>
      <c r="G14" s="9">
        <f>September!G14+F14</f>
        <v>0</v>
      </c>
      <c r="H14" s="19"/>
      <c r="I14" s="9">
        <f>September!I14+H14</f>
        <v>0</v>
      </c>
    </row>
    <row r="15" spans="1:9" s="5" customFormat="1" ht="18" customHeight="1">
      <c r="A15" s="9" t="s">
        <v>18</v>
      </c>
      <c r="B15" s="13"/>
      <c r="C15" s="9">
        <f>September!C15+B15</f>
        <v>2190</v>
      </c>
      <c r="D15" s="15"/>
      <c r="E15" s="9">
        <f>September!E15+D15</f>
        <v>128</v>
      </c>
      <c r="F15" s="17"/>
      <c r="G15" s="9">
        <f>September!G15+F15</f>
        <v>0</v>
      </c>
      <c r="H15" s="19"/>
      <c r="I15" s="9">
        <f>September!I15+H15</f>
        <v>0</v>
      </c>
    </row>
    <row r="16" spans="1:9" s="5" customFormat="1" ht="18" customHeight="1">
      <c r="A16" s="9" t="s">
        <v>19</v>
      </c>
      <c r="B16" s="13"/>
      <c r="C16" s="9">
        <f>September!C16+B16</f>
        <v>0</v>
      </c>
      <c r="D16" s="15"/>
      <c r="E16" s="9">
        <f>September!E16+D16</f>
        <v>0</v>
      </c>
      <c r="F16" s="17"/>
      <c r="G16" s="9">
        <f>September!G16+F16</f>
        <v>0</v>
      </c>
      <c r="H16" s="19"/>
      <c r="I16" s="9">
        <f>September!I16+H16</f>
        <v>0</v>
      </c>
    </row>
    <row r="17" spans="1:9" s="5" customFormat="1" ht="18" customHeight="1">
      <c r="A17" s="9" t="s">
        <v>20</v>
      </c>
      <c r="B17" s="13"/>
      <c r="C17" s="9">
        <f>September!C17+B17</f>
        <v>3932</v>
      </c>
      <c r="D17" s="15"/>
      <c r="E17" s="9">
        <f>September!E17+D17</f>
        <v>863</v>
      </c>
      <c r="F17" s="17"/>
      <c r="G17" s="9">
        <f>September!G17+F17</f>
        <v>32</v>
      </c>
      <c r="H17" s="19"/>
      <c r="I17" s="9">
        <f>September!I17+H17</f>
        <v>0</v>
      </c>
    </row>
    <row r="18" spans="1:9" s="5" customFormat="1" ht="18" customHeight="1">
      <c r="A18" s="9" t="s">
        <v>21</v>
      </c>
      <c r="B18" s="13"/>
      <c r="C18" s="9">
        <f>September!C18+B18</f>
        <v>3031</v>
      </c>
      <c r="D18" s="15"/>
      <c r="E18" s="9">
        <f>September!E18+D18</f>
        <v>369</v>
      </c>
      <c r="F18" s="17"/>
      <c r="G18" s="9">
        <f>September!G18+F18</f>
        <v>759</v>
      </c>
      <c r="H18" s="19"/>
      <c r="I18" s="9">
        <f>September!I18+H18</f>
        <v>0</v>
      </c>
    </row>
    <row r="19" spans="1:9" s="5" customFormat="1" ht="18" customHeight="1">
      <c r="A19" s="9" t="s">
        <v>22</v>
      </c>
      <c r="B19" s="13"/>
      <c r="C19" s="9">
        <f>September!C19+B19</f>
        <v>5062</v>
      </c>
      <c r="D19" s="15"/>
      <c r="E19" s="9">
        <f>September!E19+D19</f>
        <v>354</v>
      </c>
      <c r="F19" s="17"/>
      <c r="G19" s="9">
        <f>September!G19+F19</f>
        <v>3360</v>
      </c>
      <c r="H19" s="19"/>
      <c r="I19" s="9">
        <f>September!I19+H19</f>
        <v>0</v>
      </c>
    </row>
    <row r="20" spans="1:9" s="5" customFormat="1" ht="18" customHeight="1">
      <c r="A20" s="9" t="s">
        <v>23</v>
      </c>
      <c r="B20" s="13"/>
      <c r="C20" s="9">
        <f>September!C20+B20</f>
        <v>14951</v>
      </c>
      <c r="D20" s="15"/>
      <c r="E20" s="9">
        <f>September!E20+D20</f>
        <v>1629</v>
      </c>
      <c r="F20" s="17"/>
      <c r="G20" s="9">
        <f>September!G20+F20</f>
        <v>738</v>
      </c>
      <c r="H20" s="19"/>
      <c r="I20" s="9">
        <f>September!I20+H20</f>
        <v>0</v>
      </c>
    </row>
    <row r="21" spans="1:9" s="5" customFormat="1" ht="18" customHeight="1">
      <c r="A21" s="9" t="s">
        <v>24</v>
      </c>
      <c r="B21" s="13"/>
      <c r="C21" s="9">
        <f>September!C21+B21</f>
        <v>73185</v>
      </c>
      <c r="D21" s="15"/>
      <c r="E21" s="9">
        <f>September!E21+D21</f>
        <v>86</v>
      </c>
      <c r="F21" s="17"/>
      <c r="G21" s="9">
        <f>September!G21+F21</f>
        <v>110</v>
      </c>
      <c r="H21" s="19"/>
      <c r="I21" s="9">
        <f>September!I21+H21</f>
        <v>0</v>
      </c>
    </row>
    <row r="22" spans="1:9" s="5" customFormat="1" ht="18" customHeight="1">
      <c r="A22" s="9" t="s">
        <v>25</v>
      </c>
      <c r="B22" s="13"/>
      <c r="C22" s="9">
        <f>September!C22+B22</f>
        <v>0</v>
      </c>
      <c r="D22" s="15"/>
      <c r="E22" s="9">
        <f>September!E22+D22</f>
        <v>0</v>
      </c>
      <c r="F22" s="17"/>
      <c r="G22" s="9">
        <f>September!G22+F22</f>
        <v>0</v>
      </c>
      <c r="H22" s="19"/>
      <c r="I22" s="9">
        <f>September!I22+H22</f>
        <v>0</v>
      </c>
    </row>
    <row r="23" spans="1:9" s="5" customFormat="1" ht="18" customHeight="1">
      <c r="A23" s="9" t="s">
        <v>26</v>
      </c>
      <c r="B23" s="13"/>
      <c r="C23" s="9">
        <f>September!C23+B23</f>
        <v>0</v>
      </c>
      <c r="D23" s="15"/>
      <c r="E23" s="9">
        <f>September!E23+D23</f>
        <v>0</v>
      </c>
      <c r="F23" s="17"/>
      <c r="G23" s="9">
        <f>September!G23+F23</f>
        <v>0</v>
      </c>
      <c r="H23" s="19"/>
      <c r="I23" s="9">
        <f>September!I23+H23</f>
        <v>0</v>
      </c>
    </row>
    <row r="24" spans="1:9" s="5" customFormat="1" ht="18" customHeight="1">
      <c r="A24" s="9" t="s">
        <v>27</v>
      </c>
      <c r="B24" s="13"/>
      <c r="C24" s="9">
        <f>September!C24+B24</f>
        <v>0</v>
      </c>
      <c r="D24" s="15"/>
      <c r="E24" s="9">
        <f>September!E24+D24</f>
        <v>2</v>
      </c>
      <c r="F24" s="17"/>
      <c r="G24" s="9">
        <f>September!G24+F24</f>
        <v>17</v>
      </c>
      <c r="H24" s="19"/>
      <c r="I24" s="9">
        <f>September!I24+H24</f>
        <v>0</v>
      </c>
    </row>
    <row r="25" spans="1:9" s="5" customFormat="1" ht="18" customHeight="1">
      <c r="A25" s="9" t="s">
        <v>28</v>
      </c>
      <c r="B25" s="13"/>
      <c r="C25" s="9">
        <f>September!C25+B25</f>
        <v>0</v>
      </c>
      <c r="D25" s="15"/>
      <c r="E25" s="9">
        <f>September!E25+D25</f>
        <v>0</v>
      </c>
      <c r="F25" s="17"/>
      <c r="G25" s="9">
        <f>September!G25+F25</f>
        <v>0</v>
      </c>
      <c r="H25" s="19"/>
      <c r="I25" s="9">
        <f>September!I25+H25</f>
        <v>0</v>
      </c>
    </row>
    <row r="26" spans="1:9" s="5" customFormat="1" ht="18" customHeight="1">
      <c r="A26" s="9" t="s">
        <v>29</v>
      </c>
      <c r="B26" s="13"/>
      <c r="C26" s="9">
        <f>September!C26+B26</f>
        <v>4343</v>
      </c>
      <c r="D26" s="15"/>
      <c r="E26" s="9">
        <f>September!E26+D26</f>
        <v>5</v>
      </c>
      <c r="F26" s="17"/>
      <c r="G26" s="9">
        <f>September!G26+F26</f>
        <v>36</v>
      </c>
      <c r="H26" s="19"/>
      <c r="I26" s="9">
        <f>September!I26+H26</f>
        <v>0</v>
      </c>
    </row>
    <row r="27" spans="1:9" s="5" customFormat="1" ht="18" customHeight="1">
      <c r="A27" s="9" t="s">
        <v>30</v>
      </c>
      <c r="B27" s="13"/>
      <c r="C27" s="9">
        <f>September!C27+B27</f>
        <v>27239</v>
      </c>
      <c r="D27" s="15"/>
      <c r="E27" s="9">
        <f>September!E27+D27</f>
        <v>1447</v>
      </c>
      <c r="F27" s="17"/>
      <c r="G27" s="9">
        <f>September!G27+F27</f>
        <v>15033</v>
      </c>
      <c r="H27" s="19"/>
      <c r="I27" s="9">
        <f>September!I27+H27</f>
        <v>0</v>
      </c>
    </row>
    <row r="28" spans="1:9" s="5" customFormat="1" ht="18" customHeight="1">
      <c r="A28" s="9" t="s">
        <v>31</v>
      </c>
      <c r="B28" s="13"/>
      <c r="C28" s="9">
        <f>September!C28+B28</f>
        <v>3240</v>
      </c>
      <c r="D28" s="15"/>
      <c r="E28" s="9">
        <f>September!E28+D28</f>
        <v>142</v>
      </c>
      <c r="F28" s="17"/>
      <c r="G28" s="9">
        <f>September!G28+F28</f>
        <v>0</v>
      </c>
      <c r="H28" s="19"/>
      <c r="I28" s="9">
        <f>September!I28+H28</f>
        <v>0</v>
      </c>
    </row>
    <row r="29" spans="1:9" s="5" customFormat="1" ht="18" customHeight="1">
      <c r="A29" s="9" t="s">
        <v>32</v>
      </c>
      <c r="B29" s="13"/>
      <c r="C29" s="9">
        <f>September!C29+B29</f>
        <v>93348</v>
      </c>
      <c r="D29" s="15"/>
      <c r="E29" s="9">
        <f>September!E29+D29</f>
        <v>4843</v>
      </c>
      <c r="F29" s="17"/>
      <c r="G29" s="9">
        <f>September!G29+F29</f>
        <v>737</v>
      </c>
      <c r="H29" s="19"/>
      <c r="I29" s="9">
        <f>September!I29+H29</f>
        <v>277</v>
      </c>
    </row>
    <row r="30" spans="1:9" s="5" customFormat="1" ht="18" customHeight="1">
      <c r="A30" s="9" t="s">
        <v>33</v>
      </c>
      <c r="B30" s="13"/>
      <c r="C30" s="9">
        <f>September!C30+B30</f>
        <v>18752</v>
      </c>
      <c r="D30" s="15"/>
      <c r="E30" s="9">
        <f>September!E30+D30</f>
        <v>3984</v>
      </c>
      <c r="F30" s="17"/>
      <c r="G30" s="9">
        <f>September!G30+F30</f>
        <v>0</v>
      </c>
      <c r="H30" s="19"/>
      <c r="I30" s="9">
        <f>September!I30+H30</f>
        <v>0</v>
      </c>
    </row>
    <row r="31" spans="1:9" s="5" customFormat="1" ht="18" customHeight="1">
      <c r="A31" s="9" t="s">
        <v>34</v>
      </c>
      <c r="B31" s="13"/>
      <c r="C31" s="9">
        <f>September!C31+B31</f>
        <v>24493</v>
      </c>
      <c r="D31" s="15"/>
      <c r="E31" s="9">
        <f>September!E31+D31</f>
        <v>5468</v>
      </c>
      <c r="F31" s="17"/>
      <c r="G31" s="9">
        <f>September!G31+F31</f>
        <v>1800</v>
      </c>
      <c r="H31" s="19"/>
      <c r="I31" s="9">
        <f>September!I31+H31</f>
        <v>30</v>
      </c>
    </row>
    <row r="32" spans="1:9" s="5" customFormat="1" ht="18" customHeight="1">
      <c r="A32" s="9" t="s">
        <v>35</v>
      </c>
      <c r="B32" s="13"/>
      <c r="C32" s="9">
        <f>September!C32+B32</f>
        <v>0</v>
      </c>
      <c r="D32" s="15"/>
      <c r="E32" s="9">
        <f>September!E32+D32</f>
        <v>0</v>
      </c>
      <c r="F32" s="17"/>
      <c r="G32" s="9">
        <f>September!G32+F32</f>
        <v>0</v>
      </c>
      <c r="H32" s="19"/>
      <c r="I32" s="9">
        <f>September!I32+H32</f>
        <v>0</v>
      </c>
    </row>
    <row r="33" spans="1:9" s="5" customFormat="1" ht="18" customHeight="1">
      <c r="A33" s="9" t="s">
        <v>36</v>
      </c>
      <c r="B33" s="13"/>
      <c r="C33" s="9">
        <f>September!C33+B33</f>
        <v>0</v>
      </c>
      <c r="D33" s="15"/>
      <c r="E33" s="9">
        <f>September!E33+D33</f>
        <v>0</v>
      </c>
      <c r="F33" s="17"/>
      <c r="G33" s="9">
        <f>September!G33+F33</f>
        <v>0</v>
      </c>
      <c r="H33" s="19"/>
      <c r="I33" s="9">
        <f>September!I33+H33</f>
        <v>0</v>
      </c>
    </row>
    <row r="34" spans="1:9" s="5" customFormat="1" ht="18" customHeight="1">
      <c r="A34" s="9" t="s">
        <v>37</v>
      </c>
      <c r="B34" s="13"/>
      <c r="C34" s="9">
        <f>September!C34+B34</f>
        <v>0</v>
      </c>
      <c r="D34" s="15"/>
      <c r="E34" s="9">
        <f>September!E34+D34</f>
        <v>0</v>
      </c>
      <c r="F34" s="17"/>
      <c r="G34" s="9">
        <f>September!G34+F34</f>
        <v>0</v>
      </c>
      <c r="H34" s="19"/>
      <c r="I34" s="9">
        <f>September!I34+H34</f>
        <v>0</v>
      </c>
    </row>
    <row r="35" spans="1:9" s="5" customFormat="1" ht="18" customHeight="1">
      <c r="A35" s="9" t="s">
        <v>38</v>
      </c>
      <c r="B35" s="13"/>
      <c r="C35" s="9">
        <f>September!C35+B35</f>
        <v>326</v>
      </c>
      <c r="D35" s="15"/>
      <c r="E35" s="9">
        <f>September!E35+D35</f>
        <v>0</v>
      </c>
      <c r="F35" s="17"/>
      <c r="G35" s="9">
        <f>September!G35+F35</f>
        <v>415</v>
      </c>
      <c r="H35" s="19"/>
      <c r="I35" s="9">
        <f>September!I35+H35</f>
        <v>0</v>
      </c>
    </row>
    <row r="36" spans="1:9" s="5" customFormat="1" ht="18" customHeight="1">
      <c r="A36" s="9" t="s">
        <v>39</v>
      </c>
      <c r="B36" s="13"/>
      <c r="C36" s="9">
        <f>September!C36+B36</f>
        <v>0</v>
      </c>
      <c r="D36" s="15"/>
      <c r="E36" s="9">
        <f>September!E36+D36</f>
        <v>5</v>
      </c>
      <c r="F36" s="17"/>
      <c r="G36" s="9">
        <f>September!G36+F36</f>
        <v>267</v>
      </c>
      <c r="H36" s="19"/>
      <c r="I36" s="9">
        <f>September!I36+H36</f>
        <v>0</v>
      </c>
    </row>
    <row r="37" spans="1:9" s="5" customFormat="1" ht="18" customHeight="1">
      <c r="A37" s="9" t="s">
        <v>40</v>
      </c>
      <c r="B37" s="13"/>
      <c r="C37" s="9">
        <f>September!C37+B37</f>
        <v>376</v>
      </c>
      <c r="D37" s="15"/>
      <c r="E37" s="9">
        <f>September!E37+D37</f>
        <v>16</v>
      </c>
      <c r="F37" s="17"/>
      <c r="G37" s="9">
        <f>September!G37+F37</f>
        <v>11</v>
      </c>
      <c r="H37" s="19"/>
      <c r="I37" s="9">
        <f>September!I37+H37</f>
        <v>0</v>
      </c>
    </row>
    <row r="38" spans="1:9" s="5" customFormat="1" ht="18" customHeight="1">
      <c r="A38" s="9" t="s">
        <v>41</v>
      </c>
      <c r="B38" s="13"/>
      <c r="C38" s="9">
        <f>September!C38+B38</f>
        <v>36394</v>
      </c>
      <c r="D38" s="15"/>
      <c r="E38" s="9">
        <f>September!E38+D38</f>
        <v>731</v>
      </c>
      <c r="F38" s="17"/>
      <c r="G38" s="9">
        <f>September!G38+F38</f>
        <v>122</v>
      </c>
      <c r="H38" s="19"/>
      <c r="I38" s="9">
        <f>September!I38+H38</f>
        <v>0</v>
      </c>
    </row>
    <row r="39" spans="1:9" s="5" customFormat="1" ht="18" customHeight="1">
      <c r="A39" s="9" t="s">
        <v>42</v>
      </c>
      <c r="B39" s="13"/>
      <c r="C39" s="9">
        <f>September!C39+B39</f>
        <v>2432</v>
      </c>
      <c r="D39" s="15"/>
      <c r="E39" s="9">
        <f>September!E39+D39</f>
        <v>38</v>
      </c>
      <c r="F39" s="17"/>
      <c r="G39" s="9">
        <f>September!G39+F39</f>
        <v>1862</v>
      </c>
      <c r="H39" s="19"/>
      <c r="I39" s="9">
        <f>September!I39+H39</f>
        <v>0</v>
      </c>
    </row>
    <row r="40" spans="1:9" s="5" customFormat="1" ht="18" customHeight="1">
      <c r="A40" s="9" t="s">
        <v>43</v>
      </c>
      <c r="B40" s="13"/>
      <c r="C40" s="9">
        <f>September!C40+B40</f>
        <v>3606</v>
      </c>
      <c r="D40" s="15"/>
      <c r="E40" s="9">
        <f>September!E40+D40</f>
        <v>192</v>
      </c>
      <c r="F40" s="17"/>
      <c r="G40" s="9">
        <f>September!G40+F40</f>
        <v>9</v>
      </c>
      <c r="H40" s="19"/>
      <c r="I40" s="9">
        <f>September!I40+H40</f>
        <v>0</v>
      </c>
    </row>
    <row r="41" spans="1:9" s="5" customFormat="1" ht="18" customHeight="1">
      <c r="A41" s="9" t="s">
        <v>44</v>
      </c>
      <c r="B41" s="13"/>
      <c r="C41" s="9">
        <f>September!C41+B41</f>
        <v>763</v>
      </c>
      <c r="D41" s="15"/>
      <c r="E41" s="9">
        <f>September!E41+D41</f>
        <v>85</v>
      </c>
      <c r="F41" s="17"/>
      <c r="G41" s="9">
        <f>September!G41+F41</f>
        <v>68</v>
      </c>
      <c r="H41" s="19"/>
      <c r="I41" s="9">
        <f>September!I41+H41</f>
        <v>0</v>
      </c>
    </row>
    <row r="42" spans="1:9" s="5" customFormat="1" ht="18" customHeight="1">
      <c r="A42" s="9" t="s">
        <v>45</v>
      </c>
      <c r="B42" s="13"/>
      <c r="C42" s="9">
        <f>September!C42+B42</f>
        <v>807</v>
      </c>
      <c r="D42" s="15"/>
      <c r="E42" s="9">
        <f>September!E42+D42</f>
        <v>242</v>
      </c>
      <c r="F42" s="17"/>
      <c r="G42" s="9">
        <f>September!G42+F42</f>
        <v>1060</v>
      </c>
      <c r="H42" s="19"/>
      <c r="I42" s="9">
        <f>September!I42+H42</f>
        <v>0</v>
      </c>
    </row>
    <row r="43" spans="1:9" s="5" customFormat="1" ht="18" customHeight="1">
      <c r="A43" s="9" t="s">
        <v>46</v>
      </c>
      <c r="B43" s="13"/>
      <c r="C43" s="9">
        <f>September!C43+B43</f>
        <v>0</v>
      </c>
      <c r="D43" s="15"/>
      <c r="E43" s="9">
        <f>September!E43+D43</f>
        <v>0</v>
      </c>
      <c r="F43" s="17"/>
      <c r="G43" s="9">
        <f>September!G43+F43</f>
        <v>0</v>
      </c>
      <c r="H43" s="19"/>
      <c r="I43" s="9">
        <f>September!I43+H43</f>
        <v>0</v>
      </c>
    </row>
    <row r="44" spans="1:9" s="5" customFormat="1" ht="18" customHeight="1">
      <c r="A44" s="9" t="s">
        <v>47</v>
      </c>
      <c r="B44" s="13"/>
      <c r="C44" s="9">
        <f>September!C44+B44</f>
        <v>5225</v>
      </c>
      <c r="D44" s="15"/>
      <c r="E44" s="9">
        <f>September!E44+D44</f>
        <v>0</v>
      </c>
      <c r="F44" s="17"/>
      <c r="G44" s="9">
        <f>September!G44+F44</f>
        <v>0</v>
      </c>
      <c r="H44" s="19"/>
      <c r="I44" s="9">
        <f>September!I44+H44</f>
        <v>0</v>
      </c>
    </row>
    <row r="45" spans="1:9" s="5" customFormat="1" ht="18" customHeight="1">
      <c r="A45" s="9" t="s">
        <v>48</v>
      </c>
      <c r="B45" s="13"/>
      <c r="C45" s="9">
        <f>September!C45+B45</f>
        <v>146377</v>
      </c>
      <c r="D45" s="15"/>
      <c r="E45" s="9">
        <f>September!E45+D45</f>
        <v>9806</v>
      </c>
      <c r="F45" s="17"/>
      <c r="G45" s="9">
        <f>September!G45+F45</f>
        <v>281</v>
      </c>
      <c r="H45" s="19"/>
      <c r="I45" s="9">
        <f>September!I45+H45</f>
        <v>0</v>
      </c>
    </row>
    <row r="46" spans="1:9" s="5" customFormat="1" ht="18" customHeight="1">
      <c r="A46" s="9" t="s">
        <v>49</v>
      </c>
      <c r="B46" s="13"/>
      <c r="C46" s="9">
        <f>September!C46+B46</f>
        <v>8207</v>
      </c>
      <c r="D46" s="15"/>
      <c r="E46" s="9">
        <f>September!E46+D46</f>
        <v>267</v>
      </c>
      <c r="F46" s="17"/>
      <c r="G46" s="9">
        <f>September!G46+F46</f>
        <v>81</v>
      </c>
      <c r="H46" s="19"/>
      <c r="I46" s="9">
        <f>September!I46+H46</f>
        <v>0</v>
      </c>
    </row>
    <row r="47" spans="1:9" s="5" customFormat="1" ht="18" customHeight="1">
      <c r="A47" s="9" t="s">
        <v>50</v>
      </c>
      <c r="B47" s="13"/>
      <c r="C47" s="9">
        <f>September!C47+B47</f>
        <v>7720</v>
      </c>
      <c r="D47" s="15"/>
      <c r="E47" s="9">
        <f>September!E47+D47</f>
        <v>850</v>
      </c>
      <c r="F47" s="17"/>
      <c r="G47" s="9">
        <f>September!G47+F47</f>
        <v>552</v>
      </c>
      <c r="H47" s="19"/>
      <c r="I47" s="9">
        <f>September!I47+H47</f>
        <v>0</v>
      </c>
    </row>
    <row r="48" spans="1:9" s="5" customFormat="1" ht="18" customHeight="1">
      <c r="A48" s="9" t="s">
        <v>51</v>
      </c>
      <c r="B48" s="13"/>
      <c r="C48" s="9">
        <f>September!C48+B48</f>
        <v>4</v>
      </c>
      <c r="D48" s="15"/>
      <c r="E48" s="9">
        <f>September!E48+D48</f>
        <v>6</v>
      </c>
      <c r="F48" s="17"/>
      <c r="G48" s="9">
        <f>September!G48+F48</f>
        <v>238</v>
      </c>
      <c r="H48" s="19"/>
      <c r="I48" s="9">
        <f>September!I48+H48</f>
        <v>0</v>
      </c>
    </row>
    <row r="49" spans="1:9" s="5" customFormat="1" ht="18" customHeight="1">
      <c r="A49" s="9" t="s">
        <v>52</v>
      </c>
      <c r="B49" s="13"/>
      <c r="C49" s="9">
        <f>September!C49+B49</f>
        <v>0</v>
      </c>
      <c r="D49" s="15"/>
      <c r="E49" s="9">
        <f>September!E49+D49</f>
        <v>0</v>
      </c>
      <c r="F49" s="17"/>
      <c r="G49" s="9">
        <f>September!G49+F49</f>
        <v>123</v>
      </c>
      <c r="H49" s="19"/>
      <c r="I49" s="9">
        <f>September!I49+H49</f>
        <v>0</v>
      </c>
    </row>
    <row r="50" spans="1:9" s="5" customFormat="1" ht="18" customHeight="1">
      <c r="A50" s="9" t="s">
        <v>53</v>
      </c>
      <c r="B50" s="13"/>
      <c r="C50" s="9">
        <f>September!C50+B50</f>
        <v>6798</v>
      </c>
      <c r="D50" s="15"/>
      <c r="E50" s="9">
        <f>September!E50+D50</f>
        <v>62</v>
      </c>
      <c r="F50" s="17"/>
      <c r="G50" s="9">
        <f>September!G50+F50</f>
        <v>0</v>
      </c>
      <c r="H50" s="19"/>
      <c r="I50" s="9">
        <f>September!I50+H50</f>
        <v>0</v>
      </c>
    </row>
    <row r="51" spans="1:9" s="5" customFormat="1" ht="18" customHeight="1">
      <c r="A51" s="9" t="s">
        <v>54</v>
      </c>
      <c r="B51" s="13"/>
      <c r="C51" s="9">
        <f>September!C51+B51</f>
        <v>1928</v>
      </c>
      <c r="D51" s="15"/>
      <c r="E51" s="9">
        <f>September!E51+D51</f>
        <v>17</v>
      </c>
      <c r="F51" s="17"/>
      <c r="G51" s="9">
        <f>September!G51+F51</f>
        <v>338</v>
      </c>
      <c r="H51" s="19"/>
      <c r="I51" s="9">
        <f>September!I51+H51</f>
        <v>0</v>
      </c>
    </row>
    <row r="52" spans="1:9" s="5" customFormat="1" ht="18" customHeight="1">
      <c r="A52" s="9" t="s">
        <v>55</v>
      </c>
      <c r="B52" s="13"/>
      <c r="C52" s="9">
        <f>September!C52+B52</f>
        <v>3868</v>
      </c>
      <c r="D52" s="15"/>
      <c r="E52" s="9">
        <f>September!E52+D52</f>
        <v>63</v>
      </c>
      <c r="F52" s="17"/>
      <c r="G52" s="9">
        <f>September!G52+F52</f>
        <v>0</v>
      </c>
      <c r="H52" s="19"/>
      <c r="I52" s="9">
        <f>September!I52+H52</f>
        <v>0</v>
      </c>
    </row>
    <row r="53" spans="1:9" s="5" customFormat="1" ht="18" customHeight="1">
      <c r="A53" s="9" t="s">
        <v>56</v>
      </c>
      <c r="B53" s="13"/>
      <c r="C53" s="9">
        <f>September!C53+B53</f>
        <v>22336</v>
      </c>
      <c r="D53" s="15"/>
      <c r="E53" s="9">
        <f>September!E53+D53</f>
        <v>1134</v>
      </c>
      <c r="F53" s="17"/>
      <c r="G53" s="9">
        <f>September!G53+F53</f>
        <v>6852</v>
      </c>
      <c r="H53" s="19"/>
      <c r="I53" s="9">
        <f>September!I53+H53</f>
        <v>0</v>
      </c>
    </row>
    <row r="54" spans="1:9" s="5" customFormat="1" ht="18" customHeight="1" thickBot="1">
      <c r="A54" s="10" t="s">
        <v>57</v>
      </c>
      <c r="B54" s="13"/>
      <c r="C54" s="9">
        <f>September!C54+B54</f>
        <v>5855</v>
      </c>
      <c r="D54" s="16"/>
      <c r="E54" s="9">
        <f>September!E54+D54</f>
        <v>1475</v>
      </c>
      <c r="F54" s="17"/>
      <c r="G54" s="9">
        <f>September!G54+F54</f>
        <v>0</v>
      </c>
      <c r="H54" s="19"/>
      <c r="I54" s="9">
        <f>September!I54+H54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September!C57+B55</f>
        <v>536995</v>
      </c>
      <c r="D57" s="11"/>
      <c r="E57" s="11">
        <f>September!E57+D55</f>
        <v>36468</v>
      </c>
      <c r="F57" s="11"/>
      <c r="G57" s="11">
        <f>September!G57+F55</f>
        <v>37674</v>
      </c>
      <c r="H57" s="11"/>
      <c r="I57" s="11">
        <f>September!I57+H55</f>
        <v>451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September!E62+D60</f>
        <v>2482</v>
      </c>
      <c r="G62" s="4">
        <f>September!G62+F60</f>
        <v>13410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73</v>
      </c>
      <c r="H1" s="2" t="s">
        <v>75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October!C5+B5</f>
        <v>742</v>
      </c>
      <c r="D5" s="15"/>
      <c r="E5" s="9">
        <f>October!E5+D5</f>
        <v>1147</v>
      </c>
      <c r="F5" s="17"/>
      <c r="G5" s="9">
        <f>October!G5+F5</f>
        <v>116</v>
      </c>
      <c r="H5" s="19"/>
      <c r="I5" s="9">
        <f>October!I5+H5</f>
        <v>0</v>
      </c>
    </row>
    <row r="6" spans="1:9" s="5" customFormat="1" ht="18" customHeight="1">
      <c r="A6" s="9" t="s">
        <v>9</v>
      </c>
      <c r="B6" s="13"/>
      <c r="C6" s="9">
        <f>October!C6+B6</f>
        <v>0</v>
      </c>
      <c r="D6" s="15"/>
      <c r="E6" s="9">
        <f>October!E6+D6</f>
        <v>0</v>
      </c>
      <c r="F6" s="17"/>
      <c r="G6" s="9">
        <f>October!G6+F6</f>
        <v>0</v>
      </c>
      <c r="H6" s="19"/>
      <c r="I6" s="9">
        <f>October!I6+H6</f>
        <v>0</v>
      </c>
    </row>
    <row r="7" spans="1:9" s="5" customFormat="1" ht="18" customHeight="1">
      <c r="A7" s="9" t="s">
        <v>10</v>
      </c>
      <c r="B7" s="13"/>
      <c r="C7" s="9">
        <f>October!C7+B7</f>
        <v>198</v>
      </c>
      <c r="D7" s="15"/>
      <c r="E7" s="9">
        <f>October!E7+D7</f>
        <v>0</v>
      </c>
      <c r="F7" s="17"/>
      <c r="G7" s="9">
        <f>October!G7+F7</f>
        <v>156</v>
      </c>
      <c r="H7" s="19"/>
      <c r="I7" s="9">
        <f>October!I7+H7</f>
        <v>0</v>
      </c>
    </row>
    <row r="8" spans="1:9" s="5" customFormat="1" ht="18" customHeight="1">
      <c r="A8" s="9" t="s">
        <v>11</v>
      </c>
      <c r="B8" s="13"/>
      <c r="C8" s="9">
        <f>October!C8+B8</f>
        <v>5939</v>
      </c>
      <c r="D8" s="15"/>
      <c r="E8" s="9">
        <f>October!E8+D8</f>
        <v>17</v>
      </c>
      <c r="F8" s="17"/>
      <c r="G8" s="9">
        <f>October!G8+F8</f>
        <v>10</v>
      </c>
      <c r="H8" s="19"/>
      <c r="I8" s="9">
        <f>October!I8+H8</f>
        <v>0</v>
      </c>
    </row>
    <row r="9" spans="1:9" s="5" customFormat="1" ht="18" customHeight="1">
      <c r="A9" s="9" t="s">
        <v>12</v>
      </c>
      <c r="B9" s="13"/>
      <c r="C9" s="9">
        <f>October!C9+B9</f>
        <v>617</v>
      </c>
      <c r="D9" s="15"/>
      <c r="E9" s="9">
        <f>October!E9+D9</f>
        <v>270</v>
      </c>
      <c r="F9" s="17"/>
      <c r="G9" s="9">
        <f>October!G9+F9</f>
        <v>1108</v>
      </c>
      <c r="H9" s="19"/>
      <c r="I9" s="9">
        <f>October!I9+H9</f>
        <v>144</v>
      </c>
    </row>
    <row r="10" spans="1:9" s="5" customFormat="1" ht="18" customHeight="1">
      <c r="A10" s="9" t="s">
        <v>13</v>
      </c>
      <c r="B10" s="13"/>
      <c r="C10" s="9">
        <f>October!C10+B10</f>
        <v>385</v>
      </c>
      <c r="D10" s="15"/>
      <c r="E10" s="9">
        <f>October!E10+D10</f>
        <v>149</v>
      </c>
      <c r="F10" s="17"/>
      <c r="G10" s="9">
        <f>October!G10+F10</f>
        <v>600</v>
      </c>
      <c r="H10" s="19"/>
      <c r="I10" s="9">
        <f>October!I10+H10</f>
        <v>0</v>
      </c>
    </row>
    <row r="11" spans="1:9" s="5" customFormat="1" ht="18" customHeight="1">
      <c r="A11" s="9" t="s">
        <v>14</v>
      </c>
      <c r="B11" s="13"/>
      <c r="C11" s="9">
        <f>October!C11+B11</f>
        <v>1554</v>
      </c>
      <c r="D11" s="15"/>
      <c r="E11" s="9">
        <f>October!E11+D11</f>
        <v>573</v>
      </c>
      <c r="F11" s="17"/>
      <c r="G11" s="9">
        <f>October!G11+F11</f>
        <v>783</v>
      </c>
      <c r="H11" s="19"/>
      <c r="I11" s="9">
        <f>October!I11+H11</f>
        <v>0</v>
      </c>
    </row>
    <row r="12" spans="1:9" s="5" customFormat="1" ht="18" customHeight="1">
      <c r="A12" s="9" t="s">
        <v>15</v>
      </c>
      <c r="B12" s="13"/>
      <c r="C12" s="9">
        <f>October!C12+B12</f>
        <v>0</v>
      </c>
      <c r="D12" s="15"/>
      <c r="E12" s="9">
        <f>October!E12+D12</f>
        <v>0</v>
      </c>
      <c r="F12" s="17"/>
      <c r="G12" s="9">
        <f>October!G12+F12</f>
        <v>0</v>
      </c>
      <c r="H12" s="19"/>
      <c r="I12" s="9">
        <f>October!I12+H12</f>
        <v>0</v>
      </c>
    </row>
    <row r="13" spans="1:9" s="5" customFormat="1" ht="18" customHeight="1">
      <c r="A13" s="9" t="s">
        <v>16</v>
      </c>
      <c r="B13" s="13"/>
      <c r="C13" s="9">
        <f>October!C13+B13</f>
        <v>0</v>
      </c>
      <c r="D13" s="15"/>
      <c r="E13" s="9">
        <f>October!E13+D13</f>
        <v>0</v>
      </c>
      <c r="F13" s="17"/>
      <c r="G13" s="9">
        <f>October!G13+F13</f>
        <v>0</v>
      </c>
      <c r="H13" s="19"/>
      <c r="I13" s="9">
        <f>October!I13+H13</f>
        <v>0</v>
      </c>
    </row>
    <row r="14" spans="1:9" s="5" customFormat="1" ht="18" customHeight="1">
      <c r="A14" s="9" t="s">
        <v>17</v>
      </c>
      <c r="B14" s="13"/>
      <c r="C14" s="9">
        <f>October!C14+B14</f>
        <v>772</v>
      </c>
      <c r="D14" s="15"/>
      <c r="E14" s="9">
        <f>October!E14+D14</f>
        <v>3</v>
      </c>
      <c r="F14" s="17"/>
      <c r="G14" s="9">
        <f>October!G14+F14</f>
        <v>0</v>
      </c>
      <c r="H14" s="19"/>
      <c r="I14" s="9">
        <f>October!I14+H14</f>
        <v>0</v>
      </c>
    </row>
    <row r="15" spans="1:9" s="5" customFormat="1" ht="18" customHeight="1">
      <c r="A15" s="9" t="s">
        <v>18</v>
      </c>
      <c r="B15" s="13"/>
      <c r="C15" s="9">
        <f>October!C15+B15</f>
        <v>2190</v>
      </c>
      <c r="D15" s="15"/>
      <c r="E15" s="9">
        <f>October!E15+D15</f>
        <v>128</v>
      </c>
      <c r="F15" s="17"/>
      <c r="G15" s="9">
        <f>October!G15+F15</f>
        <v>0</v>
      </c>
      <c r="H15" s="19"/>
      <c r="I15" s="9">
        <f>October!I15+H15</f>
        <v>0</v>
      </c>
    </row>
    <row r="16" spans="1:9" s="5" customFormat="1" ht="18" customHeight="1">
      <c r="A16" s="9" t="s">
        <v>19</v>
      </c>
      <c r="B16" s="13"/>
      <c r="C16" s="9">
        <f>October!C16+B16</f>
        <v>0</v>
      </c>
      <c r="D16" s="15"/>
      <c r="E16" s="9">
        <f>October!E16+D16</f>
        <v>0</v>
      </c>
      <c r="F16" s="17"/>
      <c r="G16" s="9">
        <f>October!G16+F16</f>
        <v>0</v>
      </c>
      <c r="H16" s="19"/>
      <c r="I16" s="9">
        <f>October!I16+H16</f>
        <v>0</v>
      </c>
    </row>
    <row r="17" spans="1:9" s="5" customFormat="1" ht="18" customHeight="1">
      <c r="A17" s="9" t="s">
        <v>20</v>
      </c>
      <c r="B17" s="13"/>
      <c r="C17" s="9">
        <f>October!C17+B17</f>
        <v>3932</v>
      </c>
      <c r="D17" s="15"/>
      <c r="E17" s="9">
        <f>October!E17+D17</f>
        <v>863</v>
      </c>
      <c r="F17" s="17"/>
      <c r="G17" s="9">
        <f>October!G17+F17</f>
        <v>32</v>
      </c>
      <c r="H17" s="19"/>
      <c r="I17" s="9">
        <f>October!I17+H17</f>
        <v>0</v>
      </c>
    </row>
    <row r="18" spans="1:9" s="5" customFormat="1" ht="18" customHeight="1">
      <c r="A18" s="9" t="s">
        <v>21</v>
      </c>
      <c r="B18" s="13"/>
      <c r="C18" s="9">
        <f>October!C18+B18</f>
        <v>3031</v>
      </c>
      <c r="D18" s="15"/>
      <c r="E18" s="9">
        <f>October!E18+D18</f>
        <v>369</v>
      </c>
      <c r="F18" s="17"/>
      <c r="G18" s="9">
        <f>October!G18+F18</f>
        <v>759</v>
      </c>
      <c r="H18" s="19"/>
      <c r="I18" s="9">
        <f>October!I18+H18</f>
        <v>0</v>
      </c>
    </row>
    <row r="19" spans="1:9" s="5" customFormat="1" ht="18" customHeight="1">
      <c r="A19" s="9" t="s">
        <v>22</v>
      </c>
      <c r="B19" s="13"/>
      <c r="C19" s="9">
        <f>October!C19+B19</f>
        <v>5062</v>
      </c>
      <c r="D19" s="15"/>
      <c r="E19" s="9">
        <f>October!E19+D19</f>
        <v>354</v>
      </c>
      <c r="F19" s="17"/>
      <c r="G19" s="9">
        <f>October!G19+F19</f>
        <v>3360</v>
      </c>
      <c r="H19" s="19"/>
      <c r="I19" s="9">
        <f>October!I19+H19</f>
        <v>0</v>
      </c>
    </row>
    <row r="20" spans="1:9" s="5" customFormat="1" ht="18" customHeight="1">
      <c r="A20" s="9" t="s">
        <v>23</v>
      </c>
      <c r="B20" s="13"/>
      <c r="C20" s="9">
        <f>October!C20+B20</f>
        <v>14951</v>
      </c>
      <c r="D20" s="15"/>
      <c r="E20" s="9">
        <f>October!E20+D20</f>
        <v>1629</v>
      </c>
      <c r="F20" s="17"/>
      <c r="G20" s="9">
        <f>October!G20+F20</f>
        <v>738</v>
      </c>
      <c r="H20" s="19"/>
      <c r="I20" s="9">
        <f>October!I20+H20</f>
        <v>0</v>
      </c>
    </row>
    <row r="21" spans="1:9" s="5" customFormat="1" ht="18" customHeight="1">
      <c r="A21" s="9" t="s">
        <v>24</v>
      </c>
      <c r="B21" s="13"/>
      <c r="C21" s="9">
        <f>October!C21+B21</f>
        <v>73185</v>
      </c>
      <c r="D21" s="15"/>
      <c r="E21" s="9">
        <f>October!E21+D21</f>
        <v>86</v>
      </c>
      <c r="F21" s="17"/>
      <c r="G21" s="9">
        <f>October!G21+F21</f>
        <v>110</v>
      </c>
      <c r="H21" s="19"/>
      <c r="I21" s="9">
        <f>October!I21+H21</f>
        <v>0</v>
      </c>
    </row>
    <row r="22" spans="1:9" s="5" customFormat="1" ht="18" customHeight="1">
      <c r="A22" s="9" t="s">
        <v>25</v>
      </c>
      <c r="B22" s="13"/>
      <c r="C22" s="9">
        <f>October!C22+B22</f>
        <v>0</v>
      </c>
      <c r="D22" s="15"/>
      <c r="E22" s="9">
        <f>October!E22+D22</f>
        <v>0</v>
      </c>
      <c r="F22" s="17"/>
      <c r="G22" s="9">
        <f>October!G22+F22</f>
        <v>0</v>
      </c>
      <c r="H22" s="19"/>
      <c r="I22" s="9">
        <f>October!I22+H22</f>
        <v>0</v>
      </c>
    </row>
    <row r="23" spans="1:9" s="5" customFormat="1" ht="18" customHeight="1">
      <c r="A23" s="9" t="s">
        <v>26</v>
      </c>
      <c r="B23" s="13"/>
      <c r="C23" s="9">
        <f>October!C23+B23</f>
        <v>0</v>
      </c>
      <c r="D23" s="15"/>
      <c r="E23" s="9">
        <f>October!E23+D23</f>
        <v>0</v>
      </c>
      <c r="F23" s="17"/>
      <c r="G23" s="9">
        <f>October!G23+F23</f>
        <v>0</v>
      </c>
      <c r="H23" s="19"/>
      <c r="I23" s="9">
        <f>October!I23+H23</f>
        <v>0</v>
      </c>
    </row>
    <row r="24" spans="1:9" s="5" customFormat="1" ht="18" customHeight="1">
      <c r="A24" s="9" t="s">
        <v>27</v>
      </c>
      <c r="B24" s="13"/>
      <c r="C24" s="9">
        <f>October!C24+B24</f>
        <v>0</v>
      </c>
      <c r="D24" s="15"/>
      <c r="E24" s="9">
        <f>October!E24+D24</f>
        <v>2</v>
      </c>
      <c r="F24" s="17"/>
      <c r="G24" s="9">
        <f>October!G24+F24</f>
        <v>17</v>
      </c>
      <c r="H24" s="19"/>
      <c r="I24" s="9">
        <f>October!I24+H24</f>
        <v>0</v>
      </c>
    </row>
    <row r="25" spans="1:9" s="5" customFormat="1" ht="18" customHeight="1">
      <c r="A25" s="9" t="s">
        <v>28</v>
      </c>
      <c r="B25" s="13"/>
      <c r="C25" s="9">
        <f>October!C25+B25</f>
        <v>0</v>
      </c>
      <c r="D25" s="15"/>
      <c r="E25" s="9">
        <f>October!E25+D25</f>
        <v>0</v>
      </c>
      <c r="F25" s="17"/>
      <c r="G25" s="9">
        <f>October!G25+F25</f>
        <v>0</v>
      </c>
      <c r="H25" s="19"/>
      <c r="I25" s="9">
        <f>October!I25+H25</f>
        <v>0</v>
      </c>
    </row>
    <row r="26" spans="1:9" s="5" customFormat="1" ht="18" customHeight="1">
      <c r="A26" s="9" t="s">
        <v>29</v>
      </c>
      <c r="B26" s="13"/>
      <c r="C26" s="9">
        <f>October!C26+B26</f>
        <v>4343</v>
      </c>
      <c r="D26" s="15"/>
      <c r="E26" s="9">
        <f>October!E26+D26</f>
        <v>5</v>
      </c>
      <c r="F26" s="17"/>
      <c r="G26" s="9">
        <f>October!G26+F26</f>
        <v>36</v>
      </c>
      <c r="H26" s="19"/>
      <c r="I26" s="9">
        <f>October!I26+H26</f>
        <v>0</v>
      </c>
    </row>
    <row r="27" spans="1:9" s="5" customFormat="1" ht="18" customHeight="1">
      <c r="A27" s="9" t="s">
        <v>30</v>
      </c>
      <c r="B27" s="13"/>
      <c r="C27" s="9">
        <f>October!C27+B27</f>
        <v>27239</v>
      </c>
      <c r="D27" s="15"/>
      <c r="E27" s="9">
        <f>October!E27+D27</f>
        <v>1447</v>
      </c>
      <c r="F27" s="17"/>
      <c r="G27" s="9">
        <f>October!G27+F27</f>
        <v>15033</v>
      </c>
      <c r="H27" s="19"/>
      <c r="I27" s="9">
        <f>October!I27+H27</f>
        <v>0</v>
      </c>
    </row>
    <row r="28" spans="1:9" s="5" customFormat="1" ht="18" customHeight="1">
      <c r="A28" s="9" t="s">
        <v>31</v>
      </c>
      <c r="B28" s="13"/>
      <c r="C28" s="9">
        <f>October!C28+B28</f>
        <v>3240</v>
      </c>
      <c r="D28" s="15"/>
      <c r="E28" s="9">
        <f>October!E28+D28</f>
        <v>142</v>
      </c>
      <c r="F28" s="17"/>
      <c r="G28" s="9">
        <f>October!G28+F28</f>
        <v>0</v>
      </c>
      <c r="H28" s="19"/>
      <c r="I28" s="9">
        <f>October!I28+H28</f>
        <v>0</v>
      </c>
    </row>
    <row r="29" spans="1:9" s="5" customFormat="1" ht="18" customHeight="1">
      <c r="A29" s="9" t="s">
        <v>32</v>
      </c>
      <c r="B29" s="13"/>
      <c r="C29" s="9">
        <f>October!C29+B29</f>
        <v>93348</v>
      </c>
      <c r="D29" s="15"/>
      <c r="E29" s="9">
        <f>October!E29+D29</f>
        <v>4843</v>
      </c>
      <c r="F29" s="17"/>
      <c r="G29" s="9">
        <f>October!G29+F29</f>
        <v>737</v>
      </c>
      <c r="H29" s="19"/>
      <c r="I29" s="9">
        <f>October!I29+H29</f>
        <v>277</v>
      </c>
    </row>
    <row r="30" spans="1:9" s="5" customFormat="1" ht="18" customHeight="1">
      <c r="A30" s="9" t="s">
        <v>33</v>
      </c>
      <c r="B30" s="13"/>
      <c r="C30" s="9">
        <f>October!C30+B30</f>
        <v>18752</v>
      </c>
      <c r="D30" s="15"/>
      <c r="E30" s="9">
        <f>October!E30+D30</f>
        <v>3984</v>
      </c>
      <c r="F30" s="17"/>
      <c r="G30" s="9">
        <f>October!G30+F30</f>
        <v>0</v>
      </c>
      <c r="H30" s="19"/>
      <c r="I30" s="9">
        <f>October!I30+H30</f>
        <v>0</v>
      </c>
    </row>
    <row r="31" spans="1:9" s="5" customFormat="1" ht="18" customHeight="1">
      <c r="A31" s="9" t="s">
        <v>34</v>
      </c>
      <c r="B31" s="13"/>
      <c r="C31" s="9">
        <f>October!C31+B31</f>
        <v>24493</v>
      </c>
      <c r="D31" s="15"/>
      <c r="E31" s="9">
        <f>October!E31+D31</f>
        <v>5468</v>
      </c>
      <c r="F31" s="17"/>
      <c r="G31" s="9">
        <f>October!G31+F31</f>
        <v>1800</v>
      </c>
      <c r="H31" s="19"/>
      <c r="I31" s="9">
        <f>October!I31+H31</f>
        <v>30</v>
      </c>
    </row>
    <row r="32" spans="1:9" s="5" customFormat="1" ht="18" customHeight="1">
      <c r="A32" s="9" t="s">
        <v>35</v>
      </c>
      <c r="B32" s="13"/>
      <c r="C32" s="9">
        <f>October!C32+B32</f>
        <v>0</v>
      </c>
      <c r="D32" s="15"/>
      <c r="E32" s="9">
        <f>October!E32+D32</f>
        <v>0</v>
      </c>
      <c r="F32" s="17"/>
      <c r="G32" s="9">
        <f>October!G32+F32</f>
        <v>0</v>
      </c>
      <c r="H32" s="19"/>
      <c r="I32" s="9">
        <f>October!I32+H32</f>
        <v>0</v>
      </c>
    </row>
    <row r="33" spans="1:9" s="5" customFormat="1" ht="18" customHeight="1">
      <c r="A33" s="9" t="s">
        <v>36</v>
      </c>
      <c r="B33" s="13"/>
      <c r="C33" s="9">
        <f>October!C33+B33</f>
        <v>0</v>
      </c>
      <c r="D33" s="15"/>
      <c r="E33" s="9">
        <f>October!E33+D33</f>
        <v>0</v>
      </c>
      <c r="F33" s="17"/>
      <c r="G33" s="9">
        <f>October!G33+F33</f>
        <v>0</v>
      </c>
      <c r="H33" s="19"/>
      <c r="I33" s="9">
        <f>October!I33+H33</f>
        <v>0</v>
      </c>
    </row>
    <row r="34" spans="1:9" s="5" customFormat="1" ht="18" customHeight="1">
      <c r="A34" s="9" t="s">
        <v>37</v>
      </c>
      <c r="B34" s="13"/>
      <c r="C34" s="9">
        <f>October!C34+B34</f>
        <v>0</v>
      </c>
      <c r="D34" s="15"/>
      <c r="E34" s="9">
        <f>October!E34+D34</f>
        <v>0</v>
      </c>
      <c r="F34" s="17"/>
      <c r="G34" s="9">
        <f>October!G34+F34</f>
        <v>0</v>
      </c>
      <c r="H34" s="19"/>
      <c r="I34" s="9">
        <f>October!I34+H34</f>
        <v>0</v>
      </c>
    </row>
    <row r="35" spans="1:9" s="5" customFormat="1" ht="18" customHeight="1">
      <c r="A35" s="9" t="s">
        <v>38</v>
      </c>
      <c r="B35" s="13"/>
      <c r="C35" s="9">
        <f>October!C35+B35</f>
        <v>326</v>
      </c>
      <c r="D35" s="15"/>
      <c r="E35" s="9">
        <f>October!E35+D35</f>
        <v>0</v>
      </c>
      <c r="F35" s="17"/>
      <c r="G35" s="9">
        <f>October!G35+F35</f>
        <v>415</v>
      </c>
      <c r="H35" s="19"/>
      <c r="I35" s="9">
        <f>October!I35+H35</f>
        <v>0</v>
      </c>
    </row>
    <row r="36" spans="1:9" s="5" customFormat="1" ht="18" customHeight="1">
      <c r="A36" s="9" t="s">
        <v>39</v>
      </c>
      <c r="B36" s="13"/>
      <c r="C36" s="9">
        <f>October!C36+B36</f>
        <v>0</v>
      </c>
      <c r="D36" s="15"/>
      <c r="E36" s="9">
        <f>October!E36+D36</f>
        <v>5</v>
      </c>
      <c r="F36" s="17"/>
      <c r="G36" s="9">
        <f>October!G36+F36</f>
        <v>267</v>
      </c>
      <c r="H36" s="19"/>
      <c r="I36" s="9">
        <f>October!I36+H36</f>
        <v>0</v>
      </c>
    </row>
    <row r="37" spans="1:9" s="5" customFormat="1" ht="18" customHeight="1">
      <c r="A37" s="9" t="s">
        <v>40</v>
      </c>
      <c r="B37" s="13"/>
      <c r="C37" s="9">
        <f>October!C37+B37</f>
        <v>376</v>
      </c>
      <c r="D37" s="15"/>
      <c r="E37" s="9">
        <f>October!E37+D37</f>
        <v>16</v>
      </c>
      <c r="F37" s="17"/>
      <c r="G37" s="9">
        <f>October!G37+F37</f>
        <v>11</v>
      </c>
      <c r="H37" s="19"/>
      <c r="I37" s="9">
        <f>October!I37+H37</f>
        <v>0</v>
      </c>
    </row>
    <row r="38" spans="1:9" s="5" customFormat="1" ht="18" customHeight="1">
      <c r="A38" s="9" t="s">
        <v>41</v>
      </c>
      <c r="B38" s="13"/>
      <c r="C38" s="9">
        <f>October!C38+B38</f>
        <v>36394</v>
      </c>
      <c r="D38" s="15"/>
      <c r="E38" s="9">
        <f>October!E38+D38</f>
        <v>731</v>
      </c>
      <c r="F38" s="17"/>
      <c r="G38" s="9">
        <f>October!G38+F38</f>
        <v>122</v>
      </c>
      <c r="H38" s="19"/>
      <c r="I38" s="9">
        <f>October!I38+H38</f>
        <v>0</v>
      </c>
    </row>
    <row r="39" spans="1:9" s="5" customFormat="1" ht="18" customHeight="1">
      <c r="A39" s="9" t="s">
        <v>42</v>
      </c>
      <c r="B39" s="13"/>
      <c r="C39" s="9">
        <f>October!C39+B39</f>
        <v>2432</v>
      </c>
      <c r="D39" s="15"/>
      <c r="E39" s="9">
        <f>October!E39+D39</f>
        <v>38</v>
      </c>
      <c r="F39" s="17"/>
      <c r="G39" s="9">
        <f>October!G39+F39</f>
        <v>1862</v>
      </c>
      <c r="H39" s="19"/>
      <c r="I39" s="9">
        <f>October!I39+H39</f>
        <v>0</v>
      </c>
    </row>
    <row r="40" spans="1:9" s="5" customFormat="1" ht="18" customHeight="1">
      <c r="A40" s="9" t="s">
        <v>43</v>
      </c>
      <c r="B40" s="13"/>
      <c r="C40" s="9">
        <f>October!C40+B40</f>
        <v>3606</v>
      </c>
      <c r="D40" s="15"/>
      <c r="E40" s="9">
        <f>October!E40+D40</f>
        <v>192</v>
      </c>
      <c r="F40" s="17"/>
      <c r="G40" s="9">
        <f>October!G40+F40</f>
        <v>9</v>
      </c>
      <c r="H40" s="19"/>
      <c r="I40" s="9">
        <f>October!I40+H40</f>
        <v>0</v>
      </c>
    </row>
    <row r="41" spans="1:9" s="5" customFormat="1" ht="18" customHeight="1">
      <c r="A41" s="9" t="s">
        <v>44</v>
      </c>
      <c r="B41" s="13"/>
      <c r="C41" s="9">
        <f>October!C41+B41</f>
        <v>763</v>
      </c>
      <c r="D41" s="15"/>
      <c r="E41" s="9">
        <f>October!E41+D41</f>
        <v>85</v>
      </c>
      <c r="F41" s="17"/>
      <c r="G41" s="9">
        <f>October!G41+F41</f>
        <v>68</v>
      </c>
      <c r="H41" s="19"/>
      <c r="I41" s="9">
        <f>October!I41+H41</f>
        <v>0</v>
      </c>
    </row>
    <row r="42" spans="1:9" s="5" customFormat="1" ht="18" customHeight="1">
      <c r="A42" s="9" t="s">
        <v>45</v>
      </c>
      <c r="B42" s="13"/>
      <c r="C42" s="9">
        <f>October!C42+B42</f>
        <v>807</v>
      </c>
      <c r="D42" s="15"/>
      <c r="E42" s="9">
        <f>October!E42+D42</f>
        <v>242</v>
      </c>
      <c r="F42" s="17"/>
      <c r="G42" s="9">
        <f>October!G42+F42</f>
        <v>1060</v>
      </c>
      <c r="H42" s="19"/>
      <c r="I42" s="9">
        <f>October!I42+H42</f>
        <v>0</v>
      </c>
    </row>
    <row r="43" spans="1:9" s="5" customFormat="1" ht="18" customHeight="1">
      <c r="A43" s="9" t="s">
        <v>46</v>
      </c>
      <c r="B43" s="13"/>
      <c r="C43" s="9">
        <f>October!C43+B43</f>
        <v>0</v>
      </c>
      <c r="D43" s="15"/>
      <c r="E43" s="9">
        <f>October!E43+D43</f>
        <v>0</v>
      </c>
      <c r="F43" s="17"/>
      <c r="G43" s="9">
        <f>October!G43+F43</f>
        <v>0</v>
      </c>
      <c r="H43" s="19"/>
      <c r="I43" s="9">
        <f>October!I43+H43</f>
        <v>0</v>
      </c>
    </row>
    <row r="44" spans="1:9" s="5" customFormat="1" ht="18" customHeight="1">
      <c r="A44" s="9" t="s">
        <v>47</v>
      </c>
      <c r="B44" s="13"/>
      <c r="C44" s="9">
        <f>October!C44+B44</f>
        <v>5225</v>
      </c>
      <c r="D44" s="15"/>
      <c r="E44" s="9">
        <f>October!E44+D44</f>
        <v>0</v>
      </c>
      <c r="F44" s="17"/>
      <c r="G44" s="9">
        <f>October!G44+F44</f>
        <v>0</v>
      </c>
      <c r="H44" s="19"/>
      <c r="I44" s="9">
        <f>October!I44+H44</f>
        <v>0</v>
      </c>
    </row>
    <row r="45" spans="1:9" s="5" customFormat="1" ht="18" customHeight="1">
      <c r="A45" s="9" t="s">
        <v>48</v>
      </c>
      <c r="B45" s="13"/>
      <c r="C45" s="9">
        <f>October!C45+B45</f>
        <v>146377</v>
      </c>
      <c r="D45" s="15"/>
      <c r="E45" s="9">
        <f>October!E45+D45</f>
        <v>9806</v>
      </c>
      <c r="F45" s="17"/>
      <c r="G45" s="9">
        <f>October!G45+F45</f>
        <v>281</v>
      </c>
      <c r="H45" s="19"/>
      <c r="I45" s="9">
        <f>October!I45+H45</f>
        <v>0</v>
      </c>
    </row>
    <row r="46" spans="1:9" s="5" customFormat="1" ht="18" customHeight="1">
      <c r="A46" s="9" t="s">
        <v>49</v>
      </c>
      <c r="B46" s="13"/>
      <c r="C46" s="9">
        <f>October!C46+B46</f>
        <v>8207</v>
      </c>
      <c r="D46" s="15"/>
      <c r="E46" s="9">
        <f>October!E46+D46</f>
        <v>267</v>
      </c>
      <c r="F46" s="17"/>
      <c r="G46" s="9">
        <f>October!G46+F46</f>
        <v>81</v>
      </c>
      <c r="H46" s="19"/>
      <c r="I46" s="9">
        <f>October!I46+H46</f>
        <v>0</v>
      </c>
    </row>
    <row r="47" spans="1:9" s="5" customFormat="1" ht="18" customHeight="1">
      <c r="A47" s="9" t="s">
        <v>50</v>
      </c>
      <c r="B47" s="13"/>
      <c r="C47" s="9">
        <f>October!C47+B47</f>
        <v>7720</v>
      </c>
      <c r="D47" s="15"/>
      <c r="E47" s="9">
        <f>October!E47+D47</f>
        <v>850</v>
      </c>
      <c r="F47" s="17"/>
      <c r="G47" s="9">
        <f>October!G47+F47</f>
        <v>552</v>
      </c>
      <c r="H47" s="19"/>
      <c r="I47" s="9">
        <f>October!I47+H47</f>
        <v>0</v>
      </c>
    </row>
    <row r="48" spans="1:9" s="5" customFormat="1" ht="18" customHeight="1">
      <c r="A48" s="9" t="s">
        <v>51</v>
      </c>
      <c r="B48" s="13"/>
      <c r="C48" s="9">
        <f>October!C48+B48</f>
        <v>4</v>
      </c>
      <c r="D48" s="15"/>
      <c r="E48" s="9">
        <f>October!E48+D48</f>
        <v>6</v>
      </c>
      <c r="F48" s="17"/>
      <c r="G48" s="9">
        <f>October!G48+F48</f>
        <v>238</v>
      </c>
      <c r="H48" s="19"/>
      <c r="I48" s="9">
        <f>October!I48+H48</f>
        <v>0</v>
      </c>
    </row>
    <row r="49" spans="1:9" s="5" customFormat="1" ht="18" customHeight="1">
      <c r="A49" s="9" t="s">
        <v>52</v>
      </c>
      <c r="B49" s="13"/>
      <c r="C49" s="9">
        <f>October!C49+B49</f>
        <v>0</v>
      </c>
      <c r="D49" s="15"/>
      <c r="E49" s="9">
        <f>October!E49+D49</f>
        <v>0</v>
      </c>
      <c r="F49" s="17"/>
      <c r="G49" s="9">
        <f>October!G49+F49</f>
        <v>123</v>
      </c>
      <c r="H49" s="19"/>
      <c r="I49" s="9">
        <f>October!I49+H49</f>
        <v>0</v>
      </c>
    </row>
    <row r="50" spans="1:9" s="5" customFormat="1" ht="18" customHeight="1">
      <c r="A50" s="9" t="s">
        <v>53</v>
      </c>
      <c r="B50" s="13"/>
      <c r="C50" s="9">
        <f>October!C50+B50</f>
        <v>6798</v>
      </c>
      <c r="D50" s="15"/>
      <c r="E50" s="9">
        <f>October!E50+D50</f>
        <v>62</v>
      </c>
      <c r="F50" s="17"/>
      <c r="G50" s="9">
        <f>October!G50+F50</f>
        <v>0</v>
      </c>
      <c r="H50" s="19"/>
      <c r="I50" s="9">
        <f>October!I50+H50</f>
        <v>0</v>
      </c>
    </row>
    <row r="51" spans="1:9" s="5" customFormat="1" ht="18" customHeight="1">
      <c r="A51" s="9" t="s">
        <v>54</v>
      </c>
      <c r="B51" s="13"/>
      <c r="C51" s="9">
        <f>October!C51+B51</f>
        <v>1928</v>
      </c>
      <c r="D51" s="15"/>
      <c r="E51" s="9">
        <f>October!E51+D51</f>
        <v>17</v>
      </c>
      <c r="F51" s="17"/>
      <c r="G51" s="9">
        <f>October!G51+F51</f>
        <v>338</v>
      </c>
      <c r="H51" s="19"/>
      <c r="I51" s="9">
        <f>October!I51+H51</f>
        <v>0</v>
      </c>
    </row>
    <row r="52" spans="1:9" s="5" customFormat="1" ht="18" customHeight="1">
      <c r="A52" s="9" t="s">
        <v>55</v>
      </c>
      <c r="B52" s="13"/>
      <c r="C52" s="9">
        <f>October!C52+B52</f>
        <v>3868</v>
      </c>
      <c r="D52" s="15"/>
      <c r="E52" s="9">
        <f>October!E52+D52</f>
        <v>63</v>
      </c>
      <c r="F52" s="17"/>
      <c r="G52" s="9">
        <f>October!G52+F52</f>
        <v>0</v>
      </c>
      <c r="H52" s="19"/>
      <c r="I52" s="9">
        <f>October!I52+H52</f>
        <v>0</v>
      </c>
    </row>
    <row r="53" spans="1:9" s="5" customFormat="1" ht="18" customHeight="1">
      <c r="A53" s="9" t="s">
        <v>56</v>
      </c>
      <c r="B53" s="13"/>
      <c r="C53" s="9">
        <f>October!C53+B53</f>
        <v>22336</v>
      </c>
      <c r="D53" s="15"/>
      <c r="E53" s="9">
        <f>October!E53+D53</f>
        <v>1134</v>
      </c>
      <c r="F53" s="17"/>
      <c r="G53" s="9">
        <f>October!G53+F53</f>
        <v>6852</v>
      </c>
      <c r="H53" s="19"/>
      <c r="I53" s="9">
        <f>October!I53+H53</f>
        <v>0</v>
      </c>
    </row>
    <row r="54" spans="1:9" s="5" customFormat="1" ht="18" customHeight="1" thickBot="1">
      <c r="A54" s="10" t="s">
        <v>57</v>
      </c>
      <c r="B54" s="13"/>
      <c r="C54" s="9">
        <f>October!C54+B54</f>
        <v>5855</v>
      </c>
      <c r="D54" s="16"/>
      <c r="E54" s="9">
        <f>October!E54+D54</f>
        <v>1475</v>
      </c>
      <c r="F54" s="17"/>
      <c r="G54" s="9">
        <f>October!G54+F54</f>
        <v>0</v>
      </c>
      <c r="H54" s="19"/>
      <c r="I54" s="9">
        <f>October!I54+H54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October!C57+B55</f>
        <v>536995</v>
      </c>
      <c r="D57" s="11"/>
      <c r="E57" s="11">
        <f>October!E57+D55</f>
        <v>36468</v>
      </c>
      <c r="F57" s="11"/>
      <c r="G57" s="11">
        <f>October!G57+F55</f>
        <v>37674</v>
      </c>
      <c r="H57" s="11"/>
      <c r="I57" s="11">
        <f>October!I57+H55</f>
        <v>451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October!E62+D60</f>
        <v>2482</v>
      </c>
      <c r="G62" s="4">
        <f>October!G62+F60</f>
        <v>13410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G1">
      <selection activeCell="G1" sqref="G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74</v>
      </c>
      <c r="H1" s="2" t="s">
        <v>75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November!C5+B5</f>
        <v>742</v>
      </c>
      <c r="D5" s="15"/>
      <c r="E5" s="9">
        <f>November!E5+D5</f>
        <v>1147</v>
      </c>
      <c r="F5" s="17"/>
      <c r="G5" s="9">
        <f>November!G5+F5</f>
        <v>116</v>
      </c>
      <c r="H5" s="19"/>
      <c r="I5" s="9">
        <f>November!I5+H5</f>
        <v>0</v>
      </c>
    </row>
    <row r="6" spans="1:9" s="5" customFormat="1" ht="18" customHeight="1">
      <c r="A6" s="9" t="s">
        <v>9</v>
      </c>
      <c r="B6" s="13"/>
      <c r="C6" s="9">
        <f>November!C6+B6</f>
        <v>0</v>
      </c>
      <c r="D6" s="15"/>
      <c r="E6" s="9">
        <f>November!E6+D6</f>
        <v>0</v>
      </c>
      <c r="F6" s="17"/>
      <c r="G6" s="9">
        <f>November!G6+F6</f>
        <v>0</v>
      </c>
      <c r="H6" s="19"/>
      <c r="I6" s="9">
        <f>November!I6+H6</f>
        <v>0</v>
      </c>
    </row>
    <row r="7" spans="1:9" s="5" customFormat="1" ht="18" customHeight="1">
      <c r="A7" s="9" t="s">
        <v>10</v>
      </c>
      <c r="B7" s="13"/>
      <c r="C7" s="9">
        <f>November!C7+B7</f>
        <v>198</v>
      </c>
      <c r="D7" s="15"/>
      <c r="E7" s="9">
        <f>November!E7+D7</f>
        <v>0</v>
      </c>
      <c r="F7" s="17"/>
      <c r="G7" s="9"/>
      <c r="H7" s="19"/>
      <c r="I7" s="9">
        <f>November!I7+H7</f>
        <v>0</v>
      </c>
    </row>
    <row r="8" spans="1:9" s="5" customFormat="1" ht="18" customHeight="1">
      <c r="A8" s="9" t="s">
        <v>11</v>
      </c>
      <c r="B8" s="13"/>
      <c r="C8" s="9">
        <f>November!C8+B8</f>
        <v>5939</v>
      </c>
      <c r="D8" s="15"/>
      <c r="E8" s="9">
        <f>November!E8+D8</f>
        <v>17</v>
      </c>
      <c r="F8" s="17"/>
      <c r="G8" s="9">
        <f>November!G8+F8</f>
        <v>10</v>
      </c>
      <c r="H8" s="19"/>
      <c r="I8" s="9">
        <f>November!I8+H8</f>
        <v>0</v>
      </c>
    </row>
    <row r="9" spans="1:9" s="5" customFormat="1" ht="18" customHeight="1">
      <c r="A9" s="9" t="s">
        <v>12</v>
      </c>
      <c r="B9" s="13"/>
      <c r="C9" s="9">
        <f>November!C9+B9</f>
        <v>617</v>
      </c>
      <c r="D9" s="15"/>
      <c r="E9" s="9">
        <f>November!E9+D9</f>
        <v>270</v>
      </c>
      <c r="F9" s="17"/>
      <c r="G9" s="9">
        <f>November!G9+F9</f>
        <v>1108</v>
      </c>
      <c r="H9" s="19"/>
      <c r="I9" s="9">
        <f>November!I9+H9</f>
        <v>144</v>
      </c>
    </row>
    <row r="10" spans="1:9" s="5" customFormat="1" ht="18" customHeight="1">
      <c r="A10" s="9" t="s">
        <v>13</v>
      </c>
      <c r="B10" s="13"/>
      <c r="C10" s="9">
        <f>November!C10+B10</f>
        <v>385</v>
      </c>
      <c r="D10" s="15"/>
      <c r="E10" s="9">
        <f>November!E10+D10</f>
        <v>149</v>
      </c>
      <c r="F10" s="17"/>
      <c r="G10" s="9">
        <f>November!G10+F10</f>
        <v>600</v>
      </c>
      <c r="H10" s="19"/>
      <c r="I10" s="9">
        <f>November!I10+H10</f>
        <v>0</v>
      </c>
    </row>
    <row r="11" spans="1:9" s="5" customFormat="1" ht="18" customHeight="1">
      <c r="A11" s="9" t="s">
        <v>14</v>
      </c>
      <c r="B11" s="13"/>
      <c r="C11" s="9">
        <f>November!C11+B11</f>
        <v>1554</v>
      </c>
      <c r="D11" s="15"/>
      <c r="E11" s="9">
        <f>November!E11+D11</f>
        <v>573</v>
      </c>
      <c r="F11" s="17"/>
      <c r="G11" s="9">
        <f>November!G11+F11</f>
        <v>783</v>
      </c>
      <c r="H11" s="19"/>
      <c r="I11" s="9">
        <f>November!I11+H11</f>
        <v>0</v>
      </c>
    </row>
    <row r="12" spans="1:9" s="5" customFormat="1" ht="18" customHeight="1">
      <c r="A12" s="9" t="s">
        <v>15</v>
      </c>
      <c r="B12" s="13"/>
      <c r="C12" s="9">
        <f>November!C12+B12</f>
        <v>0</v>
      </c>
      <c r="D12" s="15"/>
      <c r="E12" s="9">
        <f>November!E12+D12</f>
        <v>0</v>
      </c>
      <c r="F12" s="17"/>
      <c r="G12" s="9">
        <f>November!G12+F12</f>
        <v>0</v>
      </c>
      <c r="H12" s="19"/>
      <c r="I12" s="9">
        <f>November!I12+H12</f>
        <v>0</v>
      </c>
    </row>
    <row r="13" spans="1:9" s="5" customFormat="1" ht="18" customHeight="1">
      <c r="A13" s="9" t="s">
        <v>16</v>
      </c>
      <c r="B13" s="13"/>
      <c r="C13" s="9">
        <f>November!C13+B13</f>
        <v>0</v>
      </c>
      <c r="D13" s="15"/>
      <c r="E13" s="9">
        <f>November!E13+D13</f>
        <v>0</v>
      </c>
      <c r="F13" s="17"/>
      <c r="G13" s="9">
        <f>November!G13+F13</f>
        <v>0</v>
      </c>
      <c r="H13" s="19"/>
      <c r="I13" s="9">
        <f>November!I13+H13</f>
        <v>0</v>
      </c>
    </row>
    <row r="14" spans="1:9" s="5" customFormat="1" ht="18" customHeight="1">
      <c r="A14" s="9" t="s">
        <v>17</v>
      </c>
      <c r="B14" s="13"/>
      <c r="C14" s="9">
        <f>November!C14+B14</f>
        <v>772</v>
      </c>
      <c r="D14" s="15"/>
      <c r="E14" s="9">
        <f>November!E14+D14</f>
        <v>3</v>
      </c>
      <c r="F14" s="17"/>
      <c r="G14" s="9">
        <f>November!G14+F14</f>
        <v>0</v>
      </c>
      <c r="H14" s="19"/>
      <c r="I14" s="9">
        <f>November!I14+H14</f>
        <v>0</v>
      </c>
    </row>
    <row r="15" spans="1:9" s="5" customFormat="1" ht="18" customHeight="1">
      <c r="A15" s="9" t="s">
        <v>18</v>
      </c>
      <c r="B15" s="13"/>
      <c r="C15" s="9">
        <f>November!C15+B15</f>
        <v>2190</v>
      </c>
      <c r="D15" s="15"/>
      <c r="E15" s="9">
        <f>November!E15+D15</f>
        <v>128</v>
      </c>
      <c r="F15" s="17"/>
      <c r="G15" s="9">
        <f>November!G15+F15</f>
        <v>0</v>
      </c>
      <c r="H15" s="19"/>
      <c r="I15" s="9">
        <f>November!I15+H15</f>
        <v>0</v>
      </c>
    </row>
    <row r="16" spans="1:9" s="5" customFormat="1" ht="18" customHeight="1">
      <c r="A16" s="9" t="s">
        <v>19</v>
      </c>
      <c r="B16" s="13"/>
      <c r="C16" s="9">
        <f>November!C16+B16</f>
        <v>0</v>
      </c>
      <c r="D16" s="15"/>
      <c r="E16" s="9">
        <f>November!E16+D16</f>
        <v>0</v>
      </c>
      <c r="F16" s="17"/>
      <c r="G16" s="9">
        <f>November!G16+F16</f>
        <v>0</v>
      </c>
      <c r="H16" s="19"/>
      <c r="I16" s="9">
        <f>November!I16+H16</f>
        <v>0</v>
      </c>
    </row>
    <row r="17" spans="1:9" s="5" customFormat="1" ht="18" customHeight="1">
      <c r="A17" s="9" t="s">
        <v>20</v>
      </c>
      <c r="B17" s="13"/>
      <c r="C17" s="9">
        <f>November!C17+B17</f>
        <v>3932</v>
      </c>
      <c r="D17" s="15"/>
      <c r="E17" s="9">
        <f>November!E17+D17</f>
        <v>863</v>
      </c>
      <c r="F17" s="17"/>
      <c r="G17" s="9">
        <f>November!G17+F17</f>
        <v>32</v>
      </c>
      <c r="H17" s="19"/>
      <c r="I17" s="9">
        <f>November!I17+H17</f>
        <v>0</v>
      </c>
    </row>
    <row r="18" spans="1:9" s="5" customFormat="1" ht="18" customHeight="1">
      <c r="A18" s="9" t="s">
        <v>21</v>
      </c>
      <c r="B18" s="13"/>
      <c r="C18" s="9">
        <f>November!C18+B18</f>
        <v>3031</v>
      </c>
      <c r="D18" s="15"/>
      <c r="E18" s="9">
        <f>November!E18+D18</f>
        <v>369</v>
      </c>
      <c r="F18" s="17"/>
      <c r="G18" s="9">
        <f>November!G18+F18</f>
        <v>759</v>
      </c>
      <c r="H18" s="19"/>
      <c r="I18" s="9">
        <f>November!I18+H18</f>
        <v>0</v>
      </c>
    </row>
    <row r="19" spans="1:9" s="5" customFormat="1" ht="18" customHeight="1">
      <c r="A19" s="9" t="s">
        <v>22</v>
      </c>
      <c r="B19" s="13"/>
      <c r="C19" s="9">
        <f>November!C19+B19</f>
        <v>5062</v>
      </c>
      <c r="D19" s="15"/>
      <c r="E19" s="9">
        <f>November!E19+D19</f>
        <v>354</v>
      </c>
      <c r="F19" s="17"/>
      <c r="G19" s="9">
        <f>November!G19+F19</f>
        <v>3360</v>
      </c>
      <c r="H19" s="19"/>
      <c r="I19" s="9">
        <f>November!I19+H19</f>
        <v>0</v>
      </c>
    </row>
    <row r="20" spans="1:9" s="5" customFormat="1" ht="18" customHeight="1">
      <c r="A20" s="9" t="s">
        <v>23</v>
      </c>
      <c r="B20" s="13"/>
      <c r="C20" s="9">
        <f>November!C20+B20</f>
        <v>14951</v>
      </c>
      <c r="D20" s="15"/>
      <c r="E20" s="9">
        <f>November!E20+D20</f>
        <v>1629</v>
      </c>
      <c r="F20" s="17"/>
      <c r="G20" s="9">
        <f>November!G20+F20</f>
        <v>738</v>
      </c>
      <c r="H20" s="19"/>
      <c r="I20" s="9">
        <f>November!I20+H20</f>
        <v>0</v>
      </c>
    </row>
    <row r="21" spans="1:9" s="5" customFormat="1" ht="18" customHeight="1">
      <c r="A21" s="9" t="s">
        <v>24</v>
      </c>
      <c r="B21" s="13"/>
      <c r="C21" s="9">
        <f>November!C21+B21</f>
        <v>73185</v>
      </c>
      <c r="D21" s="15"/>
      <c r="E21" s="9">
        <f>November!E21+D21</f>
        <v>86</v>
      </c>
      <c r="F21" s="17"/>
      <c r="G21" s="9">
        <f>November!G21+F21</f>
        <v>110</v>
      </c>
      <c r="H21" s="19"/>
      <c r="I21" s="9">
        <f>November!I21+H21</f>
        <v>0</v>
      </c>
    </row>
    <row r="22" spans="1:9" s="5" customFormat="1" ht="18" customHeight="1">
      <c r="A22" s="9" t="s">
        <v>25</v>
      </c>
      <c r="B22" s="13"/>
      <c r="C22" s="9">
        <f>November!C22+B22</f>
        <v>0</v>
      </c>
      <c r="D22" s="15"/>
      <c r="E22" s="9">
        <f>November!E22+D22</f>
        <v>0</v>
      </c>
      <c r="F22" s="17"/>
      <c r="G22" s="9">
        <f>November!G22+F22</f>
        <v>0</v>
      </c>
      <c r="H22" s="19"/>
      <c r="I22" s="9">
        <f>November!I22+H22</f>
        <v>0</v>
      </c>
    </row>
    <row r="23" spans="1:9" s="5" customFormat="1" ht="18" customHeight="1">
      <c r="A23" s="9" t="s">
        <v>26</v>
      </c>
      <c r="B23" s="13"/>
      <c r="C23" s="9">
        <f>November!C23+B23</f>
        <v>0</v>
      </c>
      <c r="D23" s="15"/>
      <c r="E23" s="9">
        <f>November!E23+D23</f>
        <v>0</v>
      </c>
      <c r="F23" s="17"/>
      <c r="G23" s="9">
        <f>November!G23+F23</f>
        <v>0</v>
      </c>
      <c r="H23" s="19"/>
      <c r="I23" s="9">
        <f>November!I23+H23</f>
        <v>0</v>
      </c>
    </row>
    <row r="24" spans="1:9" s="5" customFormat="1" ht="18" customHeight="1">
      <c r="A24" s="9" t="s">
        <v>27</v>
      </c>
      <c r="B24" s="13"/>
      <c r="C24" s="9">
        <f>November!C24+B24</f>
        <v>0</v>
      </c>
      <c r="D24" s="15"/>
      <c r="E24" s="9">
        <f>November!E24+D24</f>
        <v>2</v>
      </c>
      <c r="F24" s="17"/>
      <c r="G24" s="9">
        <f>November!G24+F24</f>
        <v>17</v>
      </c>
      <c r="H24" s="19"/>
      <c r="I24" s="9">
        <f>November!I24+H24</f>
        <v>0</v>
      </c>
    </row>
    <row r="25" spans="1:9" s="5" customFormat="1" ht="18" customHeight="1">
      <c r="A25" s="9" t="s">
        <v>28</v>
      </c>
      <c r="B25" s="13"/>
      <c r="C25" s="9">
        <f>November!C25+B25</f>
        <v>0</v>
      </c>
      <c r="D25" s="15"/>
      <c r="E25" s="9">
        <f>November!E25+D25</f>
        <v>0</v>
      </c>
      <c r="F25" s="17"/>
      <c r="G25" s="9">
        <f>November!G25+F25</f>
        <v>0</v>
      </c>
      <c r="H25" s="19"/>
      <c r="I25" s="9">
        <f>November!I25+H25</f>
        <v>0</v>
      </c>
    </row>
    <row r="26" spans="1:9" s="5" customFormat="1" ht="18" customHeight="1">
      <c r="A26" s="9" t="s">
        <v>29</v>
      </c>
      <c r="B26" s="13"/>
      <c r="C26" s="9">
        <f>November!C26+B26</f>
        <v>4343</v>
      </c>
      <c r="D26" s="15"/>
      <c r="E26" s="9">
        <f>November!E26+D26</f>
        <v>5</v>
      </c>
      <c r="F26" s="17"/>
      <c r="G26" s="9">
        <f>November!G26+F26</f>
        <v>36</v>
      </c>
      <c r="H26" s="19"/>
      <c r="I26" s="9">
        <f>November!I26+H26</f>
        <v>0</v>
      </c>
    </row>
    <row r="27" spans="1:9" s="5" customFormat="1" ht="18" customHeight="1">
      <c r="A27" s="9" t="s">
        <v>30</v>
      </c>
      <c r="B27" s="13"/>
      <c r="C27" s="9">
        <f>November!C27+B27</f>
        <v>27239</v>
      </c>
      <c r="D27" s="15"/>
      <c r="E27" s="9">
        <f>November!E27+D27</f>
        <v>1447</v>
      </c>
      <c r="F27" s="17"/>
      <c r="G27" s="9">
        <f>November!G27+F27</f>
        <v>15033</v>
      </c>
      <c r="H27" s="19"/>
      <c r="I27" s="9">
        <f>November!I27+H27</f>
        <v>0</v>
      </c>
    </row>
    <row r="28" spans="1:9" s="5" customFormat="1" ht="18" customHeight="1">
      <c r="A28" s="9" t="s">
        <v>31</v>
      </c>
      <c r="B28" s="13"/>
      <c r="C28" s="9">
        <f>November!C28+B28</f>
        <v>3240</v>
      </c>
      <c r="D28" s="15"/>
      <c r="E28" s="9">
        <f>November!E28+D28</f>
        <v>142</v>
      </c>
      <c r="F28" s="17"/>
      <c r="G28" s="9">
        <f>November!G28+F28</f>
        <v>0</v>
      </c>
      <c r="H28" s="19"/>
      <c r="I28" s="9">
        <f>November!I28+H28</f>
        <v>0</v>
      </c>
    </row>
    <row r="29" spans="1:9" s="5" customFormat="1" ht="18" customHeight="1">
      <c r="A29" s="9" t="s">
        <v>32</v>
      </c>
      <c r="B29" s="13"/>
      <c r="C29" s="9">
        <f>November!C29+B29</f>
        <v>93348</v>
      </c>
      <c r="D29" s="15"/>
      <c r="E29" s="9">
        <f>November!E29+D29</f>
        <v>4843</v>
      </c>
      <c r="F29" s="17"/>
      <c r="G29" s="9">
        <f>November!G29+F29</f>
        <v>737</v>
      </c>
      <c r="H29" s="19"/>
      <c r="I29" s="9">
        <f>November!I29+H29</f>
        <v>277</v>
      </c>
    </row>
    <row r="30" spans="1:9" s="5" customFormat="1" ht="18" customHeight="1">
      <c r="A30" s="9" t="s">
        <v>33</v>
      </c>
      <c r="B30" s="13"/>
      <c r="C30" s="9">
        <f>November!C30+B30</f>
        <v>18752</v>
      </c>
      <c r="D30" s="15"/>
      <c r="E30" s="9">
        <f>November!E30+D30</f>
        <v>3984</v>
      </c>
      <c r="F30" s="17"/>
      <c r="G30" s="9">
        <f>November!G30+F30</f>
        <v>0</v>
      </c>
      <c r="H30" s="19"/>
      <c r="I30" s="9">
        <f>November!I30+H30</f>
        <v>0</v>
      </c>
    </row>
    <row r="31" spans="1:9" s="5" customFormat="1" ht="18" customHeight="1">
      <c r="A31" s="9" t="s">
        <v>34</v>
      </c>
      <c r="B31" s="13"/>
      <c r="C31" s="9">
        <f>November!C31+B31</f>
        <v>24493</v>
      </c>
      <c r="D31" s="15"/>
      <c r="E31" s="9">
        <f>November!E31+D31</f>
        <v>5468</v>
      </c>
      <c r="F31" s="17"/>
      <c r="G31" s="9">
        <f>November!G31+F31</f>
        <v>1800</v>
      </c>
      <c r="H31" s="19"/>
      <c r="I31" s="9">
        <f>November!I31+H31</f>
        <v>30</v>
      </c>
    </row>
    <row r="32" spans="1:9" s="5" customFormat="1" ht="18" customHeight="1">
      <c r="A32" s="9" t="s">
        <v>35</v>
      </c>
      <c r="B32" s="13"/>
      <c r="C32" s="9">
        <f>November!C32+B32</f>
        <v>0</v>
      </c>
      <c r="D32" s="15"/>
      <c r="E32" s="9">
        <f>November!E32+D32</f>
        <v>0</v>
      </c>
      <c r="F32" s="17"/>
      <c r="G32" s="9">
        <f>November!G32+F32</f>
        <v>0</v>
      </c>
      <c r="H32" s="19"/>
      <c r="I32" s="9">
        <f>November!I32+H32</f>
        <v>0</v>
      </c>
    </row>
    <row r="33" spans="1:9" s="5" customFormat="1" ht="18" customHeight="1">
      <c r="A33" s="9" t="s">
        <v>36</v>
      </c>
      <c r="B33" s="13"/>
      <c r="C33" s="9">
        <f>November!C33+B33</f>
        <v>0</v>
      </c>
      <c r="D33" s="15"/>
      <c r="E33" s="9">
        <f>November!E33+D33</f>
        <v>0</v>
      </c>
      <c r="F33" s="17"/>
      <c r="G33" s="9">
        <f>November!G33+F33</f>
        <v>0</v>
      </c>
      <c r="H33" s="19"/>
      <c r="I33" s="9">
        <f>November!I33+H33</f>
        <v>0</v>
      </c>
    </row>
    <row r="34" spans="1:9" s="5" customFormat="1" ht="18" customHeight="1">
      <c r="A34" s="9" t="s">
        <v>37</v>
      </c>
      <c r="B34" s="13"/>
      <c r="C34" s="9">
        <f>November!C34+B34</f>
        <v>0</v>
      </c>
      <c r="D34" s="15"/>
      <c r="E34" s="9">
        <f>November!E34+D34</f>
        <v>0</v>
      </c>
      <c r="F34" s="17"/>
      <c r="G34" s="9">
        <f>November!G34+F34</f>
        <v>0</v>
      </c>
      <c r="H34" s="19"/>
      <c r="I34" s="9">
        <f>November!I34+H34</f>
        <v>0</v>
      </c>
    </row>
    <row r="35" spans="1:9" s="5" customFormat="1" ht="18" customHeight="1">
      <c r="A35" s="9" t="s">
        <v>38</v>
      </c>
      <c r="B35" s="13"/>
      <c r="C35" s="9">
        <f>November!C35+B35</f>
        <v>326</v>
      </c>
      <c r="D35" s="15"/>
      <c r="E35" s="9">
        <f>November!E35+D35</f>
        <v>0</v>
      </c>
      <c r="F35" s="17"/>
      <c r="G35" s="9">
        <f>November!G35+F35</f>
        <v>415</v>
      </c>
      <c r="H35" s="19"/>
      <c r="I35" s="9">
        <f>November!I35+H35</f>
        <v>0</v>
      </c>
    </row>
    <row r="36" spans="1:9" s="5" customFormat="1" ht="18" customHeight="1">
      <c r="A36" s="9" t="s">
        <v>39</v>
      </c>
      <c r="B36" s="13"/>
      <c r="C36" s="9">
        <f>November!C36+B36</f>
        <v>0</v>
      </c>
      <c r="D36" s="15"/>
      <c r="E36" s="9">
        <f>November!E36+D36</f>
        <v>5</v>
      </c>
      <c r="F36" s="17"/>
      <c r="G36" s="9">
        <f>November!G36+F36</f>
        <v>267</v>
      </c>
      <c r="H36" s="19"/>
      <c r="I36" s="9">
        <f>November!I36+H36</f>
        <v>0</v>
      </c>
    </row>
    <row r="37" spans="1:9" s="5" customFormat="1" ht="18" customHeight="1">
      <c r="A37" s="9" t="s">
        <v>40</v>
      </c>
      <c r="B37" s="13"/>
      <c r="C37" s="9">
        <f>November!C37+B37</f>
        <v>376</v>
      </c>
      <c r="D37" s="15"/>
      <c r="E37" s="9">
        <f>November!E37+D37</f>
        <v>16</v>
      </c>
      <c r="F37" s="17"/>
      <c r="G37" s="9">
        <f>November!G37+F37</f>
        <v>11</v>
      </c>
      <c r="H37" s="19"/>
      <c r="I37" s="9">
        <f>November!I37+H37</f>
        <v>0</v>
      </c>
    </row>
    <row r="38" spans="1:9" s="5" customFormat="1" ht="18" customHeight="1">
      <c r="A38" s="9" t="s">
        <v>41</v>
      </c>
      <c r="B38" s="13"/>
      <c r="C38" s="9">
        <f>November!C38+B38</f>
        <v>36394</v>
      </c>
      <c r="D38" s="15"/>
      <c r="E38" s="9">
        <f>November!E38+D38</f>
        <v>731</v>
      </c>
      <c r="F38" s="17"/>
      <c r="G38" s="9">
        <f>November!G38+F38</f>
        <v>122</v>
      </c>
      <c r="H38" s="19"/>
      <c r="I38" s="9">
        <f>November!I38+H38</f>
        <v>0</v>
      </c>
    </row>
    <row r="39" spans="1:9" s="5" customFormat="1" ht="18" customHeight="1">
      <c r="A39" s="9" t="s">
        <v>42</v>
      </c>
      <c r="B39" s="13"/>
      <c r="C39" s="9">
        <f>November!C39+B39</f>
        <v>2432</v>
      </c>
      <c r="D39" s="15"/>
      <c r="E39" s="9">
        <f>November!E39+D39</f>
        <v>38</v>
      </c>
      <c r="F39" s="17"/>
      <c r="G39" s="9">
        <f>November!G39+F39</f>
        <v>1862</v>
      </c>
      <c r="H39" s="19"/>
      <c r="I39" s="9">
        <f>November!I39+H39</f>
        <v>0</v>
      </c>
    </row>
    <row r="40" spans="1:9" s="5" customFormat="1" ht="18" customHeight="1">
      <c r="A40" s="9" t="s">
        <v>43</v>
      </c>
      <c r="B40" s="13"/>
      <c r="C40" s="9">
        <f>November!C40+B40</f>
        <v>3606</v>
      </c>
      <c r="D40" s="15"/>
      <c r="E40" s="9">
        <f>November!E40+D40</f>
        <v>192</v>
      </c>
      <c r="F40" s="17"/>
      <c r="G40" s="9">
        <f>November!G40+F40</f>
        <v>9</v>
      </c>
      <c r="H40" s="19"/>
      <c r="I40" s="9">
        <f>November!I40+H40</f>
        <v>0</v>
      </c>
    </row>
    <row r="41" spans="1:9" s="5" customFormat="1" ht="18" customHeight="1">
      <c r="A41" s="9" t="s">
        <v>44</v>
      </c>
      <c r="B41" s="13"/>
      <c r="C41" s="9">
        <f>November!C41+B41</f>
        <v>763</v>
      </c>
      <c r="D41" s="15"/>
      <c r="E41" s="9">
        <f>November!E41+D41</f>
        <v>85</v>
      </c>
      <c r="F41" s="17"/>
      <c r="G41" s="9">
        <f>November!G41+F41</f>
        <v>68</v>
      </c>
      <c r="H41" s="19"/>
      <c r="I41" s="9">
        <f>November!I41+H41</f>
        <v>0</v>
      </c>
    </row>
    <row r="42" spans="1:9" s="5" customFormat="1" ht="18" customHeight="1">
      <c r="A42" s="9" t="s">
        <v>45</v>
      </c>
      <c r="B42" s="13"/>
      <c r="C42" s="9">
        <f>November!C42+B42</f>
        <v>807</v>
      </c>
      <c r="D42" s="15"/>
      <c r="E42" s="9">
        <f>November!E42+D42</f>
        <v>242</v>
      </c>
      <c r="F42" s="17"/>
      <c r="G42" s="9">
        <f>November!G42+F42</f>
        <v>1060</v>
      </c>
      <c r="H42" s="19"/>
      <c r="I42" s="9">
        <f>November!I42+H42</f>
        <v>0</v>
      </c>
    </row>
    <row r="43" spans="1:9" s="5" customFormat="1" ht="18" customHeight="1">
      <c r="A43" s="9" t="s">
        <v>46</v>
      </c>
      <c r="B43" s="13"/>
      <c r="C43" s="9">
        <f>November!C43+B43</f>
        <v>0</v>
      </c>
      <c r="D43" s="15"/>
      <c r="E43" s="9">
        <f>November!E43+D43</f>
        <v>0</v>
      </c>
      <c r="F43" s="17"/>
      <c r="G43" s="9">
        <f>November!G43+F43</f>
        <v>0</v>
      </c>
      <c r="H43" s="19"/>
      <c r="I43" s="9">
        <f>November!I43+H43</f>
        <v>0</v>
      </c>
    </row>
    <row r="44" spans="1:9" s="5" customFormat="1" ht="18" customHeight="1">
      <c r="A44" s="9" t="s">
        <v>47</v>
      </c>
      <c r="B44" s="13"/>
      <c r="C44" s="9">
        <f>November!C44+B44</f>
        <v>5225</v>
      </c>
      <c r="D44" s="15"/>
      <c r="E44" s="9">
        <f>November!E44+D44</f>
        <v>0</v>
      </c>
      <c r="F44" s="17"/>
      <c r="G44" s="9">
        <f>November!G44+F44</f>
        <v>0</v>
      </c>
      <c r="H44" s="19"/>
      <c r="I44" s="9">
        <f>November!I44+H44</f>
        <v>0</v>
      </c>
    </row>
    <row r="45" spans="1:9" s="5" customFormat="1" ht="18" customHeight="1">
      <c r="A45" s="9" t="s">
        <v>48</v>
      </c>
      <c r="B45" s="13"/>
      <c r="C45" s="9">
        <f>November!C45+B45</f>
        <v>146377</v>
      </c>
      <c r="D45" s="15"/>
      <c r="E45" s="9">
        <f>November!E45+D45</f>
        <v>9806</v>
      </c>
      <c r="F45" s="17"/>
      <c r="G45" s="9">
        <f>November!G45+F45</f>
        <v>281</v>
      </c>
      <c r="H45" s="19"/>
      <c r="I45" s="9">
        <f>November!I45+H45</f>
        <v>0</v>
      </c>
    </row>
    <row r="46" spans="1:9" s="5" customFormat="1" ht="18" customHeight="1">
      <c r="A46" s="9" t="s">
        <v>49</v>
      </c>
      <c r="B46" s="13"/>
      <c r="C46" s="9">
        <f>November!C46+B46</f>
        <v>8207</v>
      </c>
      <c r="D46" s="15"/>
      <c r="E46" s="9">
        <f>November!E46+D46</f>
        <v>267</v>
      </c>
      <c r="F46" s="17"/>
      <c r="G46" s="9">
        <f>November!G46+F46</f>
        <v>81</v>
      </c>
      <c r="H46" s="19"/>
      <c r="I46" s="9">
        <f>November!I46+H46</f>
        <v>0</v>
      </c>
    </row>
    <row r="47" spans="1:9" s="5" customFormat="1" ht="18" customHeight="1">
      <c r="A47" s="9" t="s">
        <v>50</v>
      </c>
      <c r="B47" s="13"/>
      <c r="C47" s="9">
        <f>November!C47+B47</f>
        <v>7720</v>
      </c>
      <c r="D47" s="15"/>
      <c r="E47" s="9">
        <f>November!E47+D47</f>
        <v>850</v>
      </c>
      <c r="F47" s="17"/>
      <c r="G47" s="9">
        <f>November!G47+F47</f>
        <v>552</v>
      </c>
      <c r="H47" s="19"/>
      <c r="I47" s="9">
        <f>November!I47+H47</f>
        <v>0</v>
      </c>
    </row>
    <row r="48" spans="1:9" s="5" customFormat="1" ht="18" customHeight="1">
      <c r="A48" s="9" t="s">
        <v>51</v>
      </c>
      <c r="B48" s="13"/>
      <c r="C48" s="9">
        <f>November!C48+B48</f>
        <v>4</v>
      </c>
      <c r="D48" s="15"/>
      <c r="E48" s="9">
        <f>November!E48+D48</f>
        <v>6</v>
      </c>
      <c r="F48" s="17"/>
      <c r="G48" s="9">
        <f>November!G48+F48</f>
        <v>238</v>
      </c>
      <c r="H48" s="19"/>
      <c r="I48" s="9">
        <f>November!I48+H48</f>
        <v>0</v>
      </c>
    </row>
    <row r="49" spans="1:9" s="5" customFormat="1" ht="18" customHeight="1">
      <c r="A49" s="9" t="s">
        <v>52</v>
      </c>
      <c r="B49" s="13"/>
      <c r="C49" s="9">
        <f>November!C49+B49</f>
        <v>0</v>
      </c>
      <c r="D49" s="15"/>
      <c r="E49" s="9">
        <f>November!E49+D49</f>
        <v>0</v>
      </c>
      <c r="F49" s="17"/>
      <c r="G49" s="9">
        <f>November!G49+F49</f>
        <v>123</v>
      </c>
      <c r="H49" s="19"/>
      <c r="I49" s="9">
        <f>November!I49+H49</f>
        <v>0</v>
      </c>
    </row>
    <row r="50" spans="1:9" s="5" customFormat="1" ht="18" customHeight="1">
      <c r="A50" s="9" t="s">
        <v>53</v>
      </c>
      <c r="B50" s="13"/>
      <c r="C50" s="9">
        <f>November!C50+B50</f>
        <v>6798</v>
      </c>
      <c r="D50" s="15"/>
      <c r="E50" s="9">
        <f>November!E50+D50</f>
        <v>62</v>
      </c>
      <c r="F50" s="17"/>
      <c r="G50" s="9">
        <f>November!G50+F50</f>
        <v>0</v>
      </c>
      <c r="H50" s="19"/>
      <c r="I50" s="9">
        <f>November!I50+H50</f>
        <v>0</v>
      </c>
    </row>
    <row r="51" spans="1:9" s="5" customFormat="1" ht="18" customHeight="1">
      <c r="A51" s="9" t="s">
        <v>54</v>
      </c>
      <c r="B51" s="13"/>
      <c r="C51" s="9">
        <f>November!C51+B51</f>
        <v>1928</v>
      </c>
      <c r="D51" s="15"/>
      <c r="E51" s="9">
        <f>November!E51+D51</f>
        <v>17</v>
      </c>
      <c r="F51" s="17"/>
      <c r="G51" s="9">
        <f>November!G51+F51</f>
        <v>338</v>
      </c>
      <c r="H51" s="19"/>
      <c r="I51" s="9">
        <f>November!I51+H51</f>
        <v>0</v>
      </c>
    </row>
    <row r="52" spans="1:9" s="5" customFormat="1" ht="18" customHeight="1">
      <c r="A52" s="9" t="s">
        <v>55</v>
      </c>
      <c r="B52" s="13"/>
      <c r="C52" s="9">
        <f>November!C52+B52</f>
        <v>3868</v>
      </c>
      <c r="D52" s="15"/>
      <c r="E52" s="9">
        <f>November!E52+D52</f>
        <v>63</v>
      </c>
      <c r="F52" s="17"/>
      <c r="G52" s="9">
        <f>November!G52+F52</f>
        <v>0</v>
      </c>
      <c r="H52" s="19"/>
      <c r="I52" s="9">
        <f>November!I52+H52</f>
        <v>0</v>
      </c>
    </row>
    <row r="53" spans="1:9" s="5" customFormat="1" ht="18" customHeight="1">
      <c r="A53" s="9" t="s">
        <v>56</v>
      </c>
      <c r="B53" s="13"/>
      <c r="C53" s="9">
        <f>November!C53+B53</f>
        <v>22336</v>
      </c>
      <c r="D53" s="15"/>
      <c r="E53" s="9">
        <f>November!E53+D53</f>
        <v>1134</v>
      </c>
      <c r="F53" s="17"/>
      <c r="G53" s="9">
        <f>November!G53+F53</f>
        <v>6852</v>
      </c>
      <c r="H53" s="19"/>
      <c r="I53" s="9">
        <f>November!I53+H53</f>
        <v>0</v>
      </c>
    </row>
    <row r="54" spans="1:9" s="5" customFormat="1" ht="18" customHeight="1" thickBot="1">
      <c r="A54" s="10" t="s">
        <v>57</v>
      </c>
      <c r="B54" s="13"/>
      <c r="C54" s="9">
        <f>November!C54+B54</f>
        <v>5855</v>
      </c>
      <c r="D54" s="16"/>
      <c r="E54" s="9">
        <f>November!E54+D54</f>
        <v>1475</v>
      </c>
      <c r="F54" s="17"/>
      <c r="G54" s="9">
        <f>November!G54+F54</f>
        <v>0</v>
      </c>
      <c r="H54" s="19"/>
      <c r="I54" s="9">
        <f>November!I54+H54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November!C57+B55</f>
        <v>536995</v>
      </c>
      <c r="D57" s="11"/>
      <c r="E57" s="11">
        <f>November!E57+D55</f>
        <v>36468</v>
      </c>
      <c r="F57" s="11"/>
      <c r="G57" s="11">
        <f>November!G57+F55</f>
        <v>37674</v>
      </c>
      <c r="H57" s="11"/>
      <c r="I57" s="11">
        <f>November!I57+H55</f>
        <v>451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November!E62+D60</f>
        <v>2482</v>
      </c>
      <c r="G62" s="4">
        <f>November!G62+F60</f>
        <v>13410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F36" sqref="F36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64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January!C5+B5</f>
        <v>0</v>
      </c>
      <c r="D5" s="15"/>
      <c r="E5" s="9">
        <f>January!E5+D5</f>
        <v>0</v>
      </c>
      <c r="F5" s="17"/>
      <c r="G5" s="9">
        <f>January!G5+F5</f>
        <v>0</v>
      </c>
      <c r="H5" s="19"/>
      <c r="I5" s="9">
        <f>January!I5+H5</f>
        <v>0</v>
      </c>
    </row>
    <row r="6" spans="1:9" s="5" customFormat="1" ht="18" customHeight="1">
      <c r="A6" s="9" t="s">
        <v>9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</row>
    <row r="7" spans="1:9" s="5" customFormat="1" ht="18" customHeight="1">
      <c r="A7" s="9" t="s">
        <v>10</v>
      </c>
      <c r="B7" s="13"/>
      <c r="C7" s="9">
        <f>January!C7+B7</f>
        <v>198</v>
      </c>
      <c r="D7" s="15"/>
      <c r="E7" s="9">
        <f>January!E7+D7</f>
        <v>0</v>
      </c>
      <c r="F7" s="17"/>
      <c r="G7" s="9">
        <f>January!G7+F7</f>
        <v>156</v>
      </c>
      <c r="H7" s="19"/>
      <c r="I7" s="9">
        <f>January!I7+H7</f>
        <v>0</v>
      </c>
    </row>
    <row r="8" spans="1:9" s="5" customFormat="1" ht="18" customHeight="1">
      <c r="A8" s="9" t="s">
        <v>11</v>
      </c>
      <c r="B8" s="13">
        <f>95+58+100</f>
        <v>253</v>
      </c>
      <c r="C8" s="9">
        <f>January!C8+B8</f>
        <v>2161</v>
      </c>
      <c r="D8" s="15">
        <v>8</v>
      </c>
      <c r="E8" s="9">
        <f>January!E8+D8</f>
        <v>10</v>
      </c>
      <c r="F8" s="17"/>
      <c r="G8" s="9">
        <f>January!G8+F8</f>
        <v>0</v>
      </c>
      <c r="H8" s="19"/>
      <c r="I8" s="9">
        <f>January!I8+H8</f>
        <v>0</v>
      </c>
    </row>
    <row r="9" spans="1:9" s="5" customFormat="1" ht="18" customHeight="1">
      <c r="A9" s="9" t="s">
        <v>12</v>
      </c>
      <c r="B9" s="13"/>
      <c r="C9" s="9">
        <f>January!C9+B9</f>
        <v>0</v>
      </c>
      <c r="D9" s="15"/>
      <c r="E9" s="9">
        <f>January!E9+D9</f>
        <v>1</v>
      </c>
      <c r="F9" s="17">
        <f>15+12+15+38</f>
        <v>80</v>
      </c>
      <c r="G9" s="9">
        <f>January!G9+F9</f>
        <v>179</v>
      </c>
      <c r="H9" s="19"/>
      <c r="I9" s="9">
        <f>January!I9+H9</f>
        <v>0</v>
      </c>
    </row>
    <row r="10" spans="1:9" s="5" customFormat="1" ht="18" customHeight="1">
      <c r="A10" s="9" t="s">
        <v>13</v>
      </c>
      <c r="B10" s="13"/>
      <c r="C10" s="9">
        <f>January!C10+B10</f>
        <v>0</v>
      </c>
      <c r="D10" s="15"/>
      <c r="E10" s="9">
        <f>January!E10+D10</f>
        <v>0</v>
      </c>
      <c r="F10" s="17"/>
      <c r="G10" s="9">
        <f>January!G10+F10</f>
        <v>0</v>
      </c>
      <c r="H10" s="19"/>
      <c r="I10" s="9">
        <f>January!I10+H10</f>
        <v>0</v>
      </c>
    </row>
    <row r="11" spans="1:9" s="5" customFormat="1" ht="18" customHeight="1">
      <c r="A11" s="9" t="s">
        <v>14</v>
      </c>
      <c r="B11" s="13">
        <f>86+4</f>
        <v>90</v>
      </c>
      <c r="C11" s="9">
        <f>January!C11+B11</f>
        <v>857</v>
      </c>
      <c r="D11" s="15">
        <f>1+1</f>
        <v>2</v>
      </c>
      <c r="E11" s="9">
        <f>January!E11+D11</f>
        <v>545</v>
      </c>
      <c r="F11" s="17"/>
      <c r="G11" s="9">
        <f>January!G11+F11</f>
        <v>177</v>
      </c>
      <c r="H11" s="19"/>
      <c r="I11" s="9">
        <f>January!I11+H11</f>
        <v>0</v>
      </c>
    </row>
    <row r="12" spans="1:9" s="5" customFormat="1" ht="18" customHeight="1">
      <c r="A12" s="9" t="s">
        <v>15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</row>
    <row r="13" spans="1:9" s="5" customFormat="1" ht="18" customHeight="1">
      <c r="A13" s="9" t="s">
        <v>16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</row>
    <row r="14" spans="1:9" s="5" customFormat="1" ht="18" customHeight="1">
      <c r="A14" s="9" t="s">
        <v>17</v>
      </c>
      <c r="B14" s="13"/>
      <c r="C14" s="9">
        <f>January!C14+B14</f>
        <v>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</row>
    <row r="15" spans="1:9" s="5" customFormat="1" ht="18" customHeight="1">
      <c r="A15" s="9" t="s">
        <v>18</v>
      </c>
      <c r="B15" s="13">
        <f>62+360+124</f>
        <v>546</v>
      </c>
      <c r="C15" s="9">
        <f>January!C15+B15</f>
        <v>868</v>
      </c>
      <c r="D15" s="15"/>
      <c r="E15" s="9">
        <f>January!E15+D15</f>
        <v>99</v>
      </c>
      <c r="F15" s="17"/>
      <c r="G15" s="9">
        <f>January!G15+F15</f>
        <v>0</v>
      </c>
      <c r="H15" s="19"/>
      <c r="I15" s="9">
        <f>January!I15+H15</f>
        <v>0</v>
      </c>
    </row>
    <row r="16" spans="1:9" s="5" customFormat="1" ht="18" customHeight="1">
      <c r="A16" s="9" t="s">
        <v>19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</row>
    <row r="17" spans="1:9" s="5" customFormat="1" ht="18" customHeight="1">
      <c r="A17" s="9" t="s">
        <v>20</v>
      </c>
      <c r="B17" s="13">
        <f>127+84</f>
        <v>211</v>
      </c>
      <c r="C17" s="9">
        <f>January!C17+B17</f>
        <v>1331</v>
      </c>
      <c r="D17" s="15"/>
      <c r="E17" s="9">
        <f>January!E17+D17</f>
        <v>105</v>
      </c>
      <c r="F17" s="17"/>
      <c r="G17" s="9">
        <f>January!G17+F17</f>
        <v>0</v>
      </c>
      <c r="H17" s="19"/>
      <c r="I17" s="9">
        <f>January!I17+H17</f>
        <v>0</v>
      </c>
    </row>
    <row r="18" spans="1:9" s="5" customFormat="1" ht="18" customHeight="1">
      <c r="A18" s="9" t="s">
        <v>21</v>
      </c>
      <c r="B18" s="13">
        <f>80+17+22+82+25+3</f>
        <v>229</v>
      </c>
      <c r="C18" s="9">
        <f>January!C18+B18</f>
        <v>1215</v>
      </c>
      <c r="D18" s="15">
        <f>1+4+1+1+1+1+1+1+3+5+1+1+1</f>
        <v>22</v>
      </c>
      <c r="E18" s="9">
        <f>January!E18+D18</f>
        <v>122</v>
      </c>
      <c r="F18" s="17"/>
      <c r="G18" s="9">
        <f>January!G18+F18</f>
        <v>4</v>
      </c>
      <c r="H18" s="19"/>
      <c r="I18" s="9">
        <f>January!I18+H18</f>
        <v>0</v>
      </c>
    </row>
    <row r="19" spans="1:9" s="5" customFormat="1" ht="18" customHeight="1">
      <c r="A19" s="9" t="s">
        <v>22</v>
      </c>
      <c r="B19" s="13">
        <f>66+6+177+150</f>
        <v>399</v>
      </c>
      <c r="C19" s="9">
        <f>January!C19+B19</f>
        <v>1001</v>
      </c>
      <c r="D19" s="15">
        <f>1+1+105+1+1+1</f>
        <v>110</v>
      </c>
      <c r="E19" s="9">
        <f>January!E19+D19</f>
        <v>137</v>
      </c>
      <c r="F19" s="17">
        <f>27+27+58+145+100</f>
        <v>357</v>
      </c>
      <c r="G19" s="9">
        <f>January!G19+F19</f>
        <v>1639</v>
      </c>
      <c r="H19" s="19"/>
      <c r="I19" s="9">
        <f>January!I19+H19</f>
        <v>0</v>
      </c>
    </row>
    <row r="20" spans="1:9" s="5" customFormat="1" ht="18" customHeight="1">
      <c r="A20" s="9" t="s">
        <v>23</v>
      </c>
      <c r="B20" s="13">
        <f>153+60+33+47+151+120+68+52+31+121+120+70+50+59+71+226+70+59+140+228+129+100+79+151+10+57+63+63</f>
        <v>2581</v>
      </c>
      <c r="C20" s="9">
        <f>January!C20+B20</f>
        <v>3667</v>
      </c>
      <c r="D20" s="15">
        <f>1+10+1+5+142+1+1+1+1</f>
        <v>163</v>
      </c>
      <c r="E20" s="9">
        <f>January!E20+D20</f>
        <v>165</v>
      </c>
      <c r="F20" s="17">
        <f>17+2+1+1+1+1</f>
        <v>23</v>
      </c>
      <c r="G20" s="9">
        <f>January!G20+F20</f>
        <v>23</v>
      </c>
      <c r="H20" s="19"/>
      <c r="I20" s="9">
        <f>January!I20+H20</f>
        <v>0</v>
      </c>
    </row>
    <row r="21" spans="1:9" s="5" customFormat="1" ht="18" customHeight="1">
      <c r="A21" s="9" t="s">
        <v>24</v>
      </c>
      <c r="B21" s="13">
        <f>131+75+57+174+71+84+155+110+64+72+50+87+122+60+75+117+63+58+140+60+160+285+178+6+52+6+60+80+61+62+10+66+61+33+34+112+74+81+67+72+52+75+189+61+52+80+48+17+53+140+81+68+105+71+117+51+25+46+60+14+55+50+214+78+73+12+51+51+22+40+22+19+42+117+98+78+38+121+51+51+12+59+78+52+42+318+55+196+65+13+43+7+17+46+60+195+65+60+205+110+210+55</f>
        <v>8036</v>
      </c>
      <c r="C21" s="9">
        <f>January!C21+B21</f>
        <v>13468</v>
      </c>
      <c r="D21" s="15">
        <f>1+1+1+1</f>
        <v>4</v>
      </c>
      <c r="E21" s="9">
        <f>January!E21+D21</f>
        <v>4</v>
      </c>
      <c r="F21" s="17"/>
      <c r="G21" s="9">
        <f>January!G21+F21</f>
        <v>0</v>
      </c>
      <c r="H21" s="19"/>
      <c r="I21" s="9">
        <f>January!I21+H21</f>
        <v>0</v>
      </c>
    </row>
    <row r="22" spans="1:9" s="5" customFormat="1" ht="18" customHeight="1">
      <c r="A22" s="9" t="s">
        <v>25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</row>
    <row r="23" spans="1:9" s="5" customFormat="1" ht="18" customHeight="1">
      <c r="A23" s="9" t="s">
        <v>26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0</v>
      </c>
      <c r="H23" s="19"/>
      <c r="I23" s="9">
        <f>January!I23+H23</f>
        <v>0</v>
      </c>
    </row>
    <row r="24" spans="1:9" s="5" customFormat="1" ht="18" customHeight="1">
      <c r="A24" s="9" t="s">
        <v>27</v>
      </c>
      <c r="B24" s="13"/>
      <c r="C24" s="9">
        <f>January!C24+B24</f>
        <v>0</v>
      </c>
      <c r="D24" s="15">
        <v>2</v>
      </c>
      <c r="E24" s="9">
        <f>January!E24+D24</f>
        <v>2</v>
      </c>
      <c r="F24" s="17"/>
      <c r="G24" s="9">
        <f>January!G24+F24</f>
        <v>2</v>
      </c>
      <c r="H24" s="19"/>
      <c r="I24" s="9">
        <f>January!I24+H24</f>
        <v>0</v>
      </c>
    </row>
    <row r="25" spans="1:9" s="5" customFormat="1" ht="18" customHeight="1">
      <c r="A25" s="9" t="s">
        <v>28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</row>
    <row r="26" spans="1:9" s="5" customFormat="1" ht="18" customHeight="1">
      <c r="A26" s="9" t="s">
        <v>29</v>
      </c>
      <c r="B26" s="13"/>
      <c r="C26" s="9">
        <f>January!C26+B26</f>
        <v>77</v>
      </c>
      <c r="D26" s="15"/>
      <c r="E26" s="9">
        <f>January!E26+D26</f>
        <v>0</v>
      </c>
      <c r="F26" s="17"/>
      <c r="G26" s="9">
        <f>January!G26+F26</f>
        <v>0</v>
      </c>
      <c r="H26" s="19"/>
      <c r="I26" s="9">
        <f>January!I26+H26</f>
        <v>0</v>
      </c>
    </row>
    <row r="27" spans="1:9" s="5" customFormat="1" ht="18" customHeight="1">
      <c r="A27" s="9" t="s">
        <v>30</v>
      </c>
      <c r="B27" s="13">
        <f>24+76+21+66+15+60+70+258+62+47+285+141+113+9+13+23+4+2+14+8+9+12+10+75+4+22+10+2+28+25+14+88+77+14+68+17+83</f>
        <v>1869</v>
      </c>
      <c r="C27" s="9">
        <f>January!C27+B27</f>
        <v>6940</v>
      </c>
      <c r="D27" s="15">
        <f>2+1+1+3+7+5+1+1+1+6+1+11+5+10+21+21+5+3+3+5+4+11+6+26+26+2+54+19+5+3+1+2+1+2+1+4+2+1</f>
        <v>283</v>
      </c>
      <c r="E27" s="9">
        <f>January!E27+D27</f>
        <v>574</v>
      </c>
      <c r="F27" s="17">
        <f>9+145+1+7+70+1+51+34+39+17</f>
        <v>374</v>
      </c>
      <c r="G27" s="9">
        <f>January!G27+F27</f>
        <v>1856</v>
      </c>
      <c r="H27" s="19"/>
      <c r="I27" s="9">
        <f>January!I27+H27</f>
        <v>0</v>
      </c>
    </row>
    <row r="28" spans="1:9" s="5" customFormat="1" ht="18" customHeight="1">
      <c r="A28" s="9" t="s">
        <v>31</v>
      </c>
      <c r="B28" s="13"/>
      <c r="C28" s="9">
        <f>January!C28+B28</f>
        <v>0</v>
      </c>
      <c r="D28" s="15"/>
      <c r="E28" s="9">
        <f>January!E28+D28</f>
        <v>1</v>
      </c>
      <c r="F28" s="17"/>
      <c r="G28" s="9">
        <f>January!G28+F28</f>
        <v>0</v>
      </c>
      <c r="H28" s="19"/>
      <c r="I28" s="9">
        <f>January!I28+H28</f>
        <v>0</v>
      </c>
    </row>
    <row r="29" spans="1:9" s="5" customFormat="1" ht="18" customHeight="1">
      <c r="A29" s="9" t="s">
        <v>32</v>
      </c>
      <c r="B29" s="13">
        <f>34+100+138+67+217+64+64+40+11+80+15+79+207+52+110+156+71+29+32+120+74+78+62+62+110+120+240+62+66+80+49+75+49+82+77+87+87+133+24+2+67+59+42+80+120+79+264+155+20+21+35+70+70+43+120+70+141+128+12+22+62+72+81+90+75+75+74+64+75+34+75+33+75+45+118+225+62+431+91+186+29+38+258+145+65+67+74+61+80+80+1+42+5+2+63+2+13+1+33+4+59+6+44+60+154+182+68+44+120+50+10+75+120+128+130+83+59+64+64+67+67+67+73+133+2+10+12+18+154+89+89+29+82+2+51+58+28+67+75+80+66+20</f>
        <v>10888</v>
      </c>
      <c r="C29" s="9">
        <f>January!C29+B29</f>
        <v>19346</v>
      </c>
      <c r="D29" s="15">
        <f>1+5+22+10+61+16+6+12+13+9+25+1+5+7+10+11+5+3+31+1+6+22+6+4+2+1+2+1+4+7+1+1+3+42+2+2+35+6+15+26+262+6+17+22+19+22+4+14</f>
        <v>808</v>
      </c>
      <c r="E29" s="9">
        <f>January!E29+D29</f>
        <v>1529</v>
      </c>
      <c r="F29" s="17"/>
      <c r="G29" s="9">
        <f>January!G29+F29</f>
        <v>0</v>
      </c>
      <c r="H29" s="19"/>
      <c r="I29" s="9">
        <f>January!I29+H29</f>
        <v>0</v>
      </c>
    </row>
    <row r="30" spans="1:9" s="5" customFormat="1" ht="18" customHeight="1">
      <c r="A30" s="9" t="s">
        <v>33</v>
      </c>
      <c r="B30" s="13">
        <f>95+82+265+88+173+245+400+84+72+8+5+1+341+16+2+79+4+183+2+3+10+100+68+76+140+785+74+92+120+101+21+2+13+212+290</f>
        <v>4252</v>
      </c>
      <c r="C30" s="9">
        <f>January!C30+B30</f>
        <v>8627</v>
      </c>
      <c r="D30" s="15">
        <f>6+1+1+1</f>
        <v>9</v>
      </c>
      <c r="E30" s="9">
        <f>January!E30+D30</f>
        <v>479</v>
      </c>
      <c r="F30" s="17"/>
      <c r="G30" s="9">
        <f>January!G30+F30</f>
        <v>0</v>
      </c>
      <c r="H30" s="19"/>
      <c r="I30" s="9">
        <f>January!I30+H30</f>
        <v>0</v>
      </c>
    </row>
    <row r="31" spans="1:9" s="5" customFormat="1" ht="18" customHeight="1">
      <c r="A31" s="9" t="s">
        <v>34</v>
      </c>
      <c r="B31" s="13">
        <f>40+88+161+136+91+74+152+86+191+8+156+94+139+86+88+28+71+85+140+98+188+176+74+114+80+1+96+21+164+315+65+85+142+48+18</f>
        <v>3599</v>
      </c>
      <c r="C31" s="9">
        <f>January!C31+B31</f>
        <v>7961</v>
      </c>
      <c r="D31" s="15">
        <f>8+35+1+3+10+42+1+1+3+2+1+3+3+4+2+1+3+1+1+19+37+68+2+1+1+105+2+2+12+1+43+2+15+65+86+24+3+1+1+10+1+2+41+2+3+2+1+2+1+72+3+1</f>
        <v>756</v>
      </c>
      <c r="E31" s="9">
        <f>January!E31+D31</f>
        <v>1418</v>
      </c>
      <c r="F31" s="17">
        <f>81+90+62</f>
        <v>233</v>
      </c>
      <c r="G31" s="9">
        <f>January!G31+F31</f>
        <v>428</v>
      </c>
      <c r="H31" s="19"/>
      <c r="I31" s="9">
        <f>January!I31+H31</f>
        <v>0</v>
      </c>
    </row>
    <row r="32" spans="1:9" s="5" customFormat="1" ht="18" customHeight="1">
      <c r="A32" s="9" t="s">
        <v>35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</row>
    <row r="33" spans="1:9" s="5" customFormat="1" ht="18" customHeight="1">
      <c r="A33" s="9" t="s">
        <v>36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</row>
    <row r="34" spans="1:9" s="5" customFormat="1" ht="18" customHeight="1">
      <c r="A34" s="9" t="s">
        <v>37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</row>
    <row r="35" spans="1:9" s="5" customFormat="1" ht="18" customHeight="1">
      <c r="A35" s="9" t="s">
        <v>38</v>
      </c>
      <c r="B35" s="13"/>
      <c r="C35" s="9">
        <f>January!C35+B35</f>
        <v>237</v>
      </c>
      <c r="D35" s="15"/>
      <c r="E35" s="9">
        <f>January!E35+D35</f>
        <v>0</v>
      </c>
      <c r="F35" s="17">
        <f>142</f>
        <v>142</v>
      </c>
      <c r="G35" s="9">
        <f>January!G35+F35</f>
        <v>146</v>
      </c>
      <c r="H35" s="19"/>
      <c r="I35" s="9">
        <f>January!I35+H35</f>
        <v>0</v>
      </c>
    </row>
    <row r="36" spans="1:9" s="5" customFormat="1" ht="18" customHeight="1">
      <c r="A36" s="9" t="s">
        <v>39</v>
      </c>
      <c r="B36" s="13"/>
      <c r="C36" s="9">
        <f>January!C36+B36</f>
        <v>0</v>
      </c>
      <c r="D36" s="15"/>
      <c r="E36" s="9">
        <f>January!E36+D36</f>
        <v>0</v>
      </c>
      <c r="F36" s="17">
        <f>1+1</f>
        <v>2</v>
      </c>
      <c r="G36" s="9">
        <f>January!G36+F36</f>
        <v>40</v>
      </c>
      <c r="H36" s="19"/>
      <c r="I36" s="9">
        <f>January!I36+H36</f>
        <v>0</v>
      </c>
    </row>
    <row r="37" spans="1:9" s="5" customFormat="1" ht="18" customHeight="1">
      <c r="A37" s="9" t="s">
        <v>40</v>
      </c>
      <c r="B37" s="13"/>
      <c r="C37" s="9">
        <f>January!C37+B37</f>
        <v>90</v>
      </c>
      <c r="D37" s="15"/>
      <c r="E37" s="9">
        <f>January!E37+D37</f>
        <v>1</v>
      </c>
      <c r="F37" s="17"/>
      <c r="G37" s="9">
        <f>January!G37+F37</f>
        <v>0</v>
      </c>
      <c r="H37" s="19"/>
      <c r="I37" s="9">
        <f>January!I37+H37</f>
        <v>0</v>
      </c>
    </row>
    <row r="38" spans="1:9" s="5" customFormat="1" ht="18" customHeight="1">
      <c r="A38" s="9" t="s">
        <v>41</v>
      </c>
      <c r="B38" s="13">
        <f>140+74+156+73+85+85+85+119+80+80+79+115+81+81+27+29+171+81+85+226+232+136+71+100+110+85+29+175+75+65+77+75+176+70+80+146+80+73+95+80+70+152+58+77+68+67+161+150+75+257</f>
        <v>5117</v>
      </c>
      <c r="C38" s="9">
        <f>January!C38+B38</f>
        <v>17352</v>
      </c>
      <c r="D38" s="15">
        <f>2+1+1+1+1+1+3+2+1+1+2</f>
        <v>16</v>
      </c>
      <c r="E38" s="9">
        <f>January!E38+D38</f>
        <v>238</v>
      </c>
      <c r="F38" s="17"/>
      <c r="G38" s="9">
        <f>January!G38+F38</f>
        <v>79</v>
      </c>
      <c r="H38" s="19"/>
      <c r="I38" s="9">
        <f>January!I38+H38</f>
        <v>0</v>
      </c>
    </row>
    <row r="39" spans="1:9" s="5" customFormat="1" ht="18" customHeight="1">
      <c r="A39" s="9" t="s">
        <v>42</v>
      </c>
      <c r="B39" s="13">
        <f>120+150+92</f>
        <v>362</v>
      </c>
      <c r="C39" s="9">
        <f>January!C39+B39</f>
        <v>1248</v>
      </c>
      <c r="D39" s="15"/>
      <c r="E39" s="9">
        <f>January!E39+D39</f>
        <v>10</v>
      </c>
      <c r="F39" s="17">
        <f>12+11+11+12+2</f>
        <v>48</v>
      </c>
      <c r="G39" s="9">
        <f>January!G39+F39</f>
        <v>94</v>
      </c>
      <c r="H39" s="19"/>
      <c r="I39" s="9">
        <f>January!I39+H39</f>
        <v>0</v>
      </c>
    </row>
    <row r="40" spans="1:9" s="5" customFormat="1" ht="18" customHeight="1">
      <c r="A40" s="9" t="s">
        <v>43</v>
      </c>
      <c r="B40" s="13"/>
      <c r="C40" s="9">
        <f>January!C40+B40</f>
        <v>113</v>
      </c>
      <c r="D40" s="15">
        <f>1</f>
        <v>1</v>
      </c>
      <c r="E40" s="9">
        <f>January!E40+D40</f>
        <v>7</v>
      </c>
      <c r="F40" s="17"/>
      <c r="G40" s="9">
        <f>January!G40+F40</f>
        <v>0</v>
      </c>
      <c r="H40" s="19"/>
      <c r="I40" s="9">
        <f>January!I40+H40</f>
        <v>0</v>
      </c>
    </row>
    <row r="41" spans="1:9" s="5" customFormat="1" ht="18" customHeight="1">
      <c r="A41" s="9" t="s">
        <v>44</v>
      </c>
      <c r="B41" s="13"/>
      <c r="C41" s="9">
        <f>January!C41+B41</f>
        <v>0</v>
      </c>
      <c r="D41" s="15"/>
      <c r="E41" s="9">
        <f>January!E41+D41</f>
        <v>85</v>
      </c>
      <c r="F41" s="17"/>
      <c r="G41" s="9">
        <f>January!G41+F41</f>
        <v>0</v>
      </c>
      <c r="H41" s="19"/>
      <c r="I41" s="9">
        <f>January!I41+H41</f>
        <v>0</v>
      </c>
    </row>
    <row r="42" spans="1:9" s="5" customFormat="1" ht="18" customHeight="1">
      <c r="A42" s="9" t="s">
        <v>45</v>
      </c>
      <c r="B42" s="13">
        <f>82+64</f>
        <v>146</v>
      </c>
      <c r="C42" s="9">
        <f>January!C42+B42</f>
        <v>386</v>
      </c>
      <c r="D42" s="15">
        <v>124</v>
      </c>
      <c r="E42" s="9">
        <f>January!E42+D42</f>
        <v>232</v>
      </c>
      <c r="F42" s="17">
        <f>15+15+7+15+15+15+15+7</f>
        <v>104</v>
      </c>
      <c r="G42" s="9">
        <f>January!G42+F42</f>
        <v>105</v>
      </c>
      <c r="H42" s="19"/>
      <c r="I42" s="9">
        <f>January!I42+H42</f>
        <v>0</v>
      </c>
    </row>
    <row r="43" spans="1:9" s="5" customFormat="1" ht="18" customHeight="1">
      <c r="A43" s="9" t="s">
        <v>46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</row>
    <row r="44" spans="1:9" s="5" customFormat="1" ht="18" customHeight="1">
      <c r="A44" s="9" t="s">
        <v>47</v>
      </c>
      <c r="B44" s="13">
        <f>81+164+91+71+85+161+94+83+81+196+301</f>
        <v>1408</v>
      </c>
      <c r="C44" s="9">
        <f>January!C44+B44</f>
        <v>1597</v>
      </c>
      <c r="D44" s="15"/>
      <c r="E44" s="9">
        <f>January!E44+D44</f>
        <v>0</v>
      </c>
      <c r="F44" s="17"/>
      <c r="G44" s="9">
        <f>January!G44+F44</f>
        <v>0</v>
      </c>
      <c r="H44" s="19"/>
      <c r="I44" s="9">
        <f>January!I44+H44</f>
        <v>0</v>
      </c>
    </row>
    <row r="45" spans="1:9" s="5" customFormat="1" ht="18" customHeight="1">
      <c r="A45" s="9" t="s">
        <v>48</v>
      </c>
      <c r="B45" s="13">
        <f>167+109+66+1+83+150+90+84+62+54+91+158+149+130+159+15+78+81+1+62+87+55+2+5+26+69+6+24+40+68+240+145+137+288+9+35+33+64+15+20+9+14+16+17+81+65+16+55+97+35+261+27+19+20+47+4+27+102+3+129+59+21+38+89+173+183+41+62+22+175+87+70+48+99+88+67+25+97+99+66+13+74+126+11+83+67+95+90+86+15+66+16+30+7+2+6+1+6+1+35+415+48+367+63+80+36+43+66+300+182+195+141+19+11+25440+292+327+188+27</f>
        <v>34881</v>
      </c>
      <c r="C45" s="9">
        <f>January!C45+B45</f>
        <v>63740</v>
      </c>
      <c r="D45" s="15">
        <f>4+1+3+F454+7+3+1+2+1+3+3+2+3+2+1+2+1+1+9+1+1+3+6+1+1+2+3+8+1+1+2+3+3+2+1+1+1+1+20+3+1+5+2+7+3+27+1+1+1-16+40+14+8+11+11+6+1+17+19+7+6+39+85+24+1+1+86+45+13+8+2+8+2+6+2+17+51+33+31+58+59+53+46+1+1+1+1+1+1+1+1+1+12+1+1+1+1+1+1+1+1+1+1+1+1+17+10+10+3+1+83+33</f>
        <v>1146</v>
      </c>
      <c r="E45" s="9">
        <f>January!E45+D45</f>
        <v>6034</v>
      </c>
      <c r="F45" s="17">
        <f>81+9+5+10</f>
        <v>105</v>
      </c>
      <c r="G45" s="9">
        <f>January!G45+F45</f>
        <v>116</v>
      </c>
      <c r="H45" s="19"/>
      <c r="I45" s="9">
        <f>January!I45+H45</f>
        <v>0</v>
      </c>
    </row>
    <row r="46" spans="1:9" s="5" customFormat="1" ht="18" customHeight="1">
      <c r="A46" s="9" t="s">
        <v>49</v>
      </c>
      <c r="B46" s="13">
        <f>68+58+65+69+97+58+108+94+67+146+160+128+93+76</f>
        <v>1287</v>
      </c>
      <c r="C46" s="9">
        <f>January!C46+B46</f>
        <v>2126</v>
      </c>
      <c r="D46" s="15">
        <v>1</v>
      </c>
      <c r="E46" s="9">
        <f>January!E46+D46</f>
        <v>59</v>
      </c>
      <c r="F46" s="17"/>
      <c r="G46" s="9">
        <f>January!G46+F46</f>
        <v>0</v>
      </c>
      <c r="H46" s="19"/>
      <c r="I46" s="9">
        <f>January!I46+H46</f>
        <v>0</v>
      </c>
    </row>
    <row r="47" spans="1:9" s="5" customFormat="1" ht="18" customHeight="1">
      <c r="A47" s="9" t="s">
        <v>50</v>
      </c>
      <c r="B47" s="13">
        <f>131+43+42+43+44+44+42+43+165+150+203+216</f>
        <v>1166</v>
      </c>
      <c r="C47" s="9">
        <f>January!C47+B47</f>
        <v>1166</v>
      </c>
      <c r="D47" s="15">
        <v>4</v>
      </c>
      <c r="E47" s="9">
        <f>D47+January!E47</f>
        <v>4</v>
      </c>
      <c r="F47" s="17"/>
      <c r="G47" s="9">
        <f>January!G47+F47</f>
        <v>0</v>
      </c>
      <c r="H47" s="19"/>
      <c r="I47" s="9">
        <f>January!I47+H47</f>
        <v>0</v>
      </c>
    </row>
    <row r="48" spans="1:9" s="5" customFormat="1" ht="18" customHeight="1">
      <c r="A48" s="9" t="s">
        <v>51</v>
      </c>
      <c r="B48" s="13"/>
      <c r="C48" s="9">
        <f>January!C48+B48</f>
        <v>0</v>
      </c>
      <c r="D48" s="15"/>
      <c r="E48" s="9">
        <f>January!E48+D48</f>
        <v>0</v>
      </c>
      <c r="F48" s="17"/>
      <c r="G48" s="9">
        <f>January!G48+F48</f>
        <v>0</v>
      </c>
      <c r="H48" s="19"/>
      <c r="I48" s="9">
        <f>January!I48+H48</f>
        <v>0</v>
      </c>
    </row>
    <row r="49" spans="1:9" s="5" customFormat="1" ht="18" customHeight="1">
      <c r="A49" s="9" t="s">
        <v>52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</row>
    <row r="50" spans="1:9" s="5" customFormat="1" ht="18" customHeight="1">
      <c r="A50" s="9" t="s">
        <v>53</v>
      </c>
      <c r="B50" s="13">
        <f>23+65+65+65+74+58</f>
        <v>350</v>
      </c>
      <c r="C50" s="9">
        <f>January!C50+B50</f>
        <v>1139</v>
      </c>
      <c r="D50" s="15"/>
      <c r="E50" s="9">
        <f>January!E50+D50</f>
        <v>0</v>
      </c>
      <c r="F50" s="17"/>
      <c r="G50" s="9">
        <f>January!G50+F50</f>
        <v>0</v>
      </c>
      <c r="H50" s="19"/>
      <c r="I50" s="9">
        <f>January!I50+H50</f>
        <v>0</v>
      </c>
    </row>
    <row r="51" spans="1:9" s="5" customFormat="1" ht="18" customHeight="1">
      <c r="A51" s="9" t="s">
        <v>54</v>
      </c>
      <c r="B51" s="13">
        <v>160</v>
      </c>
      <c r="C51" s="9">
        <f>January!C51+B51</f>
        <v>510</v>
      </c>
      <c r="D51" s="15"/>
      <c r="E51" s="9">
        <f>January!E51+D51</f>
        <v>0</v>
      </c>
      <c r="F51" s="17"/>
      <c r="G51" s="9">
        <f>January!G51+F51</f>
        <v>1</v>
      </c>
      <c r="H51" s="19"/>
      <c r="I51" s="9">
        <f>January!I51+H51</f>
        <v>0</v>
      </c>
    </row>
    <row r="52" spans="1:9" s="5" customFormat="1" ht="18" customHeight="1">
      <c r="A52" s="9" t="s">
        <v>55</v>
      </c>
      <c r="B52" s="13">
        <v>65</v>
      </c>
      <c r="C52" s="9">
        <f>January!C52+B52</f>
        <v>551</v>
      </c>
      <c r="D52" s="15"/>
      <c r="E52" s="9">
        <f>January!E52+D52</f>
        <v>0</v>
      </c>
      <c r="F52" s="17"/>
      <c r="G52" s="9">
        <f>January!G52+F52</f>
        <v>0</v>
      </c>
      <c r="H52" s="19"/>
      <c r="I52" s="9">
        <f>January!I52+H52</f>
        <v>0</v>
      </c>
    </row>
    <row r="53" spans="1:9" s="5" customFormat="1" ht="18" customHeight="1">
      <c r="A53" s="9" t="s">
        <v>56</v>
      </c>
      <c r="B53" s="13">
        <f>75+28+3+15+6+25+51+43+11+52+24+13+38+6+24+6+66+18+13+91+20+21+8+12+25+7+20+21+19+7+10+4+21+28+18+40+1+9+60+10+7+5+2+51+4+3+5+75+18+23+7+12</f>
        <v>1181</v>
      </c>
      <c r="C53" s="9">
        <f>January!C53+B53</f>
        <v>4624</v>
      </c>
      <c r="D53" s="15">
        <f>3+2+5+3+1+1+21+36+18+11+5+10+2+28+8+8+14+12+11+2+24+7+12+10+9+1+1+1+68+1+2+1+40</f>
        <v>378</v>
      </c>
      <c r="E53" s="9">
        <f>January!E53+D53</f>
        <v>516</v>
      </c>
      <c r="F53" s="17">
        <f>80+1+80+170+80+4+2+38+38+14+116+80+14+260+2+119+120+3+80+21+1+2+2+8+2+288+38+1+1</f>
        <v>1665</v>
      </c>
      <c r="G53" s="9">
        <f>January!G53+F53</f>
        <v>2429</v>
      </c>
      <c r="H53" s="19"/>
      <c r="I53" s="9">
        <f>January!I53+H53</f>
        <v>0</v>
      </c>
    </row>
    <row r="54" spans="1:9" s="5" customFormat="1" ht="18" customHeight="1" thickBot="1">
      <c r="A54" s="10" t="s">
        <v>57</v>
      </c>
      <c r="B54" s="13">
        <f>120+90+132+247+1</f>
        <v>590</v>
      </c>
      <c r="C54" s="9">
        <f>January!C54+B54</f>
        <v>2033</v>
      </c>
      <c r="D54" s="15"/>
      <c r="E54" s="9">
        <f>January!E54+D54</f>
        <v>306</v>
      </c>
      <c r="F54" s="17"/>
      <c r="G54" s="9">
        <f>January!G54+F54</f>
        <v>0</v>
      </c>
      <c r="H54" s="19"/>
      <c r="I54" s="9">
        <f>January!I54+H54</f>
        <v>0</v>
      </c>
    </row>
    <row r="55" spans="1:9" s="5" customFormat="1" ht="18" customHeight="1" thickBot="1" thickTop="1">
      <c r="A55" s="11" t="s">
        <v>58</v>
      </c>
      <c r="B55" s="11">
        <f>SUM(B5:B54)</f>
        <v>79666</v>
      </c>
      <c r="C55" s="11"/>
      <c r="D55" s="11">
        <f>SUM(D5:D54)</f>
        <v>3837</v>
      </c>
      <c r="E55" s="11"/>
      <c r="F55" s="11">
        <f>SUM(F5:F54)</f>
        <v>3133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January!C57+B55</f>
        <v>164629</v>
      </c>
      <c r="D57" s="11"/>
      <c r="E57" s="11">
        <f>January!E57+D55</f>
        <v>12683</v>
      </c>
      <c r="F57" s="11"/>
      <c r="G57" s="11">
        <f>January!G57+F55</f>
        <v>7474</v>
      </c>
      <c r="H57" s="11"/>
      <c r="I57" s="11">
        <f>January!I57+H55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January!E62+D60</f>
        <v>32</v>
      </c>
      <c r="G62" s="4">
        <f>January!G62+F60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D11" sqref="D1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65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>
        <v>0</v>
      </c>
      <c r="C5" s="9">
        <f>February!C5+B5</f>
        <v>0</v>
      </c>
      <c r="D5" s="15">
        <v>0</v>
      </c>
      <c r="E5" s="9">
        <f>February!E5+D5</f>
        <v>0</v>
      </c>
      <c r="F5" s="17">
        <v>60</v>
      </c>
      <c r="G5" s="9">
        <f>February!G5+F5</f>
        <v>60</v>
      </c>
      <c r="H5" s="19"/>
      <c r="I5" s="9">
        <f>February!I5+H5</f>
        <v>0</v>
      </c>
    </row>
    <row r="6" spans="1:9" s="5" customFormat="1" ht="18" customHeight="1">
      <c r="A6" s="9" t="s">
        <v>9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</row>
    <row r="7" spans="1:9" s="5" customFormat="1" ht="18" customHeight="1">
      <c r="A7" s="9" t="s">
        <v>10</v>
      </c>
      <c r="B7" s="13"/>
      <c r="C7" s="9">
        <f>February!C7+B7</f>
        <v>198</v>
      </c>
      <c r="D7" s="15"/>
      <c r="E7" s="9">
        <f>February!E7+D7</f>
        <v>0</v>
      </c>
      <c r="F7" s="17"/>
      <c r="G7" s="9">
        <f>February!G7+F7</f>
        <v>156</v>
      </c>
      <c r="H7" s="19"/>
      <c r="I7" s="9">
        <f>February!I7+H7</f>
        <v>0</v>
      </c>
    </row>
    <row r="8" spans="1:9" s="5" customFormat="1" ht="18" customHeight="1">
      <c r="A8" s="9" t="s">
        <v>11</v>
      </c>
      <c r="B8" s="13">
        <f>58+72+87+61</f>
        <v>278</v>
      </c>
      <c r="C8" s="9">
        <f>February!C8+B8</f>
        <v>2439</v>
      </c>
      <c r="D8" s="15">
        <v>5</v>
      </c>
      <c r="E8" s="9">
        <f>February!E8+D8</f>
        <v>15</v>
      </c>
      <c r="F8" s="17">
        <f>1+1+1+1+1+1+1+1+1+1</f>
        <v>10</v>
      </c>
      <c r="G8" s="9">
        <f>February!G8+F8</f>
        <v>10</v>
      </c>
      <c r="H8" s="19"/>
      <c r="I8" s="9">
        <f>February!I8+H8</f>
        <v>0</v>
      </c>
    </row>
    <row r="9" spans="1:9" s="5" customFormat="1" ht="18" customHeight="1">
      <c r="A9" s="9" t="s">
        <v>12</v>
      </c>
      <c r="B9" s="13"/>
      <c r="C9" s="9">
        <f>February!C9+B9</f>
        <v>0</v>
      </c>
      <c r="D9" s="15">
        <v>1</v>
      </c>
      <c r="E9" s="9">
        <f>February!E9+D9</f>
        <v>2</v>
      </c>
      <c r="F9" s="17">
        <f>15+1+15+15+1</f>
        <v>47</v>
      </c>
      <c r="G9" s="9">
        <f>February!G9+F9</f>
        <v>226</v>
      </c>
      <c r="H9" s="19"/>
      <c r="I9" s="9">
        <f>February!I9+H9</f>
        <v>0</v>
      </c>
    </row>
    <row r="10" spans="1:9" s="5" customFormat="1" ht="18" customHeight="1">
      <c r="A10" s="9" t="s">
        <v>13</v>
      </c>
      <c r="B10" s="13"/>
      <c r="C10" s="9">
        <f>February!C10+B10</f>
        <v>0</v>
      </c>
      <c r="D10" s="15">
        <v>4</v>
      </c>
      <c r="E10" s="9">
        <f>February!E10+D10</f>
        <v>4</v>
      </c>
      <c r="F10" s="17">
        <v>1</v>
      </c>
      <c r="G10" s="9">
        <f>February!G10+F10</f>
        <v>1</v>
      </c>
      <c r="H10" s="19"/>
      <c r="I10" s="9">
        <f>February!I10+H10</f>
        <v>0</v>
      </c>
    </row>
    <row r="11" spans="1:9" s="5" customFormat="1" ht="18" customHeight="1">
      <c r="A11" s="9" t="s">
        <v>14</v>
      </c>
      <c r="B11" s="13"/>
      <c r="C11" s="9">
        <f>February!C11+B11</f>
        <v>857</v>
      </c>
      <c r="D11" s="15">
        <v>6</v>
      </c>
      <c r="E11" s="9">
        <f>February!E11+D11</f>
        <v>551</v>
      </c>
      <c r="F11" s="17"/>
      <c r="G11" s="9">
        <f>February!G11+F11</f>
        <v>177</v>
      </c>
      <c r="H11" s="19"/>
      <c r="I11" s="9">
        <f>February!I11+H11</f>
        <v>0</v>
      </c>
    </row>
    <row r="12" spans="1:9" s="5" customFormat="1" ht="18" customHeight="1">
      <c r="A12" s="9" t="s">
        <v>15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</row>
    <row r="13" spans="1:9" s="5" customFormat="1" ht="18" customHeight="1">
      <c r="A13" s="9" t="s">
        <v>16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</row>
    <row r="14" spans="1:9" s="5" customFormat="1" ht="18" customHeight="1">
      <c r="A14" s="9" t="s">
        <v>17</v>
      </c>
      <c r="B14" s="13"/>
      <c r="C14" s="9">
        <f>February!C14+B14</f>
        <v>0</v>
      </c>
      <c r="D14" s="15">
        <v>1</v>
      </c>
      <c r="E14" s="9">
        <f>February!E14+D14</f>
        <v>1</v>
      </c>
      <c r="F14" s="17"/>
      <c r="G14" s="9">
        <f>February!G14+F14</f>
        <v>0</v>
      </c>
      <c r="H14" s="19"/>
      <c r="I14" s="9">
        <f>February!I14+H14</f>
        <v>0</v>
      </c>
    </row>
    <row r="15" spans="1:9" s="5" customFormat="1" ht="18" customHeight="1">
      <c r="A15" s="9" t="s">
        <v>18</v>
      </c>
      <c r="B15" s="13"/>
      <c r="C15" s="9">
        <f>February!C15+B15</f>
        <v>868</v>
      </c>
      <c r="D15" s="15">
        <v>2</v>
      </c>
      <c r="E15" s="9">
        <f>February!E15+D15</f>
        <v>101</v>
      </c>
      <c r="F15" s="17"/>
      <c r="G15" s="9">
        <f>February!G15+F15</f>
        <v>0</v>
      </c>
      <c r="H15" s="19"/>
      <c r="I15" s="9">
        <f>February!I15+H15</f>
        <v>0</v>
      </c>
    </row>
    <row r="16" spans="1:9" s="5" customFormat="1" ht="18" customHeight="1">
      <c r="A16" s="9" t="s">
        <v>19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</row>
    <row r="17" spans="1:9" s="5" customFormat="1" ht="18" customHeight="1">
      <c r="A17" s="9" t="s">
        <v>20</v>
      </c>
      <c r="B17" s="13">
        <v>180</v>
      </c>
      <c r="C17" s="9">
        <f>February!C17+B17</f>
        <v>1511</v>
      </c>
      <c r="D17" s="15"/>
      <c r="E17" s="9">
        <f>February!E17+D17</f>
        <v>105</v>
      </c>
      <c r="F17" s="17"/>
      <c r="G17" s="9">
        <f>February!G17+F17</f>
        <v>0</v>
      </c>
      <c r="H17" s="19"/>
      <c r="I17" s="9">
        <f>February!I17+H17</f>
        <v>0</v>
      </c>
    </row>
    <row r="18" spans="1:9" s="5" customFormat="1" ht="18" customHeight="1">
      <c r="A18" s="9" t="s">
        <v>21</v>
      </c>
      <c r="B18" s="13">
        <f>160+4+4+17+156+11+10+13+22+51+144+12+36+70+1+1+70</f>
        <v>782</v>
      </c>
      <c r="C18" s="9">
        <f>February!C18+B18</f>
        <v>1997</v>
      </c>
      <c r="D18" s="15">
        <v>58</v>
      </c>
      <c r="E18" s="9">
        <f>February!E18+D18</f>
        <v>180</v>
      </c>
      <c r="F18" s="17">
        <f>1+1+1+1+2+1+1+1+1+1</f>
        <v>11</v>
      </c>
      <c r="G18" s="9">
        <f>February!G18+F18</f>
        <v>15</v>
      </c>
      <c r="H18" s="19"/>
      <c r="I18" s="9">
        <f>February!I18+H18</f>
        <v>0</v>
      </c>
    </row>
    <row r="19" spans="1:9" s="5" customFormat="1" ht="18" customHeight="1">
      <c r="A19" s="9" t="s">
        <v>22</v>
      </c>
      <c r="B19" s="13">
        <f>60+65+150+105+120+66</f>
        <v>566</v>
      </c>
      <c r="C19" s="9">
        <f>February!C19+B19</f>
        <v>1567</v>
      </c>
      <c r="D19" s="15">
        <f>1+1+120</f>
        <v>122</v>
      </c>
      <c r="E19" s="9">
        <f>February!E19+D19</f>
        <v>259</v>
      </c>
      <c r="F19" s="17">
        <f>99+11</f>
        <v>110</v>
      </c>
      <c r="G19" s="9">
        <f>February!G19+F19</f>
        <v>1749</v>
      </c>
      <c r="H19" s="19"/>
      <c r="I19" s="9">
        <f>February!I19+H19</f>
        <v>0</v>
      </c>
    </row>
    <row r="20" spans="1:9" s="5" customFormat="1" ht="18" customHeight="1">
      <c r="A20" s="9" t="s">
        <v>23</v>
      </c>
      <c r="B20" s="13">
        <f>74+119+105+119+117+119+144+70+69+61+47+31+77+145+250</f>
        <v>1547</v>
      </c>
      <c r="C20" s="9">
        <f>February!C20+B20</f>
        <v>5214</v>
      </c>
      <c r="D20" s="15">
        <f>1+3+3+1+2+2+2+1+44+1+1+1+1+5+2+1+3+45+160</f>
        <v>279</v>
      </c>
      <c r="E20" s="9">
        <f>February!E20+D20</f>
        <v>444</v>
      </c>
      <c r="F20" s="17">
        <f>105+105</f>
        <v>210</v>
      </c>
      <c r="G20" s="9">
        <f>February!G20+F20</f>
        <v>233</v>
      </c>
      <c r="H20" s="19"/>
      <c r="I20" s="9">
        <f>February!I20+H20</f>
        <v>0</v>
      </c>
    </row>
    <row r="21" spans="1:9" s="5" customFormat="1" ht="18" customHeight="1">
      <c r="A21" s="9" t="s">
        <v>24</v>
      </c>
      <c r="B21" s="13">
        <f>130+62+83+62+71+125+119+250+76+69+61+143+76+135+206+140+80+186+66+66+331+64+75+80+62+118+60+440+180+129+58+65+123+145+64+62+140+60+113+61+75+67+134+136+64+122+124+69+136+77+500+365+90+81+85+77+182+33+134+65+110+165+141+123+59+65+136+65+71+73+23+14+10+63+38+117+240+66+43+42+19+63+61+61+65+63+61+71+76+70+31+26+13+75+13+69+150+60+115+17+24+17+5+62+177+120+75+240+144+148</f>
        <v>11107</v>
      </c>
      <c r="C21" s="9">
        <f>February!C21+B21</f>
        <v>24575</v>
      </c>
      <c r="D21" s="15">
        <f>1+1+1+2+6</f>
        <v>11</v>
      </c>
      <c r="E21" s="9">
        <f>February!E21+D21</f>
        <v>15</v>
      </c>
      <c r="F21" s="17">
        <v>75</v>
      </c>
      <c r="G21" s="9">
        <f>February!G21+F21</f>
        <v>75</v>
      </c>
      <c r="H21" s="19"/>
      <c r="I21" s="9">
        <f>February!I21+H21</f>
        <v>0</v>
      </c>
    </row>
    <row r="22" spans="1:9" s="5" customFormat="1" ht="18" customHeight="1">
      <c r="A22" s="9" t="s">
        <v>25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</row>
    <row r="23" spans="1:9" s="5" customFormat="1" ht="18" customHeight="1">
      <c r="A23" s="9" t="s">
        <v>26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0</v>
      </c>
      <c r="H23" s="19"/>
      <c r="I23" s="9">
        <f>February!I23+H23</f>
        <v>0</v>
      </c>
    </row>
    <row r="24" spans="1:9" s="5" customFormat="1" ht="18" customHeight="1">
      <c r="A24" s="9" t="s">
        <v>27</v>
      </c>
      <c r="B24" s="13"/>
      <c r="C24" s="9">
        <f>February!C24+B24</f>
        <v>0</v>
      </c>
      <c r="D24" s="15"/>
      <c r="E24" s="9">
        <f>February!E24+D24</f>
        <v>2</v>
      </c>
      <c r="F24" s="17"/>
      <c r="G24" s="9">
        <f>February!G24+F24</f>
        <v>2</v>
      </c>
      <c r="H24" s="19"/>
      <c r="I24" s="9">
        <f>February!I24+H24</f>
        <v>0</v>
      </c>
    </row>
    <row r="25" spans="1:9" s="5" customFormat="1" ht="18" customHeight="1">
      <c r="A25" s="9" t="s">
        <v>28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</row>
    <row r="26" spans="1:9" s="5" customFormat="1" ht="18" customHeight="1">
      <c r="A26" s="9" t="s">
        <v>29</v>
      </c>
      <c r="B26" s="13"/>
      <c r="C26" s="9">
        <f>February!C26+B26</f>
        <v>77</v>
      </c>
      <c r="D26" s="15">
        <v>2</v>
      </c>
      <c r="E26" s="9">
        <f>February!E26+D26</f>
        <v>2</v>
      </c>
      <c r="F26" s="17"/>
      <c r="G26" s="9">
        <f>February!G26+F26</f>
        <v>0</v>
      </c>
      <c r="H26" s="19"/>
      <c r="I26" s="9">
        <f>February!I26+H26</f>
        <v>0</v>
      </c>
    </row>
    <row r="27" spans="1:9" s="5" customFormat="1" ht="18" customHeight="1">
      <c r="A27" s="9" t="s">
        <v>30</v>
      </c>
      <c r="B27" s="13">
        <f>1+11+5+16+70+21+29+61+32+8+20+23+5+19+90+10+9+83+114+80+88+99+68+31+77+35+91+31+5+50+8+12+7+11+3+15+4+28+32+67+51+53+62+93+76+200+198+67+68+223+182+68+63+96+43+53+9+5+21+60+10+13+18+18+28+21+45+8+12+3+36+10+35+11+2+58+5+13+9+1+1+1+1+88+147+137+25+45+154+1000+9+36+16+5+60+206+130+1+124+90+181+157+42+55+44+6+20+1+3+3+4+8+3+20+17+9+15+4+2+6+4+14+61+28+40+29+38+3</f>
        <v>6609</v>
      </c>
      <c r="C27" s="9">
        <f>February!C27+B27</f>
        <v>13549</v>
      </c>
      <c r="D27" s="15">
        <f>1+1+1+1+13+6+1+1+3+1+1+37+5+3+2+5+18+18+34+34+34+3+7+4+2+30+1+2+23</f>
        <v>292</v>
      </c>
      <c r="E27" s="9">
        <f>February!E27+D27</f>
        <v>866</v>
      </c>
      <c r="F27" s="17">
        <f>2+39+39+39+7+15+17+1+16+1+6+109+1+60+39+10+3+25+2+38+112+13+1+80+1+1+1+52+27+5</f>
        <v>762</v>
      </c>
      <c r="G27" s="9">
        <f>February!G27+F27</f>
        <v>2618</v>
      </c>
      <c r="H27" s="19"/>
      <c r="I27" s="9">
        <f>February!I27+H27</f>
        <v>0</v>
      </c>
    </row>
    <row r="28" spans="1:9" s="5" customFormat="1" ht="18" customHeight="1">
      <c r="A28" s="9" t="s">
        <v>31</v>
      </c>
      <c r="B28" s="13"/>
      <c r="C28" s="9">
        <f>February!C28+B28</f>
        <v>0</v>
      </c>
      <c r="D28" s="15"/>
      <c r="E28" s="9">
        <f>February!E28+D28</f>
        <v>1</v>
      </c>
      <c r="F28" s="17"/>
      <c r="G28" s="9">
        <f>February!G28+F28</f>
        <v>0</v>
      </c>
      <c r="H28" s="19"/>
      <c r="I28" s="9">
        <f>February!I28+H28</f>
        <v>0</v>
      </c>
    </row>
    <row r="29" spans="1:9" s="5" customFormat="1" ht="18" customHeight="1">
      <c r="A29" s="9" t="s">
        <v>32</v>
      </c>
      <c r="B29" s="13">
        <f>7+5+65+75+13+60+60+50+66+53+55+84+600+71+81+319+70+74+50+54+120+160+145+53+68+44+127+70+25+121+125+70+70+69+68+77+63+71+70+144+59+300+75+59+76+76+57+16+72+71+28+85+30+49+27+26+64+86+76+80+4+223+83+42+4+33+10+4+10+39+44+64+120+135+180+154+70+270+135+70+72+64+129+282+125+96+8+77+65+3+71+67+75+83+96+72+45+3+2+132+72+1+70+74+68+74+74+61+215+110+66+125+25+66+79+61+75+525+299+180+77+71+120+63+75+70+58+43+198+147+128+22+47+15</f>
        <v>11799</v>
      </c>
      <c r="C29" s="9">
        <f>February!C29+B29</f>
        <v>31145</v>
      </c>
      <c r="D29" s="15">
        <f>4+3+1+3+6+1+1+12+10+44+12+12+4+17+6+10+3+2+8+7+10+7+63+190+68+62+63+100+102+98+62+1</f>
        <v>992</v>
      </c>
      <c r="E29" s="9">
        <f>February!E29+D29</f>
        <v>2521</v>
      </c>
      <c r="F29" s="17">
        <f>22+22+22+13+1</f>
        <v>80</v>
      </c>
      <c r="G29" s="9">
        <f>February!G29+F29</f>
        <v>80</v>
      </c>
      <c r="H29" s="19"/>
      <c r="I29" s="9">
        <f>February!I29+H29</f>
        <v>0</v>
      </c>
    </row>
    <row r="30" spans="1:9" s="5" customFormat="1" ht="18" customHeight="1">
      <c r="A30" s="9" t="s">
        <v>33</v>
      </c>
      <c r="B30" s="13">
        <f>136+2+1+62+610+22+24+6+41+75+100+60+495+305+394+2+24+4+5+17+80+155</f>
        <v>2620</v>
      </c>
      <c r="C30" s="9">
        <f>February!C30+B30</f>
        <v>11247</v>
      </c>
      <c r="D30" s="15">
        <f>1+1+84+1+2+8+1+2+1+2+1+1+1+2+70+51+63+82</f>
        <v>374</v>
      </c>
      <c r="E30" s="9">
        <f>February!E30+D30</f>
        <v>853</v>
      </c>
      <c r="F30" s="17"/>
      <c r="G30" s="9">
        <f>February!G30+F30</f>
        <v>0</v>
      </c>
      <c r="H30" s="19"/>
      <c r="I30" s="9">
        <f>February!I30+H30</f>
        <v>0</v>
      </c>
    </row>
    <row r="31" spans="1:9" s="5" customFormat="1" ht="18" customHeight="1">
      <c r="A31" s="9" t="s">
        <v>34</v>
      </c>
      <c r="B31" s="13">
        <f>80+67+40+240+60+73+73+126+155+67+67+75+93+17+49+38+461+189+93+97+100+86+219+79+80+86+84+62+85+63+98+100+76+237+161+36+85+132+81+60+124+63+1</f>
        <v>4358</v>
      </c>
      <c r="C31" s="9">
        <f>February!C31+B31</f>
        <v>12319</v>
      </c>
      <c r="D31" s="15">
        <f>1+1+6+40+14+58+2+1+1+8+99+14+1+57+41+42+4+93+9+28+57+1+12+6+2+4+1+15+1+20+16+8+4+3+1+3+4+38+43+3+16</f>
        <v>778</v>
      </c>
      <c r="E31" s="9">
        <f>February!E31+D31</f>
        <v>2196</v>
      </c>
      <c r="F31" s="17">
        <f>32+1+41+80+49</f>
        <v>203</v>
      </c>
      <c r="G31" s="9">
        <f>February!G31+F31</f>
        <v>631</v>
      </c>
      <c r="H31" s="19"/>
      <c r="I31" s="9">
        <f>February!I31+H31</f>
        <v>0</v>
      </c>
    </row>
    <row r="32" spans="1:9" s="5" customFormat="1" ht="18" customHeight="1">
      <c r="A32" s="9" t="s">
        <v>35</v>
      </c>
      <c r="B32" s="13"/>
      <c r="C32" s="9">
        <f>February!C32+B32</f>
        <v>0</v>
      </c>
      <c r="D32" s="15"/>
      <c r="E32" s="9">
        <f>February!E32+D32</f>
        <v>0</v>
      </c>
      <c r="F32" s="17"/>
      <c r="G32" s="9">
        <f>February!G32+F32</f>
        <v>0</v>
      </c>
      <c r="H32" s="19"/>
      <c r="I32" s="9">
        <f>February!I32+H32</f>
        <v>0</v>
      </c>
    </row>
    <row r="33" spans="1:9" s="5" customFormat="1" ht="18" customHeight="1">
      <c r="A33" s="9" t="s">
        <v>36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</row>
    <row r="34" spans="1:9" s="5" customFormat="1" ht="18" customHeight="1">
      <c r="A34" s="9" t="s">
        <v>37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</row>
    <row r="35" spans="1:9" s="5" customFormat="1" ht="18" customHeight="1">
      <c r="A35" s="9" t="s">
        <v>38</v>
      </c>
      <c r="B35" s="13"/>
      <c r="C35" s="9">
        <f>February!C35+B35</f>
        <v>237</v>
      </c>
      <c r="D35" s="15"/>
      <c r="E35" s="9">
        <f>February!E35+D35</f>
        <v>0</v>
      </c>
      <c r="F35" s="17"/>
      <c r="G35" s="9">
        <f>February!G35+F35</f>
        <v>146</v>
      </c>
      <c r="H35" s="19"/>
      <c r="I35" s="9">
        <f>February!I35+H35</f>
        <v>0</v>
      </c>
    </row>
    <row r="36" spans="1:9" s="5" customFormat="1" ht="18" customHeight="1">
      <c r="A36" s="9" t="s">
        <v>39</v>
      </c>
      <c r="B36" s="13"/>
      <c r="C36" s="9">
        <f>February!C36+B36</f>
        <v>0</v>
      </c>
      <c r="D36" s="15"/>
      <c r="E36" s="9">
        <f>February!E36+D36</f>
        <v>0</v>
      </c>
      <c r="F36" s="17">
        <f>37+37+4</f>
        <v>78</v>
      </c>
      <c r="G36" s="9">
        <f>February!G36+F36</f>
        <v>118</v>
      </c>
      <c r="H36" s="19"/>
      <c r="I36" s="9">
        <f>February!I36+H36</f>
        <v>0</v>
      </c>
    </row>
    <row r="37" spans="1:9" s="5" customFormat="1" ht="18" customHeight="1">
      <c r="A37" s="9" t="s">
        <v>40</v>
      </c>
      <c r="B37" s="13"/>
      <c r="C37" s="9">
        <f>February!C37+B37</f>
        <v>90</v>
      </c>
      <c r="D37" s="15"/>
      <c r="E37" s="9">
        <f>February!E37+D37</f>
        <v>1</v>
      </c>
      <c r="F37" s="17">
        <v>3</v>
      </c>
      <c r="G37" s="9">
        <f>February!G37+F37</f>
        <v>3</v>
      </c>
      <c r="H37" s="19"/>
      <c r="I37" s="9">
        <f>February!I37+H37</f>
        <v>0</v>
      </c>
    </row>
    <row r="38" spans="1:9" s="5" customFormat="1" ht="18" customHeight="1">
      <c r="A38" s="9" t="s">
        <v>41</v>
      </c>
      <c r="B38" s="13">
        <f>49+65+180+85+86+82+127+130+67+60+50+61+83+83+64+69+64+37+57+75+196+85+250+13+62+90+28+70+35+145+44+55+23+61+75+90+60+59+246+69+64+20+66+74+119+85+80+80+80+151+405+214+223+88+76+98+70+218+113+53+81+71+210+87+129+70+100+27+60+125+80+62+165+77+80+91+35+70+69+78+138+68+66+66+62+72</f>
        <v>7946</v>
      </c>
      <c r="C38" s="9">
        <f>February!C38+B38</f>
        <v>25298</v>
      </c>
      <c r="D38" s="15">
        <f>33+9+12+9+1+1+1+2+13</f>
        <v>81</v>
      </c>
      <c r="E38" s="9">
        <f>February!E38+D38</f>
        <v>319</v>
      </c>
      <c r="F38" s="17">
        <v>41</v>
      </c>
      <c r="G38" s="9">
        <f>February!G38+F38</f>
        <v>120</v>
      </c>
      <c r="H38" s="19"/>
      <c r="I38" s="9">
        <f>February!I38+H38</f>
        <v>0</v>
      </c>
    </row>
    <row r="39" spans="1:9" s="5" customFormat="1" ht="18" customHeight="1">
      <c r="A39" s="9" t="s">
        <v>42</v>
      </c>
      <c r="B39" s="13"/>
      <c r="C39" s="9">
        <f>February!C39+B39</f>
        <v>1248</v>
      </c>
      <c r="D39" s="15">
        <v>10</v>
      </c>
      <c r="E39" s="9">
        <f>February!E39+D39</f>
        <v>20</v>
      </c>
      <c r="F39" s="17">
        <f>5+12+12+12+12+12+12+12+12+12+12+12+12+12+11+12+85+124</f>
        <v>393</v>
      </c>
      <c r="G39" s="9">
        <f>February!G39+F39</f>
        <v>487</v>
      </c>
      <c r="H39" s="19"/>
      <c r="I39" s="9">
        <f>February!I39+H39</f>
        <v>0</v>
      </c>
    </row>
    <row r="40" spans="1:9" s="5" customFormat="1" ht="18" customHeight="1">
      <c r="A40" s="9" t="s">
        <v>43</v>
      </c>
      <c r="B40" s="13">
        <f>167+92</f>
        <v>259</v>
      </c>
      <c r="C40" s="9">
        <f>February!C40+B40</f>
        <v>372</v>
      </c>
      <c r="D40" s="15">
        <f>3+2+1+10+10+9</f>
        <v>35</v>
      </c>
      <c r="E40" s="9">
        <f>February!E40+D40</f>
        <v>42</v>
      </c>
      <c r="F40" s="17"/>
      <c r="G40" s="9">
        <f>February!G40+F40</f>
        <v>0</v>
      </c>
      <c r="H40" s="19"/>
      <c r="I40" s="9">
        <f>February!I40+H40</f>
        <v>0</v>
      </c>
    </row>
    <row r="41" spans="1:9" s="5" customFormat="1" ht="18" customHeight="1">
      <c r="A41" s="9" t="s">
        <v>44</v>
      </c>
      <c r="B41" s="13">
        <f>12+26</f>
        <v>38</v>
      </c>
      <c r="C41" s="9">
        <f>February!C41+B41</f>
        <v>38</v>
      </c>
      <c r="D41" s="15"/>
      <c r="E41" s="9">
        <f>February!E41+D41</f>
        <v>85</v>
      </c>
      <c r="F41" s="17"/>
      <c r="G41" s="9">
        <f>February!G41+F41</f>
        <v>0</v>
      </c>
      <c r="H41" s="19"/>
      <c r="I41" s="9">
        <f>February!I41+H41</f>
        <v>0</v>
      </c>
    </row>
    <row r="42" spans="1:9" s="5" customFormat="1" ht="18" customHeight="1">
      <c r="A42" s="9" t="s">
        <v>45</v>
      </c>
      <c r="B42" s="13">
        <f>96+85</f>
        <v>181</v>
      </c>
      <c r="C42" s="9">
        <f>February!C42+B42</f>
        <v>567</v>
      </c>
      <c r="D42" s="15"/>
      <c r="E42" s="9">
        <f>February!E42+D42</f>
        <v>232</v>
      </c>
      <c r="F42" s="17">
        <v>75</v>
      </c>
      <c r="G42" s="9">
        <f>February!G42+F42</f>
        <v>180</v>
      </c>
      <c r="H42" s="19"/>
      <c r="I42" s="9">
        <f>February!I42+H42</f>
        <v>0</v>
      </c>
    </row>
    <row r="43" spans="1:9" s="5" customFormat="1" ht="18" customHeight="1">
      <c r="A43" s="9" t="s">
        <v>46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</row>
    <row r="44" spans="1:9" s="5" customFormat="1" ht="18" customHeight="1">
      <c r="A44" s="9" t="s">
        <v>47</v>
      </c>
      <c r="B44" s="13">
        <f>76+86+98</f>
        <v>260</v>
      </c>
      <c r="C44" s="9">
        <f>February!C44+B44</f>
        <v>1857</v>
      </c>
      <c r="D44" s="15"/>
      <c r="E44" s="9">
        <f>February!E44+D44</f>
        <v>0</v>
      </c>
      <c r="F44" s="17"/>
      <c r="G44" s="9">
        <f>February!G44+F44</f>
        <v>0</v>
      </c>
      <c r="H44" s="19"/>
      <c r="I44" s="9">
        <f>February!I44+H44</f>
        <v>0</v>
      </c>
    </row>
    <row r="45" spans="1:9" s="5" customFormat="1" ht="18" customHeight="1">
      <c r="A45" s="9" t="s">
        <v>48</v>
      </c>
      <c r="B45" s="13">
        <f>64+210+504+63+79+75+72+76+77+142+30+164+78+22+89+79+294+82+80+86+163+166+60+89+143+67+142+156+134+78+63+149+65+60+252+176+80+82+70+87+75+47+147+64+34+84+164+62+2+43+59+39+89+138+15+22+20+304+31+15+110+96+50+54+4+69+160+83+31+76+8+13+67+18+70+86+125+28+27+18+129+7+14+57+13+2+11+95+82+131+89+44+52+80+85+154+68+49+22+125+37+9+217+31+232+140+48+72+86+362+109+20+16+15+47+89+28+47+8+44+3+37+120+26+231+14+6+70+141+394+36+2+95+18+42+8+35+110+47+51+106+70+81+145+152+30+64+81+18+74+47+63+36+9+60+24+102+34+83+285+23+36+59+85+148+20+74+75+131+604+61+34+77+285+160+201+140+265+70+27+21+85+161+104+198+89+72+81+158+47+81+20+90+70+260+280+194+55+137+138+137+88+80+190+70+75+75+3+15+4+30+87+29+18+64+36+29+19+8+28+42+9+42+19+84+31+155+317+110+66+22+74+74+62+19+37+36+22+19+77+138+72+67+86+40+63+66+201+115+67+135+261+135+158+30+21+70+90+69+22+145+38+75+90+79+225+49+102+25+93+7+52+95+25+19+233+34+69+105+85+85+93+30+76+210+80+50+157+72+54+23+23+197+36+62+188+75+105+78+17+37+13+70+84+74+77+67+170+85+67+135+89+132+63+76+13+272+155+124+67+80+16+59+14+32+3+60+102+36+32+10+22+17+12+13+57+79+18+570+700+495+600+580+474+30+58+119+67+1020</f>
        <v>33136</v>
      </c>
      <c r="C45" s="9">
        <f>February!C45+B45</f>
        <v>96876</v>
      </c>
      <c r="D45" s="15">
        <f>28+24+25+15+62+36+36+20+26+1+15+12+2+20+1+22+2+19+6+10+12+12+6+19+1+14+9+48+18+3+32+10+2+5+28+2+5+35+51+2+19+251+5+51+16+1+1+4+5+1+2+1+12+17+12+43+23+1+2+1+2+1+1+1+3+1+3+40+108+14+7+8+1+10+8+3+2+14+7+19+17+44+11+79+1+21+7+44+1+6+1</f>
        <v>1649</v>
      </c>
      <c r="E45" s="9">
        <f>February!E45+D45</f>
        <v>7683</v>
      </c>
      <c r="F45" s="17">
        <f>1+3+1+1</f>
        <v>6</v>
      </c>
      <c r="G45" s="9">
        <f>February!G45+F45</f>
        <v>122</v>
      </c>
      <c r="H45" s="19"/>
      <c r="I45" s="9">
        <f>February!I45+H45</f>
        <v>0</v>
      </c>
    </row>
    <row r="46" spans="1:9" s="5" customFormat="1" ht="18" customHeight="1">
      <c r="A46" s="9" t="s">
        <v>49</v>
      </c>
      <c r="B46" s="13">
        <f>81+75+58+104+96+53+53+55+74</f>
        <v>649</v>
      </c>
      <c r="C46" s="9">
        <f>February!C46+B46</f>
        <v>2775</v>
      </c>
      <c r="D46" s="15"/>
      <c r="E46" s="9">
        <f>February!E46+D46</f>
        <v>59</v>
      </c>
      <c r="F46" s="17">
        <f>9+11+12+12+12+12+12</f>
        <v>80</v>
      </c>
      <c r="G46" s="9">
        <f>February!G46+F46</f>
        <v>80</v>
      </c>
      <c r="H46" s="19"/>
      <c r="I46" s="9">
        <f>February!I46+H46</f>
        <v>0</v>
      </c>
    </row>
    <row r="47" spans="1:9" s="5" customFormat="1" ht="18" customHeight="1">
      <c r="A47" s="9" t="s">
        <v>50</v>
      </c>
      <c r="B47" s="13"/>
      <c r="C47" s="9">
        <f>February!C47+B47</f>
        <v>1166</v>
      </c>
      <c r="D47" s="15"/>
      <c r="E47" s="9">
        <f>February!E47+D47</f>
        <v>4</v>
      </c>
      <c r="F47" s="17"/>
      <c r="G47" s="9">
        <f>February!G47+F47</f>
        <v>0</v>
      </c>
      <c r="H47" s="19"/>
      <c r="I47" s="9">
        <f>February!I47+H47</f>
        <v>0</v>
      </c>
    </row>
    <row r="48" spans="1:9" s="5" customFormat="1" ht="18" customHeight="1">
      <c r="A48" s="9" t="s">
        <v>51</v>
      </c>
      <c r="B48" s="13"/>
      <c r="C48" s="9">
        <f>February!C48+B48</f>
        <v>0</v>
      </c>
      <c r="D48" s="15">
        <v>2</v>
      </c>
      <c r="E48" s="9">
        <f>February!E48+D48</f>
        <v>2</v>
      </c>
      <c r="F48" s="17"/>
      <c r="G48" s="9">
        <f>February!G48+F48</f>
        <v>0</v>
      </c>
      <c r="H48" s="19"/>
      <c r="I48" s="9">
        <f>February!I48+H48</f>
        <v>0</v>
      </c>
    </row>
    <row r="49" spans="1:9" s="5" customFormat="1" ht="18" customHeight="1">
      <c r="A49" s="9" t="s">
        <v>52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</row>
    <row r="50" spans="1:9" s="5" customFormat="1" ht="18" customHeight="1">
      <c r="A50" s="9" t="s">
        <v>53</v>
      </c>
      <c r="B50" s="13">
        <f>103+100+72+64+61+35+29+65+200+140+378+290</f>
        <v>1537</v>
      </c>
      <c r="C50" s="9">
        <f>February!C50+B50</f>
        <v>2676</v>
      </c>
      <c r="D50" s="15">
        <v>1</v>
      </c>
      <c r="E50" s="9">
        <f>February!E50+D50</f>
        <v>1</v>
      </c>
      <c r="F50" s="17"/>
      <c r="G50" s="9">
        <f>February!G50+F50</f>
        <v>0</v>
      </c>
      <c r="H50" s="19"/>
      <c r="I50" s="9">
        <f>February!I50+H50</f>
        <v>0</v>
      </c>
    </row>
    <row r="51" spans="1:9" s="5" customFormat="1" ht="18" customHeight="1">
      <c r="A51" s="9" t="s">
        <v>54</v>
      </c>
      <c r="B51" s="13">
        <f>160+160</f>
        <v>320</v>
      </c>
      <c r="C51" s="9">
        <f>February!C51+B51</f>
        <v>830</v>
      </c>
      <c r="D51" s="15"/>
      <c r="E51" s="9">
        <f>February!E51+D51</f>
        <v>0</v>
      </c>
      <c r="F51" s="17">
        <f>1+1</f>
        <v>2</v>
      </c>
      <c r="G51" s="9">
        <f>February!G51+F51</f>
        <v>3</v>
      </c>
      <c r="H51" s="19"/>
      <c r="I51" s="9">
        <f>February!I51+H51</f>
        <v>0</v>
      </c>
    </row>
    <row r="52" spans="1:9" s="5" customFormat="1" ht="18" customHeight="1">
      <c r="A52" s="9" t="s">
        <v>55</v>
      </c>
      <c r="B52" s="13">
        <v>89</v>
      </c>
      <c r="C52" s="9">
        <f>February!C52+B52</f>
        <v>640</v>
      </c>
      <c r="D52" s="15"/>
      <c r="E52" s="9">
        <f>February!E52+D52</f>
        <v>0</v>
      </c>
      <c r="F52" s="17"/>
      <c r="G52" s="9">
        <f>February!G52+F52</f>
        <v>0</v>
      </c>
      <c r="H52" s="19"/>
      <c r="I52" s="9">
        <f>February!I52+H52</f>
        <v>0</v>
      </c>
    </row>
    <row r="53" spans="1:9" s="5" customFormat="1" ht="18" customHeight="1">
      <c r="A53" s="9" t="s">
        <v>56</v>
      </c>
      <c r="B53" s="13">
        <f>170+250+27+3+34+15+20+17+141+52+21+4+5+116+4+13+8+67+200+150+50+51+34+21+160+20+1+18+200+13+5+6+179+12+37+238+213+80+8+52+18+15+4+26+15+30+26+84+11+13+5+3+9+2+25+55+55+64+9+10+20+31+120+9+288+62+7+78+1+50+16+18+18</f>
        <v>3912</v>
      </c>
      <c r="C53" s="9">
        <f>February!C53+B53</f>
        <v>8536</v>
      </c>
      <c r="D53" s="15">
        <v>183</v>
      </c>
      <c r="E53" s="9">
        <f>February!E53+D53</f>
        <v>699</v>
      </c>
      <c r="F53" s="17">
        <v>1125</v>
      </c>
      <c r="G53" s="9">
        <f>February!G53+F53</f>
        <v>3554</v>
      </c>
      <c r="H53" s="19"/>
      <c r="I53" s="9">
        <f>February!I53+H53</f>
        <v>0</v>
      </c>
    </row>
    <row r="54" spans="1:9" s="5" customFormat="1" ht="18" customHeight="1" thickBot="1">
      <c r="A54" s="10" t="s">
        <v>57</v>
      </c>
      <c r="B54" s="13">
        <f>45+45+91+205+120</f>
        <v>506</v>
      </c>
      <c r="C54" s="9">
        <f>February!C54+B54</f>
        <v>2539</v>
      </c>
      <c r="D54" s="15">
        <f>1+1+40+33+58+8+45+41+86+46+38+46</f>
        <v>443</v>
      </c>
      <c r="E54" s="9">
        <f>February!E54+D54</f>
        <v>749</v>
      </c>
      <c r="F54" s="17"/>
      <c r="G54" s="9">
        <f>February!G54+F54</f>
        <v>0</v>
      </c>
      <c r="H54" s="19"/>
      <c r="I54" s="9">
        <f>February!I54+H54</f>
        <v>0</v>
      </c>
    </row>
    <row r="55" spans="1:9" s="5" customFormat="1" ht="18" customHeight="1" thickBot="1" thickTop="1">
      <c r="A55" s="11" t="s">
        <v>58</v>
      </c>
      <c r="B55" s="11">
        <f>SUM(B5:B54)</f>
        <v>88679</v>
      </c>
      <c r="C55" s="11"/>
      <c r="D55" s="11">
        <f>SUM(D5:D54)</f>
        <v>5331</v>
      </c>
      <c r="E55" s="11"/>
      <c r="F55" s="11">
        <f>SUM(F5:F54)</f>
        <v>3372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February!C57+B55</f>
        <v>253308</v>
      </c>
      <c r="D57" s="11"/>
      <c r="E57" s="11">
        <f>February!E57+D55</f>
        <v>18014</v>
      </c>
      <c r="F57" s="11"/>
      <c r="G57" s="11">
        <f>February!G57+F55</f>
        <v>10846</v>
      </c>
      <c r="H57" s="11"/>
      <c r="I57" s="11">
        <f>February!I57+H55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pans="1:4" s="5" customFormat="1" ht="18" customHeight="1">
      <c r="A60" s="5" t="s">
        <v>13</v>
      </c>
      <c r="D60" s="5">
        <v>916</v>
      </c>
    </row>
    <row r="61" s="5" customFormat="1" ht="18" customHeight="1"/>
    <row r="62" spans="1:7" s="4" customFormat="1" ht="18" customHeight="1">
      <c r="A62" s="4" t="s">
        <v>61</v>
      </c>
      <c r="E62" s="4">
        <f>February!E62+D60</f>
        <v>948</v>
      </c>
      <c r="G62" s="4">
        <f>February!G62+F60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66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March!C5+B5</f>
        <v>0</v>
      </c>
      <c r="D5" s="15">
        <v>1</v>
      </c>
      <c r="E5" s="9">
        <f>March!E5+D5</f>
        <v>1</v>
      </c>
      <c r="F5" s="17">
        <v>56</v>
      </c>
      <c r="G5" s="9">
        <f>March!G5+F5</f>
        <v>116</v>
      </c>
      <c r="H5" s="19"/>
      <c r="I5" s="9">
        <f>March!I5+H5</f>
        <v>0</v>
      </c>
    </row>
    <row r="6" spans="1:9" s="5" customFormat="1" ht="18" customHeight="1">
      <c r="A6" s="9" t="s">
        <v>9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</row>
    <row r="7" spans="1:9" s="5" customFormat="1" ht="18" customHeight="1">
      <c r="A7" s="9" t="s">
        <v>10</v>
      </c>
      <c r="B7" s="13"/>
      <c r="C7" s="9">
        <f>March!C7+B7</f>
        <v>198</v>
      </c>
      <c r="D7" s="15"/>
      <c r="E7" s="9">
        <f>March!E7+D7</f>
        <v>0</v>
      </c>
      <c r="F7" s="17"/>
      <c r="G7" s="9">
        <f>March!G7+F7</f>
        <v>156</v>
      </c>
      <c r="H7" s="19"/>
      <c r="I7" s="9">
        <f>March!I7+H7</f>
        <v>0</v>
      </c>
    </row>
    <row r="8" spans="1:9" s="5" customFormat="1" ht="18" customHeight="1">
      <c r="A8" s="9" t="s">
        <v>11</v>
      </c>
      <c r="B8" s="13">
        <f>38+55+53+17+85+80+57</f>
        <v>385</v>
      </c>
      <c r="C8" s="9">
        <f>March!C8+B8</f>
        <v>2824</v>
      </c>
      <c r="D8" s="15"/>
      <c r="E8" s="9">
        <f>March!E8+D8</f>
        <v>15</v>
      </c>
      <c r="F8" s="17"/>
      <c r="G8" s="9">
        <f>March!G8+F8</f>
        <v>10</v>
      </c>
      <c r="H8" s="19"/>
      <c r="I8" s="9">
        <f>March!I8+H8</f>
        <v>0</v>
      </c>
    </row>
    <row r="9" spans="1:9" s="5" customFormat="1" ht="18" customHeight="1">
      <c r="A9" s="9" t="s">
        <v>12</v>
      </c>
      <c r="B9" s="13"/>
      <c r="C9" s="9">
        <f>March!C9+B9</f>
        <v>0</v>
      </c>
      <c r="D9" s="15"/>
      <c r="E9" s="9">
        <f>March!E9+D9</f>
        <v>2</v>
      </c>
      <c r="F9" s="17">
        <f>3+1+4+1</f>
        <v>9</v>
      </c>
      <c r="G9" s="9">
        <f>March!G9+F9</f>
        <v>235</v>
      </c>
      <c r="H9" s="19"/>
      <c r="I9" s="9">
        <f>March!I9+H9</f>
        <v>0</v>
      </c>
    </row>
    <row r="10" spans="1:9" s="5" customFormat="1" ht="18" customHeight="1">
      <c r="A10" s="9" t="s">
        <v>13</v>
      </c>
      <c r="B10" s="13">
        <v>133</v>
      </c>
      <c r="C10" s="9">
        <f>March!C10+B10</f>
        <v>133</v>
      </c>
      <c r="D10" s="15">
        <v>14</v>
      </c>
      <c r="E10" s="9">
        <f>March!E10+D10</f>
        <v>18</v>
      </c>
      <c r="F10" s="17"/>
      <c r="G10" s="9">
        <f>March!G10+F10</f>
        <v>1</v>
      </c>
      <c r="H10" s="19"/>
      <c r="I10" s="9">
        <f>March!I10+H10</f>
        <v>0</v>
      </c>
    </row>
    <row r="11" spans="1:9" s="5" customFormat="1" ht="18" customHeight="1">
      <c r="A11" s="9" t="s">
        <v>14</v>
      </c>
      <c r="B11" s="13">
        <f>5+59+61+65+109+75</f>
        <v>374</v>
      </c>
      <c r="C11" s="9">
        <f>March!C11+B11</f>
        <v>1231</v>
      </c>
      <c r="D11" s="15">
        <f>7+1</f>
        <v>8</v>
      </c>
      <c r="E11" s="9">
        <f>March!E11+D11</f>
        <v>559</v>
      </c>
      <c r="F11" s="17">
        <f>54+2+32+32+42+32+32+41+32+32+32</f>
        <v>363</v>
      </c>
      <c r="G11" s="9">
        <f>March!G11+F11</f>
        <v>540</v>
      </c>
      <c r="H11" s="19"/>
      <c r="I11" s="9">
        <f>March!I11+H11</f>
        <v>0</v>
      </c>
    </row>
    <row r="12" spans="1:9" s="5" customFormat="1" ht="18" customHeight="1">
      <c r="A12" s="9" t="s">
        <v>15</v>
      </c>
      <c r="B12" s="13"/>
      <c r="C12" s="9">
        <f>March!C12+B12</f>
        <v>0</v>
      </c>
      <c r="D12" s="15"/>
      <c r="E12" s="9">
        <f>March!E12+D12</f>
        <v>0</v>
      </c>
      <c r="F12" s="17"/>
      <c r="G12" s="9">
        <f>March!G12+F12</f>
        <v>0</v>
      </c>
      <c r="H12" s="19"/>
      <c r="I12" s="9">
        <f>March!I12+H12</f>
        <v>0</v>
      </c>
    </row>
    <row r="13" spans="1:9" s="5" customFormat="1" ht="18" customHeight="1">
      <c r="A13" s="9" t="s">
        <v>16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</row>
    <row r="14" spans="1:9" s="5" customFormat="1" ht="18" customHeight="1">
      <c r="A14" s="9" t="s">
        <v>17</v>
      </c>
      <c r="B14" s="13"/>
      <c r="C14" s="9">
        <f>March!C14+B14</f>
        <v>0</v>
      </c>
      <c r="D14" s="15"/>
      <c r="E14" s="9">
        <f>March!E14+D14</f>
        <v>1</v>
      </c>
      <c r="F14" s="17"/>
      <c r="G14" s="9">
        <f>March!G14+F14</f>
        <v>0</v>
      </c>
      <c r="H14" s="19"/>
      <c r="I14" s="9">
        <f>March!I14+H14</f>
        <v>0</v>
      </c>
    </row>
    <row r="15" spans="1:9" s="5" customFormat="1" ht="18" customHeight="1">
      <c r="A15" s="9" t="s">
        <v>18</v>
      </c>
      <c r="B15" s="13">
        <f>122+62+76</f>
        <v>260</v>
      </c>
      <c r="C15" s="9">
        <f>March!C15+B15</f>
        <v>1128</v>
      </c>
      <c r="D15" s="15">
        <v>1</v>
      </c>
      <c r="E15" s="9">
        <f>March!E15+D15</f>
        <v>102</v>
      </c>
      <c r="F15" s="17"/>
      <c r="G15" s="9">
        <f>March!G15+F15</f>
        <v>0</v>
      </c>
      <c r="H15" s="19"/>
      <c r="I15" s="9">
        <f>March!I15+H15</f>
        <v>0</v>
      </c>
    </row>
    <row r="16" spans="1:9" s="5" customFormat="1" ht="18" customHeight="1">
      <c r="A16" s="9" t="s">
        <v>19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</row>
    <row r="17" spans="1:9" s="5" customFormat="1" ht="18" customHeight="1">
      <c r="A17" s="9" t="s">
        <v>20</v>
      </c>
      <c r="B17" s="13">
        <v>85</v>
      </c>
      <c r="C17" s="9">
        <f>March!C17+B17</f>
        <v>1596</v>
      </c>
      <c r="D17" s="15"/>
      <c r="E17" s="9">
        <f>March!E17+D17</f>
        <v>105</v>
      </c>
      <c r="F17" s="17"/>
      <c r="G17" s="9">
        <f>March!G17+F17</f>
        <v>0</v>
      </c>
      <c r="H17" s="19"/>
      <c r="I17" s="9">
        <f>March!I17+H17</f>
        <v>0</v>
      </c>
    </row>
    <row r="18" spans="1:9" s="5" customFormat="1" ht="18" customHeight="1">
      <c r="A18" s="9" t="s">
        <v>21</v>
      </c>
      <c r="B18" s="13">
        <f>4+7+18+7+2+80+10</f>
        <v>128</v>
      </c>
      <c r="C18" s="9">
        <f>March!C18+B18</f>
        <v>2125</v>
      </c>
      <c r="D18" s="15">
        <f>1+2+1+2+25+25+25+1+1+1+1+1+1+3+1+2+1+1+2+1+2+3+1+1+1+2</f>
        <v>108</v>
      </c>
      <c r="E18" s="9">
        <f>March!E18+D18</f>
        <v>288</v>
      </c>
      <c r="F18" s="17">
        <f>4+8+2+7+1+28</f>
        <v>50</v>
      </c>
      <c r="G18" s="9">
        <f>March!G18+F18</f>
        <v>65</v>
      </c>
      <c r="H18" s="19"/>
      <c r="I18" s="9">
        <f>March!I18+H18</f>
        <v>0</v>
      </c>
    </row>
    <row r="19" spans="1:9" s="5" customFormat="1" ht="18" customHeight="1">
      <c r="A19" s="9" t="s">
        <v>22</v>
      </c>
      <c r="B19" s="13">
        <f>75+75+150+64+67+1087</f>
        <v>1518</v>
      </c>
      <c r="C19" s="9">
        <f>March!C19+B19</f>
        <v>3085</v>
      </c>
      <c r="D19" s="15">
        <f>1+1</f>
        <v>2</v>
      </c>
      <c r="E19" s="9">
        <f>March!E19+D19</f>
        <v>261</v>
      </c>
      <c r="F19" s="17">
        <v>70</v>
      </c>
      <c r="G19" s="9">
        <f>March!G19+F19</f>
        <v>1819</v>
      </c>
      <c r="H19" s="19"/>
      <c r="I19" s="9">
        <f>March!I19+H19</f>
        <v>0</v>
      </c>
    </row>
    <row r="20" spans="1:9" s="5" customFormat="1" ht="18" customHeight="1">
      <c r="A20" s="9" t="s">
        <v>23</v>
      </c>
      <c r="B20" s="13">
        <f>64+70+62+68+62+147+59+25+55+113+51+135+62+26+132+61+210+118+37+74+210+35+3+3+35+300+180+353+52+252+1+117+14+30+26+192+60</f>
        <v>3494</v>
      </c>
      <c r="C20" s="9">
        <f>March!C20+B20</f>
        <v>8708</v>
      </c>
      <c r="D20" s="15">
        <f>2+3+1+1+1+2+2+1+3+2+1+1+7+30+7+2+2+7+1+4+53+1+54</f>
        <v>188</v>
      </c>
      <c r="E20" s="9">
        <f>March!E20+D20</f>
        <v>632</v>
      </c>
      <c r="F20" s="17">
        <f>1+240</f>
        <v>241</v>
      </c>
      <c r="G20" s="9">
        <f>March!G20+F20</f>
        <v>474</v>
      </c>
      <c r="H20" s="19"/>
      <c r="I20" s="9">
        <f>March!I20+H20</f>
        <v>0</v>
      </c>
    </row>
    <row r="21" spans="1:9" s="5" customFormat="1" ht="18" customHeight="1">
      <c r="A21" s="9" t="s">
        <v>24</v>
      </c>
      <c r="B21" s="13">
        <f>60+81+25+26+10+76+54+243+118+233+132+73+257+138+68+118+72+45+7+68+36+31+63+27+24+17+66+63+33+76+125+460+124+61+65+194+183+70+55+150+120+120+114+89+62+300+62+70+57+70+68+62+62+92+13+1+29+77+78+248+248+180+103+113+153+74+69+136+77+80+35+25+78+68+61+62+57+252+180+155+129+240+63+128+79+131+130+65+58+246+61+375+68+65+75+185+59+68+86+107+58+69+57+272+60+113+177+72+63+89+67+155+49+64+202+86+39+64+49+134+31+12+3+5+2+66+70+56+6+28+17+12+16+125+17+110+140+190+131+57+66+122+105+150+150+64+91+325+120+147+52+107+205+182+190+670</f>
        <v>16024</v>
      </c>
      <c r="C21" s="9">
        <f>March!C21+B21</f>
        <v>40599</v>
      </c>
      <c r="D21" s="15"/>
      <c r="E21" s="9">
        <f>March!E21+D21</f>
        <v>15</v>
      </c>
      <c r="F21" s="17">
        <v>3</v>
      </c>
      <c r="G21" s="9">
        <f>March!G21+F21</f>
        <v>78</v>
      </c>
      <c r="H21" s="19"/>
      <c r="I21" s="9">
        <f>March!I21+H21</f>
        <v>0</v>
      </c>
    </row>
    <row r="22" spans="1:9" s="5" customFormat="1" ht="18" customHeight="1">
      <c r="A22" s="9" t="s">
        <v>25</v>
      </c>
      <c r="B22" s="13"/>
      <c r="C22" s="9">
        <f>March!C22+B22</f>
        <v>0</v>
      </c>
      <c r="D22" s="15"/>
      <c r="E22" s="9">
        <f>March!E22+D22</f>
        <v>0</v>
      </c>
      <c r="F22" s="17"/>
      <c r="G22" s="9">
        <f>March!G22+F22</f>
        <v>0</v>
      </c>
      <c r="H22" s="19"/>
      <c r="I22" s="9">
        <f>March!I22+H22</f>
        <v>0</v>
      </c>
    </row>
    <row r="23" spans="1:9" s="5" customFormat="1" ht="18" customHeight="1">
      <c r="A23" s="9" t="s">
        <v>26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0</v>
      </c>
      <c r="H23" s="19"/>
      <c r="I23" s="9">
        <f>March!I23+H23</f>
        <v>0</v>
      </c>
    </row>
    <row r="24" spans="1:9" s="5" customFormat="1" ht="18" customHeight="1">
      <c r="A24" s="9" t="s">
        <v>27</v>
      </c>
      <c r="B24" s="13"/>
      <c r="C24" s="9">
        <f>March!C24+B24</f>
        <v>0</v>
      </c>
      <c r="D24" s="15"/>
      <c r="E24" s="9">
        <f>March!E24+D24</f>
        <v>2</v>
      </c>
      <c r="F24" s="17">
        <f>8</f>
        <v>8</v>
      </c>
      <c r="G24" s="9">
        <f>March!G24+F24</f>
        <v>10</v>
      </c>
      <c r="H24" s="19"/>
      <c r="I24" s="9">
        <f>March!I24+H24</f>
        <v>0</v>
      </c>
    </row>
    <row r="25" spans="1:9" s="5" customFormat="1" ht="18" customHeight="1">
      <c r="A25" s="9" t="s">
        <v>28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</row>
    <row r="26" spans="1:9" s="5" customFormat="1" ht="18" customHeight="1">
      <c r="A26" s="9" t="s">
        <v>29</v>
      </c>
      <c r="B26" s="13">
        <f>71+32</f>
        <v>103</v>
      </c>
      <c r="C26" s="9">
        <f>March!C26+B26</f>
        <v>180</v>
      </c>
      <c r="D26" s="15"/>
      <c r="E26" s="9">
        <f>March!E26+D26</f>
        <v>2</v>
      </c>
      <c r="F26" s="17"/>
      <c r="G26" s="9">
        <f>March!G26+F26</f>
        <v>0</v>
      </c>
      <c r="H26" s="19"/>
      <c r="I26" s="9">
        <f>March!I26+H26</f>
        <v>0</v>
      </c>
    </row>
    <row r="27" spans="1:9" s="5" customFormat="1" ht="18" customHeight="1">
      <c r="A27" s="9" t="s">
        <v>30</v>
      </c>
      <c r="B27" s="13">
        <f>2+33+22+7+2+3+29+130+201+6+8+26+18+16+78+66+74+67+25+159+132+39+39+207+17+68+70+51+82+223+67+52+592+101+24+29+24+63+40+42+5+2+2+2+70+6+15+8+4+4+18+18+10+21+1+67+65+3+4+10+147+42+248+112+55+132+147+87+77+77+182+34+21+15+1+1+40+10+24+4+3+14+12+10+13</f>
        <v>4777</v>
      </c>
      <c r="C27" s="9">
        <f>March!C27+B27</f>
        <v>18326</v>
      </c>
      <c r="D27" s="15">
        <f>1+3+1+1+4+5+19+15+77+72+1+3</f>
        <v>202</v>
      </c>
      <c r="E27" s="9">
        <f>March!E27+D27</f>
        <v>1068</v>
      </c>
      <c r="F27" s="17">
        <f>16+57+13+60+1+40+106+16+126+1+1+48+3+10+7+6+4+1+1+5+8440+12+72</f>
        <v>9046</v>
      </c>
      <c r="G27" s="9">
        <f>March!G27+F27</f>
        <v>11664</v>
      </c>
      <c r="H27" s="19"/>
      <c r="I27" s="9">
        <f>March!I27+H27</f>
        <v>0</v>
      </c>
    </row>
    <row r="28" spans="1:9" s="5" customFormat="1" ht="18" customHeight="1">
      <c r="A28" s="9" t="s">
        <v>31</v>
      </c>
      <c r="B28" s="13">
        <f>70+71+70</f>
        <v>211</v>
      </c>
      <c r="C28" s="9">
        <f>March!C28+B28</f>
        <v>211</v>
      </c>
      <c r="D28" s="15"/>
      <c r="E28" s="9">
        <f>March!E28+D28</f>
        <v>1</v>
      </c>
      <c r="F28" s="17"/>
      <c r="G28" s="9">
        <f>March!G28+F28</f>
        <v>0</v>
      </c>
      <c r="H28" s="19"/>
      <c r="I28" s="9">
        <f>March!I28+H28</f>
        <v>0</v>
      </c>
    </row>
    <row r="29" spans="1:9" s="5" customFormat="1" ht="18" customHeight="1">
      <c r="A29" s="9" t="s">
        <v>32</v>
      </c>
      <c r="B29" s="13">
        <f>24+6+65+73+18+27+69+173+51+34+66+15+70+42+174+70+115+125+51+82+14+60+127+19+60+34+60+55+60+128+154+29+98+180+68+70+64+77+33+41+65+84+73+77+42+375+66+82+80+53+60+55+56+57+126+45+66+75+78+60+156+87+37+84+81+27+20+2+55+29+62+66+68+147+77+64+37+55+238+75+77+66+40+13+163+89+68+73+1+33+41+65+84+60+34+60+55+15+70+42+174+70+115+125+51+82+14+60+127+19+60+27+69+173+51+34+66+72+7+22+8+62+14+186+118+111+126+79+79+127+77+76+88+63+353+55+65+21+88+14+46+28+90+65+80+60+78+196+209+700+7+116+180+52+65+64+50+76+87+156+64+90+68+24+705+1+4+123+59+9+11+63+79+29+201+4+8+5+3+3+2+250+47+16+15+119+41+520+110+112+237+149+117+54+125+200+74+69+101+98+145+191+307+120+113+21+21+479+71+68+62+97+15+74+147+126+115+94+115+115+115+57+84+70+65+115+44+70+87+61+58+120+116+78+6+74+61+74+63+1+1+1+9+30+124+23+39+222+25+88+66+180+65+19+137+66+8+3+115+180+64+64+103+28+90+69+109+73+1+19+2+3+3+8+47+60+124+51+520+304+212+65+86+20+77+29+21+70+54+118+85+52+118+82+22+27+95+31</f>
        <v>25036</v>
      </c>
      <c r="C29" s="9">
        <f>March!C29+B29</f>
        <v>56181</v>
      </c>
      <c r="D29" s="15">
        <f>4+1+5+14+1+1+4+1+3+5+5+68+3+5+1+4+9+5+1+5+12+6+1+71+1+26+23+2+1+4+2+12+9+45+41+12+4+4+21+22+55+4+7+15+1+1+2+7+4+10+1+1+1+26</f>
        <v>599</v>
      </c>
      <c r="E29" s="9">
        <f>March!E29+D29</f>
        <v>3120</v>
      </c>
      <c r="F29" s="17">
        <f>1+1+22+69+231+190+73+20</f>
        <v>607</v>
      </c>
      <c r="G29" s="9">
        <f>March!G29+F29</f>
        <v>687</v>
      </c>
      <c r="H29" s="19">
        <f>25+186+28+16+13+9</f>
        <v>277</v>
      </c>
      <c r="I29" s="9">
        <f>March!I29+H29</f>
        <v>277</v>
      </c>
    </row>
    <row r="30" spans="1:9" s="5" customFormat="1" ht="18" customHeight="1">
      <c r="A30" s="9" t="s">
        <v>33</v>
      </c>
      <c r="B30" s="13">
        <f>70+99+107+112+130+25+238+14+130+240+46+78+386+354+90+65+145+211+7+66+17+86+129+124+272+150+4+20+180+138+174+900+20+60+113</f>
        <v>5000</v>
      </c>
      <c r="C30" s="9">
        <f>March!C30+B30</f>
        <v>16247</v>
      </c>
      <c r="D30" s="15">
        <f>2+75+2+1+1+2+1+1+1+2+1+3+1+80+1+7+1+1+1+5+3+1+1+1+1+1+1+2</f>
        <v>200</v>
      </c>
      <c r="E30" s="9">
        <f>March!E30+D30</f>
        <v>1053</v>
      </c>
      <c r="F30" s="17"/>
      <c r="G30" s="9">
        <f>March!G30+F30</f>
        <v>0</v>
      </c>
      <c r="H30" s="19"/>
      <c r="I30" s="9">
        <f>March!I30+H30</f>
        <v>0</v>
      </c>
    </row>
    <row r="31" spans="1:9" s="5" customFormat="1" ht="18" customHeight="1">
      <c r="A31" s="9" t="s">
        <v>34</v>
      </c>
      <c r="B31" s="13">
        <f>135+74+192+104+92+1+2+68+76+72+87+104+104+95+78+70+166+22+44+26+272+90+22+9+100+139+178+120+68+1200+73+85+35+38+56+80+94+84+85+67+80+180</f>
        <v>4767</v>
      </c>
      <c r="C31" s="9">
        <f>March!C31+B31</f>
        <v>17086</v>
      </c>
      <c r="D31" s="15">
        <f>136+1+2+1+3+2+1+1+3+1+5+25+13+13+1+2+1+10+2+1+1+1+2+78+21+12+2+1+2+95+4+76+2+1+8+84+1+1+1+2+1+6+1+3+2+2+1+2+3+3+3+12+8+3+2+63+1+2+7+5+3+2+1+31+1+2+6+1+5+1+12+12+14+2+11</f>
        <v>853</v>
      </c>
      <c r="E31" s="9">
        <f>March!E31+D31</f>
        <v>3049</v>
      </c>
      <c r="F31" s="17">
        <f>10+30+80+80+80+46+174</f>
        <v>500</v>
      </c>
      <c r="G31" s="9">
        <f>March!G31+F31</f>
        <v>1131</v>
      </c>
      <c r="H31" s="19"/>
      <c r="I31" s="9">
        <f>March!I31+H31</f>
        <v>0</v>
      </c>
    </row>
    <row r="32" spans="1:9" s="5" customFormat="1" ht="18" customHeight="1">
      <c r="A32" s="9" t="s">
        <v>35</v>
      </c>
      <c r="B32" s="13"/>
      <c r="C32" s="9">
        <f>March!C32+B32</f>
        <v>0</v>
      </c>
      <c r="D32" s="15"/>
      <c r="E32" s="9">
        <f>March!E32+D32</f>
        <v>0</v>
      </c>
      <c r="F32" s="17"/>
      <c r="G32" s="9">
        <f>March!G32+F32</f>
        <v>0</v>
      </c>
      <c r="H32" s="19"/>
      <c r="I32" s="9">
        <f>March!I32+H32</f>
        <v>0</v>
      </c>
    </row>
    <row r="33" spans="1:9" s="5" customFormat="1" ht="18" customHeight="1">
      <c r="A33" s="9" t="s">
        <v>36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</row>
    <row r="34" spans="1:9" s="5" customFormat="1" ht="18" customHeight="1">
      <c r="A34" s="9" t="s">
        <v>37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</row>
    <row r="35" spans="1:9" s="5" customFormat="1" ht="18" customHeight="1">
      <c r="A35" s="9" t="s">
        <v>38</v>
      </c>
      <c r="B35" s="13"/>
      <c r="C35" s="9">
        <f>March!C35+B35</f>
        <v>237</v>
      </c>
      <c r="D35" s="15"/>
      <c r="E35" s="9">
        <f>March!E35+D35</f>
        <v>0</v>
      </c>
      <c r="F35" s="17"/>
      <c r="G35" s="9">
        <f>March!G35+F35</f>
        <v>146</v>
      </c>
      <c r="H35" s="19"/>
      <c r="I35" s="9">
        <f>March!I35+H35</f>
        <v>0</v>
      </c>
    </row>
    <row r="36" spans="1:9" s="5" customFormat="1" ht="18" customHeight="1">
      <c r="A36" s="9" t="s">
        <v>39</v>
      </c>
      <c r="B36" s="13"/>
      <c r="C36" s="9">
        <f>March!C36+B36</f>
        <v>0</v>
      </c>
      <c r="D36" s="15"/>
      <c r="E36" s="9">
        <f>March!E36+D36</f>
        <v>0</v>
      </c>
      <c r="F36" s="17">
        <v>39</v>
      </c>
      <c r="G36" s="9">
        <f>March!G36+F36</f>
        <v>157</v>
      </c>
      <c r="H36" s="19"/>
      <c r="I36" s="9">
        <f>March!I36+H36</f>
        <v>0</v>
      </c>
    </row>
    <row r="37" spans="1:9" s="5" customFormat="1" ht="18" customHeight="1">
      <c r="A37" s="9" t="s">
        <v>40</v>
      </c>
      <c r="B37" s="13">
        <v>85</v>
      </c>
      <c r="C37" s="9">
        <f>March!C37+B37</f>
        <v>175</v>
      </c>
      <c r="D37" s="15"/>
      <c r="E37" s="9">
        <f>March!E37+D37</f>
        <v>1</v>
      </c>
      <c r="F37" s="17"/>
      <c r="G37" s="9">
        <f>March!G37+F37</f>
        <v>3</v>
      </c>
      <c r="H37" s="19"/>
      <c r="I37" s="9">
        <f>March!I37+H37</f>
        <v>0</v>
      </c>
    </row>
    <row r="38" spans="1:9" s="5" customFormat="1" ht="18" customHeight="1">
      <c r="A38" s="9" t="s">
        <v>41</v>
      </c>
      <c r="B38" s="13">
        <f>245+525+240+65+35+94+16+79+165+19+73+124+79+60+80+120+213+73+67+100+1</f>
        <v>2473</v>
      </c>
      <c r="C38" s="9">
        <f>March!C38+B38</f>
        <v>27771</v>
      </c>
      <c r="D38" s="15">
        <f>8+1+17+1+1+210</f>
        <v>238</v>
      </c>
      <c r="E38" s="9">
        <f>March!E38+D38</f>
        <v>557</v>
      </c>
      <c r="F38" s="17"/>
      <c r="G38" s="9">
        <f>March!G38+F38</f>
        <v>120</v>
      </c>
      <c r="H38" s="19"/>
      <c r="I38" s="9">
        <f>March!I38+H38</f>
        <v>0</v>
      </c>
    </row>
    <row r="39" spans="1:9" s="5" customFormat="1" ht="18" customHeight="1">
      <c r="A39" s="9" t="s">
        <v>42</v>
      </c>
      <c r="B39" s="13">
        <v>125</v>
      </c>
      <c r="C39" s="9">
        <f>March!C39+B39</f>
        <v>1373</v>
      </c>
      <c r="D39" s="15">
        <f>1+1+2+1+2</f>
        <v>7</v>
      </c>
      <c r="E39" s="9">
        <f>March!E39+D39</f>
        <v>27</v>
      </c>
      <c r="F39" s="17">
        <f>245+184+26+12</f>
        <v>467</v>
      </c>
      <c r="G39" s="9">
        <f>March!G39+F39</f>
        <v>954</v>
      </c>
      <c r="H39" s="19"/>
      <c r="I39" s="9">
        <f>March!I39+H39</f>
        <v>0</v>
      </c>
    </row>
    <row r="40" spans="1:9" s="5" customFormat="1" ht="18" customHeight="1">
      <c r="A40" s="9" t="s">
        <v>43</v>
      </c>
      <c r="B40" s="13"/>
      <c r="C40" s="9">
        <f>March!C40+B40</f>
        <v>372</v>
      </c>
      <c r="D40" s="15"/>
      <c r="E40" s="9">
        <f>March!E40+D40</f>
        <v>42</v>
      </c>
      <c r="F40" s="17"/>
      <c r="G40" s="9">
        <f>March!G40+F40</f>
        <v>0</v>
      </c>
      <c r="H40" s="19"/>
      <c r="I40" s="9">
        <f>March!I40+H40</f>
        <v>0</v>
      </c>
    </row>
    <row r="41" spans="1:9" s="5" customFormat="1" ht="18" customHeight="1">
      <c r="A41" s="9" t="s">
        <v>44</v>
      </c>
      <c r="B41" s="13">
        <f>78+149+104</f>
        <v>331</v>
      </c>
      <c r="C41" s="9">
        <f>March!C41+B41</f>
        <v>369</v>
      </c>
      <c r="D41" s="15"/>
      <c r="E41" s="9">
        <f>March!E41+D41</f>
        <v>85</v>
      </c>
      <c r="F41" s="17"/>
      <c r="G41" s="9">
        <f>March!G41+F41</f>
        <v>0</v>
      </c>
      <c r="H41" s="19"/>
      <c r="I41" s="9">
        <f>March!I41+H41</f>
        <v>0</v>
      </c>
    </row>
    <row r="42" spans="1:9" s="5" customFormat="1" ht="18" customHeight="1">
      <c r="A42" s="9" t="s">
        <v>45</v>
      </c>
      <c r="B42" s="13"/>
      <c r="C42" s="9">
        <f>March!C42+B42</f>
        <v>567</v>
      </c>
      <c r="D42" s="15">
        <v>1</v>
      </c>
      <c r="E42" s="9">
        <f>March!E42+D42</f>
        <v>233</v>
      </c>
      <c r="F42" s="17">
        <f>5+45+41+171+53+52+22+90+52+97+90+15</f>
        <v>733</v>
      </c>
      <c r="G42" s="9">
        <f>March!G42+F42</f>
        <v>913</v>
      </c>
      <c r="H42" s="19"/>
      <c r="I42" s="9">
        <f>March!I42+H42</f>
        <v>0</v>
      </c>
    </row>
    <row r="43" spans="1:9" s="5" customFormat="1" ht="18" customHeight="1">
      <c r="A43" s="9" t="s">
        <v>46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</row>
    <row r="44" spans="1:9" s="5" customFormat="1" ht="18" customHeight="1">
      <c r="A44" s="9" t="s">
        <v>47</v>
      </c>
      <c r="B44" s="13">
        <f>136+22+94+51+126</f>
        <v>429</v>
      </c>
      <c r="C44" s="9">
        <f>March!C44+B44</f>
        <v>2286</v>
      </c>
      <c r="D44" s="15"/>
      <c r="E44" s="9">
        <f>March!E44+D44</f>
        <v>0</v>
      </c>
      <c r="F44" s="17"/>
      <c r="G44" s="9">
        <f>March!G44+F44</f>
        <v>0</v>
      </c>
      <c r="H44" s="19"/>
      <c r="I44" s="9">
        <f>March!I44+H44</f>
        <v>0</v>
      </c>
    </row>
    <row r="45" spans="1:9" s="5" customFormat="1" ht="18" customHeight="1">
      <c r="A45" s="9" t="s">
        <v>48</v>
      </c>
      <c r="B45" s="13">
        <f>23+73+7+72+127+55+60+55+150+77+120+40+93+90+96+162+78+55+97+143+55+76+80+79+107+8+83+53+34+56+94+217+62+60+143+77+245+6+11+62+143+41+225+1+85+85+54+56+13+65+10+50+226+4+7+82+5+54+63+170+3+26+10+86+22+13+96+8+37+97+2+60+14+10+21+120+27+7+9+17+20+66+28+19+15+44+23+1+182+23+22+18+83+22+10+60+91+65+87+62+46+84+74+11+92+44+15+18+86+69+470+29+51+29+84+164+111+43+96+80+92+74+70+149+245+70+138+146+21+74+309+94+51+48+73+138+67+19+289+70+150+80+10+89+145+3+187+52+69+85+36+1+85+17+90+27+164+93+55+77+80+75+93+117+33+71+85+72+122+66+149+96+122+172+140+23+101+22+4+86+36+84+85+92+78+105+72+68+55+41+82+41+34+46+136+57+108+179+45+33+14+56+8+9+13+11+53+66+74+111+179+57+1+269+219+60+77+68+75+161+56+74+10+6+30+34+13+2+6+21+15+49+87+100+24+30+42+12+17+112+44+171+20+13+6+100+57+14+180+64+106+68+19+81+56+10+40+15+1+12+42+19+10+100+19+105+78+28+56+21+10+5+27+128+32+14+18+9+27+25+1</f>
        <v>19172</v>
      </c>
      <c r="C45" s="9">
        <f>March!C45+B45</f>
        <v>116048</v>
      </c>
      <c r="D45" s="15">
        <f>1+17+6+1+3+1+3+11+8+4+3+3+6+6+6+1+1+3+2+5+6+15+8+2+1+1+2+2+1+1+1+1+2+5+2+60+1+2+2+4+2+1+5+76+1+22+12+2+10+1+1+1+2+1+3+1+1+1+1+1+1+1+2+3+6+1+1+1+1+1+14+9+8+1+9+12+3+10+1+8+32+32+7+2+34+34+34+2+1+5+2+15+10+3+5+1</f>
        <v>667</v>
      </c>
      <c r="E45" s="9">
        <f>March!E45+D45</f>
        <v>8350</v>
      </c>
      <c r="F45" s="17">
        <v>9</v>
      </c>
      <c r="G45" s="9">
        <f>March!G45+F45</f>
        <v>131</v>
      </c>
      <c r="H45" s="19"/>
      <c r="I45" s="9">
        <f>March!I45+H45</f>
        <v>0</v>
      </c>
    </row>
    <row r="46" spans="1:9" s="5" customFormat="1" ht="18" customHeight="1">
      <c r="A46" s="9" t="s">
        <v>49</v>
      </c>
      <c r="B46" s="13">
        <f>74+120+118+56+194+56</f>
        <v>618</v>
      </c>
      <c r="C46" s="9">
        <f>March!C46+B46</f>
        <v>3393</v>
      </c>
      <c r="D46" s="15">
        <f>56+2</f>
        <v>58</v>
      </c>
      <c r="E46" s="9">
        <f>March!E46+D46</f>
        <v>117</v>
      </c>
      <c r="F46" s="17">
        <f>1</f>
        <v>1</v>
      </c>
      <c r="G46" s="9">
        <f>March!G46+F46</f>
        <v>81</v>
      </c>
      <c r="H46" s="19"/>
      <c r="I46" s="9">
        <f>March!I46+H46</f>
        <v>0</v>
      </c>
    </row>
    <row r="47" spans="1:9" s="5" customFormat="1" ht="18" customHeight="1">
      <c r="A47" s="9" t="s">
        <v>50</v>
      </c>
      <c r="B47" s="13">
        <f>120+52+51+54+55+205+52+66+56+100+65+120+206</f>
        <v>1202</v>
      </c>
      <c r="C47" s="9">
        <f>March!C47+B47</f>
        <v>2368</v>
      </c>
      <c r="D47" s="15">
        <f>3+22+8+15+2+2+1+1</f>
        <v>54</v>
      </c>
      <c r="E47" s="9">
        <f>March!E47+D47</f>
        <v>58</v>
      </c>
      <c r="F47" s="17">
        <f>64</f>
        <v>64</v>
      </c>
      <c r="G47" s="9">
        <f>March!G47+F47</f>
        <v>64</v>
      </c>
      <c r="H47" s="19"/>
      <c r="I47" s="9">
        <f>March!I47+H47</f>
        <v>0</v>
      </c>
    </row>
    <row r="48" spans="1:9" s="5" customFormat="1" ht="18" customHeight="1">
      <c r="A48" s="9" t="s">
        <v>51</v>
      </c>
      <c r="B48" s="13"/>
      <c r="C48" s="9">
        <f>March!C48+B48</f>
        <v>0</v>
      </c>
      <c r="D48" s="15"/>
      <c r="E48" s="9">
        <f>March!E48+D48</f>
        <v>2</v>
      </c>
      <c r="F48" s="17">
        <f>2+108</f>
        <v>110</v>
      </c>
      <c r="G48" s="9">
        <f>March!G48+F48</f>
        <v>110</v>
      </c>
      <c r="H48" s="19"/>
      <c r="I48" s="9">
        <f>March!I48+H48</f>
        <v>0</v>
      </c>
    </row>
    <row r="49" spans="1:9" s="5" customFormat="1" ht="18" customHeight="1">
      <c r="A49" s="9" t="s">
        <v>52</v>
      </c>
      <c r="B49" s="13"/>
      <c r="C49" s="9">
        <f>March!C49+B49</f>
        <v>0</v>
      </c>
      <c r="D49" s="15"/>
      <c r="E49" s="9">
        <f>March!E49+D49</f>
        <v>0</v>
      </c>
      <c r="F49" s="17">
        <v>3</v>
      </c>
      <c r="G49" s="9">
        <f>March!G49+F49</f>
        <v>3</v>
      </c>
      <c r="H49" s="19"/>
      <c r="I49" s="9">
        <f>March!I49+H49</f>
        <v>0</v>
      </c>
    </row>
    <row r="50" spans="1:9" s="5" customFormat="1" ht="18" customHeight="1">
      <c r="A50" s="9" t="s">
        <v>53</v>
      </c>
      <c r="B50" s="13">
        <f>63+63+21+55+55+64+65+66+58+95+486</f>
        <v>1091</v>
      </c>
      <c r="C50" s="9">
        <f>March!C50+B50</f>
        <v>3767</v>
      </c>
      <c r="D50" s="15">
        <f>1</f>
        <v>1</v>
      </c>
      <c r="E50" s="9">
        <f>March!E50+D50</f>
        <v>2</v>
      </c>
      <c r="F50" s="17"/>
      <c r="G50" s="9">
        <f>March!G50+F50</f>
        <v>0</v>
      </c>
      <c r="H50" s="19"/>
      <c r="I50" s="9">
        <f>March!I50+H50</f>
        <v>0</v>
      </c>
    </row>
    <row r="51" spans="1:9" s="5" customFormat="1" ht="18" customHeight="1">
      <c r="A51" s="9" t="s">
        <v>54</v>
      </c>
      <c r="B51" s="13">
        <f>160+138</f>
        <v>298</v>
      </c>
      <c r="C51" s="9">
        <f>March!C51+B51</f>
        <v>1128</v>
      </c>
      <c r="D51" s="15"/>
      <c r="E51" s="9">
        <f>March!E51+D51</f>
        <v>0</v>
      </c>
      <c r="F51" s="17"/>
      <c r="G51" s="9">
        <f>March!G51+F51</f>
        <v>3</v>
      </c>
      <c r="H51" s="19"/>
      <c r="I51" s="9">
        <f>March!I51+H51</f>
        <v>0</v>
      </c>
    </row>
    <row r="52" spans="1:9" s="5" customFormat="1" ht="18" customHeight="1">
      <c r="A52" s="9" t="s">
        <v>55</v>
      </c>
      <c r="B52" s="13">
        <f>74+77+70+62</f>
        <v>283</v>
      </c>
      <c r="C52" s="9">
        <f>March!C52+B52</f>
        <v>923</v>
      </c>
      <c r="D52" s="15">
        <f>2</f>
        <v>2</v>
      </c>
      <c r="E52" s="9">
        <f>March!E52+D52</f>
        <v>2</v>
      </c>
      <c r="F52" s="17"/>
      <c r="G52" s="9">
        <f>March!G52+F52</f>
        <v>0</v>
      </c>
      <c r="H52" s="19"/>
      <c r="I52" s="9">
        <f>March!I52+H52</f>
        <v>0</v>
      </c>
    </row>
    <row r="53" spans="1:9" s="5" customFormat="1" ht="18" customHeight="1">
      <c r="A53" s="9" t="s">
        <v>56</v>
      </c>
      <c r="B53" s="13">
        <f>2+44+3+189+15+33+59+81+38+71+14+25+8+25+4+3+109+27+17+4+8+23+5+31+96+10+10+72+13+4+3+6+5+25+15+17+20+112+21+67+37+67+24+11+26+17+30+42+33+72+50+15+11+250+201+1+86+142+143+72+85+187+4+40+26+1+26+113+52+22+4+6+4+8+141+4+56+16+32+110+116+214</f>
        <v>3931</v>
      </c>
      <c r="C53" s="9">
        <f>March!C53+B53</f>
        <v>12467</v>
      </c>
      <c r="D53" s="15">
        <f>1+1+12+9+2+10+13+13+7+1+1+1+1+19+127+2+1+1+3+1+2+2+1+23+3+3+1+2+1+1+6+3+3+8+2+3+1+1+1+1</f>
        <v>294</v>
      </c>
      <c r="E53" s="9">
        <f>March!E53+D53</f>
        <v>993</v>
      </c>
      <c r="F53" s="17">
        <f>2+1+1+1+1+1+18+38+18+3+4+6+6+28+2+1+1+15+9+42+14+41+13+3+1+1+5+18+3+16+2+19+5+15+80+20+6+80+3+38+3+5+5+2+4+22+1+14+14+1</f>
        <v>652</v>
      </c>
      <c r="G53" s="9">
        <f>March!G53+F53</f>
        <v>4206</v>
      </c>
      <c r="H53" s="19"/>
      <c r="I53" s="9">
        <f>March!I53+H53</f>
        <v>0</v>
      </c>
    </row>
    <row r="54" spans="1:9" s="5" customFormat="1" ht="18" customHeight="1" thickBot="1">
      <c r="A54" s="10" t="s">
        <v>57</v>
      </c>
      <c r="B54" s="13">
        <f>271</f>
        <v>271</v>
      </c>
      <c r="C54" s="9">
        <f>March!C54+B54</f>
        <v>2810</v>
      </c>
      <c r="D54" s="16">
        <f>2+129</f>
        <v>131</v>
      </c>
      <c r="E54" s="9">
        <f>March!E54+D54</f>
        <v>880</v>
      </c>
      <c r="F54" s="17"/>
      <c r="G54" s="9">
        <f>March!G54+F54</f>
        <v>0</v>
      </c>
      <c r="H54" s="19"/>
      <c r="I54" s="9">
        <f>March!I54+H54</f>
        <v>0</v>
      </c>
    </row>
    <row r="55" spans="1:9" s="5" customFormat="1" ht="18" customHeight="1" thickBot="1" thickTop="1">
      <c r="A55" s="11" t="s">
        <v>58</v>
      </c>
      <c r="B55" s="11">
        <f>SUM(B5:B54)</f>
        <v>92604</v>
      </c>
      <c r="C55" s="11"/>
      <c r="D55" s="11">
        <f>SUM(D5:D54)</f>
        <v>3629</v>
      </c>
      <c r="E55" s="11"/>
      <c r="F55" s="11">
        <f>SUM(F5:F54)</f>
        <v>13031</v>
      </c>
      <c r="G55" s="11"/>
      <c r="H55" s="11">
        <f>SUM(H5:H54)</f>
        <v>277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March!C57+B55</f>
        <v>345912</v>
      </c>
      <c r="D57" s="11"/>
      <c r="E57" s="11">
        <f>March!E57+D55</f>
        <v>21643</v>
      </c>
      <c r="F57" s="11"/>
      <c r="G57" s="11">
        <f>March!G57+F55</f>
        <v>23877</v>
      </c>
      <c r="H57" s="11"/>
      <c r="I57" s="11">
        <f>March!I57+H55</f>
        <v>277</v>
      </c>
    </row>
    <row r="58" s="5" customFormat="1" ht="18" customHeight="1" thickTop="1"/>
    <row r="59" s="5" customFormat="1" ht="18" customHeight="1">
      <c r="A59" s="5" t="s">
        <v>60</v>
      </c>
    </row>
    <row r="60" spans="1:4" s="5" customFormat="1" ht="18" customHeight="1">
      <c r="A60" s="5" t="s">
        <v>13</v>
      </c>
      <c r="D60" s="5">
        <v>1475</v>
      </c>
    </row>
    <row r="61" s="5" customFormat="1" ht="18" customHeight="1"/>
    <row r="62" spans="1:7" s="4" customFormat="1" ht="18" customHeight="1">
      <c r="A62" s="4" t="s">
        <v>61</v>
      </c>
      <c r="E62" s="4">
        <f>March!E62+D60</f>
        <v>2423</v>
      </c>
      <c r="G62" s="4">
        <f>March!G62+F60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A29" sqref="A29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67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>
        <f>300+94+120</f>
        <v>514</v>
      </c>
      <c r="C5" s="9">
        <f>April!C5+B5</f>
        <v>514</v>
      </c>
      <c r="D5" s="15">
        <f>443+518+20+59+20+50</f>
        <v>1110</v>
      </c>
      <c r="E5" s="9">
        <f>April!E5+D5</f>
        <v>1111</v>
      </c>
      <c r="F5" s="17"/>
      <c r="G5" s="9">
        <f>April!G5+F5</f>
        <v>116</v>
      </c>
      <c r="H5" s="19"/>
      <c r="I5" s="9">
        <f>April!I5+H5</f>
        <v>0</v>
      </c>
    </row>
    <row r="6" spans="1:9" s="5" customFormat="1" ht="18" customHeight="1">
      <c r="A6" s="9" t="s">
        <v>9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</row>
    <row r="7" spans="1:9" s="5" customFormat="1" ht="18" customHeight="1">
      <c r="A7" s="9" t="s">
        <v>10</v>
      </c>
      <c r="B7" s="13"/>
      <c r="C7" s="9">
        <f>April!C7+B7</f>
        <v>198</v>
      </c>
      <c r="D7" s="15"/>
      <c r="E7" s="9">
        <f>April!E7+D7</f>
        <v>0</v>
      </c>
      <c r="F7" s="17"/>
      <c r="G7" s="9">
        <f>April!G7+F7</f>
        <v>156</v>
      </c>
      <c r="H7" s="19"/>
      <c r="I7" s="9">
        <f>April!I7+H7</f>
        <v>0</v>
      </c>
    </row>
    <row r="8" spans="1:9" s="5" customFormat="1" ht="18" customHeight="1">
      <c r="A8" s="9" t="s">
        <v>11</v>
      </c>
      <c r="B8" s="13">
        <f>60+68+86</f>
        <v>214</v>
      </c>
      <c r="C8" s="9">
        <f>April!C8+B8</f>
        <v>3038</v>
      </c>
      <c r="D8" s="15">
        <v>2</v>
      </c>
      <c r="E8" s="9">
        <f>April!E8+D8</f>
        <v>17</v>
      </c>
      <c r="F8" s="17"/>
      <c r="G8" s="9">
        <f>April!G8+F8</f>
        <v>10</v>
      </c>
      <c r="H8" s="19"/>
      <c r="I8" s="9">
        <f>April!I8+H8</f>
        <v>0</v>
      </c>
    </row>
    <row r="9" spans="1:9" s="5" customFormat="1" ht="18" customHeight="1">
      <c r="A9" s="9" t="s">
        <v>12</v>
      </c>
      <c r="B9" s="13"/>
      <c r="C9" s="9">
        <f>April!C9+B9</f>
        <v>0</v>
      </c>
      <c r="D9" s="15"/>
      <c r="E9" s="9">
        <f>April!E9+D9</f>
        <v>2</v>
      </c>
      <c r="F9" s="17">
        <f>15+15+1+1+1+15+11</f>
        <v>59</v>
      </c>
      <c r="G9" s="9">
        <f>April!G9+F9</f>
        <v>294</v>
      </c>
      <c r="H9" s="19">
        <v>144</v>
      </c>
      <c r="I9" s="9">
        <f>April!I9+H9</f>
        <v>144</v>
      </c>
    </row>
    <row r="10" spans="1:9" s="5" customFormat="1" ht="18" customHeight="1">
      <c r="A10" s="9" t="s">
        <v>13</v>
      </c>
      <c r="B10" s="13">
        <v>133</v>
      </c>
      <c r="C10" s="9">
        <f>April!C10+B10</f>
        <v>266</v>
      </c>
      <c r="D10" s="15">
        <f>11+26+33+29</f>
        <v>99</v>
      </c>
      <c r="E10" s="9">
        <f>April!E10+D10</f>
        <v>117</v>
      </c>
      <c r="F10" s="17">
        <v>12</v>
      </c>
      <c r="G10" s="9">
        <f>April!G10+F10</f>
        <v>13</v>
      </c>
      <c r="H10" s="19"/>
      <c r="I10" s="9">
        <f>April!I10+H10</f>
        <v>0</v>
      </c>
    </row>
    <row r="11" spans="1:9" s="5" customFormat="1" ht="18" customHeight="1">
      <c r="A11" s="9" t="s">
        <v>14</v>
      </c>
      <c r="B11" s="13">
        <f>63+94</f>
        <v>157</v>
      </c>
      <c r="C11" s="9">
        <f>April!C11+B11</f>
        <v>1388</v>
      </c>
      <c r="D11" s="15">
        <f>2+1+1+1+1+1+1+1+1</f>
        <v>10</v>
      </c>
      <c r="E11" s="9">
        <f>April!E11+D11</f>
        <v>569</v>
      </c>
      <c r="F11" s="17"/>
      <c r="G11" s="9">
        <f>April!G11+F11</f>
        <v>540</v>
      </c>
      <c r="H11" s="19"/>
      <c r="I11" s="9">
        <f>April!I11+H11</f>
        <v>0</v>
      </c>
    </row>
    <row r="12" spans="1:9" s="5" customFormat="1" ht="18" customHeight="1">
      <c r="A12" s="9" t="s">
        <v>15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0</v>
      </c>
      <c r="H12" s="19"/>
      <c r="I12" s="9">
        <f>April!I12+H12</f>
        <v>0</v>
      </c>
    </row>
    <row r="13" spans="1:9" s="5" customFormat="1" ht="18" customHeight="1">
      <c r="A13" s="9" t="s">
        <v>16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</row>
    <row r="14" spans="1:9" s="5" customFormat="1" ht="18" customHeight="1">
      <c r="A14" s="9" t="s">
        <v>17</v>
      </c>
      <c r="B14" s="13"/>
      <c r="C14" s="9">
        <f>April!C14+B14</f>
        <v>0</v>
      </c>
      <c r="D14" s="15"/>
      <c r="E14" s="9">
        <f>April!E14+D14</f>
        <v>1</v>
      </c>
      <c r="F14" s="17"/>
      <c r="G14" s="9">
        <f>April!G14+F14</f>
        <v>0</v>
      </c>
      <c r="H14" s="19"/>
      <c r="I14" s="9">
        <f>April!I14+H14</f>
        <v>0</v>
      </c>
    </row>
    <row r="15" spans="1:9" s="5" customFormat="1" ht="18" customHeight="1">
      <c r="A15" s="9" t="s">
        <v>18</v>
      </c>
      <c r="B15" s="13">
        <f>62+83+73+65+258</f>
        <v>541</v>
      </c>
      <c r="C15" s="9">
        <f>April!C15+B15</f>
        <v>1669</v>
      </c>
      <c r="D15" s="15"/>
      <c r="E15" s="9">
        <f>April!E15+D15</f>
        <v>102</v>
      </c>
      <c r="F15" s="17"/>
      <c r="G15" s="9">
        <f>April!G15+F15</f>
        <v>0</v>
      </c>
      <c r="H15" s="19"/>
      <c r="I15" s="9">
        <f>April!I15+H15</f>
        <v>0</v>
      </c>
    </row>
    <row r="16" spans="1:9" s="5" customFormat="1" ht="18" customHeight="1">
      <c r="A16" s="9" t="s">
        <v>19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</row>
    <row r="17" spans="1:9" s="5" customFormat="1" ht="18" customHeight="1">
      <c r="A17" s="9" t="s">
        <v>20</v>
      </c>
      <c r="B17" s="13">
        <f>380+180+65+90+160+380+75+91+84</f>
        <v>1505</v>
      </c>
      <c r="C17" s="9">
        <f>April!C17+B17</f>
        <v>3101</v>
      </c>
      <c r="D17" s="15">
        <f>250+58+350</f>
        <v>658</v>
      </c>
      <c r="E17" s="9">
        <f>April!E17+D17</f>
        <v>763</v>
      </c>
      <c r="F17" s="17">
        <v>3</v>
      </c>
      <c r="G17" s="9">
        <f>April!G17+F17</f>
        <v>3</v>
      </c>
      <c r="H17" s="19"/>
      <c r="I17" s="9">
        <f>April!I17+H17</f>
        <v>0</v>
      </c>
    </row>
    <row r="18" spans="1:9" s="5" customFormat="1" ht="18" customHeight="1">
      <c r="A18" s="9" t="s">
        <v>21</v>
      </c>
      <c r="B18" s="13">
        <f>21+10+6+10+81+65+85+64+2+4+125+1+3+10+16+22</f>
        <v>525</v>
      </c>
      <c r="C18" s="9">
        <f>April!C18+B18</f>
        <v>2650</v>
      </c>
      <c r="D18" s="15">
        <f>34+2+1+1+3+3</f>
        <v>44</v>
      </c>
      <c r="E18" s="9">
        <f>April!E18+D18</f>
        <v>332</v>
      </c>
      <c r="F18" s="17">
        <f>10+10+2+10+3+1+2+3+1</f>
        <v>42</v>
      </c>
      <c r="G18" s="9">
        <f>April!G18+F18</f>
        <v>107</v>
      </c>
      <c r="H18" s="19"/>
      <c r="I18" s="9">
        <f>April!I18+H18</f>
        <v>0</v>
      </c>
    </row>
    <row r="19" spans="1:9" s="5" customFormat="1" ht="18" customHeight="1">
      <c r="A19" s="9" t="s">
        <v>22</v>
      </c>
      <c r="B19" s="13">
        <f>64+80+150+150+150+57+132</f>
        <v>783</v>
      </c>
      <c r="C19" s="9">
        <f>April!C19+B19</f>
        <v>3868</v>
      </c>
      <c r="D19" s="15">
        <f>1+1+1+1+1</f>
        <v>5</v>
      </c>
      <c r="E19" s="9">
        <f>April!E19+D19</f>
        <v>266</v>
      </c>
      <c r="F19" s="17">
        <f>113+78+150+141+77+100+100+1+57</f>
        <v>817</v>
      </c>
      <c r="G19" s="9">
        <f>April!G19+F19</f>
        <v>2636</v>
      </c>
      <c r="H19" s="19"/>
      <c r="I19" s="9">
        <f>April!I19+H19</f>
        <v>0</v>
      </c>
    </row>
    <row r="20" spans="1:9" s="5" customFormat="1" ht="18" customHeight="1">
      <c r="A20" s="9" t="s">
        <v>23</v>
      </c>
      <c r="B20" s="13">
        <f>65+63+63+190+180+190+190+55+54+28+84+70+116+137+1+68+60+63+80+99+66+300+120+190</f>
        <v>2532</v>
      </c>
      <c r="C20" s="9">
        <f>April!C20+B20</f>
        <v>11240</v>
      </c>
      <c r="D20" s="15">
        <f>8+3+6+1+47+4+1+14+10+54+12+40+40+17+133+61+44+2+69+1+6+62+49+135</f>
        <v>819</v>
      </c>
      <c r="E20" s="9">
        <f>April!E20+D20</f>
        <v>1451</v>
      </c>
      <c r="F20" s="17">
        <f>90+90</f>
        <v>180</v>
      </c>
      <c r="G20" s="9">
        <f>April!G20+F20</f>
        <v>654</v>
      </c>
      <c r="H20" s="19"/>
      <c r="I20" s="9">
        <f>April!I20+H20</f>
        <v>0</v>
      </c>
    </row>
    <row r="21" spans="1:9" s="5" customFormat="1" ht="18" customHeight="1">
      <c r="A21" s="9" t="s">
        <v>24</v>
      </c>
      <c r="B21" s="13">
        <f>190+90+113+129+82+77+72+195+61+93+130+130+83+212+152+115+17+79+180+60+70+51+56+154+138+29+79+77+72+121+70+2+22+14+68+54+14+48+111+69+56+58+58+29+70+25+21+16+147+11+6+22+85+112+67+107+76+96+61+86+146+51+4+63+121+39+85+111+58+54+111+79+64+73+62+150+63+68+27+68+64+64+64+32+19+7+61+114+122+41+127+38+61+28+30+27+67+25+36+57+7+33+16+67+5+311+36+124+140+102+60+103+60+85+751+71+86</f>
        <v>9426</v>
      </c>
      <c r="C21" s="9">
        <f>April!C21+B21</f>
        <v>50025</v>
      </c>
      <c r="D21" s="15">
        <f>1+1+1+4</f>
        <v>7</v>
      </c>
      <c r="E21" s="9">
        <f>April!E21+D21</f>
        <v>22</v>
      </c>
      <c r="F21" s="17">
        <f>3</f>
        <v>3</v>
      </c>
      <c r="G21" s="9">
        <f>April!G21+F21</f>
        <v>81</v>
      </c>
      <c r="H21" s="19"/>
      <c r="I21" s="9">
        <f>April!I21+H21</f>
        <v>0</v>
      </c>
    </row>
    <row r="22" spans="1:9" s="5" customFormat="1" ht="18" customHeight="1">
      <c r="A22" s="9" t="s">
        <v>25</v>
      </c>
      <c r="B22" s="13"/>
      <c r="C22" s="9">
        <f>April!C22+B22</f>
        <v>0</v>
      </c>
      <c r="D22" s="15"/>
      <c r="E22" s="9">
        <f>April!E22+D22</f>
        <v>0</v>
      </c>
      <c r="F22" s="17"/>
      <c r="G22" s="9">
        <f>April!G22+F22</f>
        <v>0</v>
      </c>
      <c r="H22" s="19"/>
      <c r="I22" s="9">
        <f>April!I22+H22</f>
        <v>0</v>
      </c>
    </row>
    <row r="23" spans="1:9" s="5" customFormat="1" ht="18" customHeight="1">
      <c r="A23" s="9" t="s">
        <v>26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0</v>
      </c>
      <c r="H23" s="19"/>
      <c r="I23" s="9">
        <f>April!I23+H23</f>
        <v>0</v>
      </c>
    </row>
    <row r="24" spans="1:9" s="5" customFormat="1" ht="18" customHeight="1">
      <c r="A24" s="9" t="s">
        <v>27</v>
      </c>
      <c r="B24" s="13"/>
      <c r="C24" s="9">
        <f>April!C24+B24</f>
        <v>0</v>
      </c>
      <c r="D24" s="15"/>
      <c r="E24" s="9">
        <f>April!E24+D24</f>
        <v>2</v>
      </c>
      <c r="F24" s="17">
        <f>5</f>
        <v>5</v>
      </c>
      <c r="G24" s="9">
        <f>April!G24+F24</f>
        <v>15</v>
      </c>
      <c r="H24" s="19"/>
      <c r="I24" s="9">
        <f>April!I24+H24</f>
        <v>0</v>
      </c>
    </row>
    <row r="25" spans="1:9" s="5" customFormat="1" ht="18" customHeight="1">
      <c r="A25" s="9" t="s">
        <v>28</v>
      </c>
      <c r="B25" s="13"/>
      <c r="C25" s="9">
        <f>April!C25+B25</f>
        <v>0</v>
      </c>
      <c r="D25" s="15"/>
      <c r="E25" s="9">
        <f>April!E25+D25</f>
        <v>0</v>
      </c>
      <c r="F25" s="17"/>
      <c r="G25" s="9">
        <f>April!G25+F25</f>
        <v>0</v>
      </c>
      <c r="H25" s="19"/>
      <c r="I25" s="9">
        <f>April!I25+H25</f>
        <v>0</v>
      </c>
    </row>
    <row r="26" spans="1:9" s="5" customFormat="1" ht="18" customHeight="1">
      <c r="A26" s="9" t="s">
        <v>29</v>
      </c>
      <c r="B26" s="13">
        <f>8+45+23+425</f>
        <v>501</v>
      </c>
      <c r="C26" s="9">
        <f>April!C26+B26</f>
        <v>681</v>
      </c>
      <c r="D26" s="15"/>
      <c r="E26" s="9">
        <f>April!E26+D26</f>
        <v>2</v>
      </c>
      <c r="F26" s="17">
        <f>7</f>
        <v>7</v>
      </c>
      <c r="G26" s="9">
        <f>April!G26+F26</f>
        <v>7</v>
      </c>
      <c r="H26" s="19"/>
      <c r="I26" s="9">
        <f>April!I26+H26</f>
        <v>0</v>
      </c>
    </row>
    <row r="27" spans="1:9" s="5" customFormat="1" ht="18" customHeight="1">
      <c r="A27" s="9" t="s">
        <v>30</v>
      </c>
      <c r="B27" s="13">
        <f>7+22+59+24+30+26+300+115+10+16+12+14+30+4+3+135+66+69+34+5+2+92+84+69+61+13+11+16+36+4+9+26+17+128+25+64+200+112+63+22+203+81+56+39+261+106+211+83+31+10+29+38+29+24+16+36+12+9+39+16+25+105+1+9+117+16+49+59+78+3+36+9+5+97+19+9+140+45+27+10</f>
        <v>4223</v>
      </c>
      <c r="C27" s="9">
        <f>April!C27+B27</f>
        <v>22549</v>
      </c>
      <c r="D27" s="15">
        <f>4+65+1+10+2+2+9+1+1+1+1+1+1+19+12+1+1+1+12+19+7+4+3+1+6+2</f>
        <v>187</v>
      </c>
      <c r="E27" s="9">
        <f>April!E27+D27</f>
        <v>1255</v>
      </c>
      <c r="F27" s="17">
        <f>31+65+7+1+128+8+15+102+87+9+113+270+1+1+29+6+60+60+95+95+3+1+2+1+4+1+1</f>
        <v>1196</v>
      </c>
      <c r="G27" s="9">
        <f>April!G27+F27</f>
        <v>12860</v>
      </c>
      <c r="H27" s="19"/>
      <c r="I27" s="9">
        <f>April!I27+H27</f>
        <v>0</v>
      </c>
    </row>
    <row r="28" spans="1:9" s="5" customFormat="1" ht="18" customHeight="1">
      <c r="A28" s="9" t="s">
        <v>31</v>
      </c>
      <c r="B28" s="13">
        <v>300</v>
      </c>
      <c r="C28" s="9">
        <f>April!C28+B28</f>
        <v>511</v>
      </c>
      <c r="D28" s="15">
        <f>71+67</f>
        <v>138</v>
      </c>
      <c r="E28" s="9">
        <f>April!E28+D28</f>
        <v>139</v>
      </c>
      <c r="F28" s="17"/>
      <c r="G28" s="9">
        <f>April!G28+F28</f>
        <v>0</v>
      </c>
      <c r="H28" s="19"/>
      <c r="I28" s="9">
        <f>April!I28+H28</f>
        <v>0</v>
      </c>
    </row>
    <row r="29" spans="1:9" s="5" customFormat="1" ht="18" customHeight="1">
      <c r="A29" s="9" t="s">
        <v>32</v>
      </c>
      <c r="B29" s="13">
        <f>100+70+129+70+122+21+55+109+67+66+65+70+63+47+79+14+67+63+31+120+116+120+66+305+130+62+66+72+115+115+115+115+42+33+65+113+128+114+17+356+174+82+107+142+182+35+99+77+60+60+16+52+10+60+60+74+68+180+220+75+148+67+75+281+62+115+38+110+68+80+24+110+78+70+41+85+65+120+71+56+38+63+63+139+65+62+13+57+48+54+31+36+21+46+22+63+40+5+8+14+63+72+7+52+26+35+14+46+22+23+41+106+70+8+28+36+26+124+78+108+44+20+36+29+72+62+73+120+87+80+67+76+60+26+14+16+88+16+57-120+28+23+60+37+81+54</f>
        <v>10369</v>
      </c>
      <c r="C29" s="9">
        <f>April!C29+B29</f>
        <v>66550</v>
      </c>
      <c r="D29" s="15">
        <f>10+1+1+1+11+40+40+40+40+22+67+8+22+22+22+22+22+21+22+2+7+1+1+3+2+3+3+10+1+5+2+2+3+1+2+1+1+5+1+10+12+27+23+1+34+8+28+1+49+4+110+106+12+1+4+2+10+5+47+47+3+331</f>
        <v>1365</v>
      </c>
      <c r="E29" s="9">
        <f>April!E29+D29</f>
        <v>4485</v>
      </c>
      <c r="F29" s="17"/>
      <c r="G29" s="9">
        <f>April!G29+F29</f>
        <v>687</v>
      </c>
      <c r="H29" s="19"/>
      <c r="I29" s="9">
        <f>April!I29+H29</f>
        <v>277</v>
      </c>
    </row>
    <row r="30" spans="1:9" s="5" customFormat="1" ht="18" customHeight="1">
      <c r="A30" s="9" t="s">
        <v>33</v>
      </c>
      <c r="B30" s="13">
        <f>250+10+83+6+1+90+11+9+203+103+65+1+2+250+58+12+150+18+60+19+49+12+302</f>
        <v>1764</v>
      </c>
      <c r="C30" s="9">
        <f>April!C30+B30</f>
        <v>18011</v>
      </c>
      <c r="D30" s="15">
        <f>1+1+103+54+53+145+105+153+106+53+56+53+51+107+1+1+1+2+20+102+34+11+214+156+4+2+1</f>
        <v>1590</v>
      </c>
      <c r="E30" s="9">
        <f>April!E30+D30</f>
        <v>2643</v>
      </c>
      <c r="F30" s="17"/>
      <c r="G30" s="9">
        <f>April!G30+F30</f>
        <v>0</v>
      </c>
      <c r="H30" s="19"/>
      <c r="I30" s="9">
        <f>April!I30+H30</f>
        <v>0</v>
      </c>
    </row>
    <row r="31" spans="1:9" s="5" customFormat="1" ht="18" customHeight="1">
      <c r="A31" s="9" t="s">
        <v>34</v>
      </c>
      <c r="B31" s="13">
        <f>64+163+28+104+49+46+10+65+68+29+40+24+3+95+95+29+7+311+88+95+2+2+62+144+102+71+64+2+87</f>
        <v>1949</v>
      </c>
      <c r="C31" s="9">
        <f>April!C31+B31</f>
        <v>19035</v>
      </c>
      <c r="D31" s="15">
        <f>1+1+2+1+2+1+14+44+80+2+1+54+48+1+1+24+63+1+1+46+11+14+1+5+3+18+4+80+2+1+3+45+45</f>
        <v>620</v>
      </c>
      <c r="E31" s="9">
        <f>April!E31+D31</f>
        <v>3669</v>
      </c>
      <c r="F31" s="17">
        <f>81+79</f>
        <v>160</v>
      </c>
      <c r="G31" s="9">
        <f>April!G31+F31</f>
        <v>1291</v>
      </c>
      <c r="H31" s="19"/>
      <c r="I31" s="9">
        <f>April!I31+H31</f>
        <v>0</v>
      </c>
    </row>
    <row r="32" spans="1:9" s="5" customFormat="1" ht="18" customHeight="1">
      <c r="A32" s="9" t="s">
        <v>35</v>
      </c>
      <c r="B32" s="13"/>
      <c r="C32" s="9">
        <f>April!C32+B32</f>
        <v>0</v>
      </c>
      <c r="D32" s="15"/>
      <c r="E32" s="9">
        <f>April!E32+D32</f>
        <v>0</v>
      </c>
      <c r="F32" s="17"/>
      <c r="G32" s="9">
        <f>April!G32+F32</f>
        <v>0</v>
      </c>
      <c r="H32" s="19"/>
      <c r="I32" s="9">
        <f>April!I32+H32</f>
        <v>0</v>
      </c>
    </row>
    <row r="33" spans="1:9" s="5" customFormat="1" ht="18" customHeight="1">
      <c r="A33" s="9" t="s">
        <v>36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</row>
    <row r="34" spans="1:9" s="5" customFormat="1" ht="18" customHeight="1">
      <c r="A34" s="9" t="s">
        <v>37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</row>
    <row r="35" spans="1:9" s="5" customFormat="1" ht="18" customHeight="1">
      <c r="A35" s="9" t="s">
        <v>38</v>
      </c>
      <c r="B35" s="13"/>
      <c r="C35" s="9">
        <f>April!C35+B35</f>
        <v>237</v>
      </c>
      <c r="D35" s="15"/>
      <c r="E35" s="9">
        <f>April!E35+D35</f>
        <v>0</v>
      </c>
      <c r="F35" s="17"/>
      <c r="G35" s="9">
        <f>April!G35+F35</f>
        <v>146</v>
      </c>
      <c r="H35" s="19"/>
      <c r="I35" s="9">
        <f>April!I35+H35</f>
        <v>0</v>
      </c>
    </row>
    <row r="36" spans="1:9" s="5" customFormat="1" ht="18" customHeight="1">
      <c r="A36" s="9" t="s">
        <v>39</v>
      </c>
      <c r="B36" s="13"/>
      <c r="C36" s="9">
        <f>April!C36+B36</f>
        <v>0</v>
      </c>
      <c r="D36" s="15">
        <v>5</v>
      </c>
      <c r="E36" s="9">
        <f>April!E36+D36</f>
        <v>5</v>
      </c>
      <c r="F36" s="17">
        <f>45+3</f>
        <v>48</v>
      </c>
      <c r="G36" s="9">
        <f>April!G36+F36</f>
        <v>205</v>
      </c>
      <c r="H36" s="19"/>
      <c r="I36" s="9">
        <f>April!I36+H36</f>
        <v>0</v>
      </c>
    </row>
    <row r="37" spans="1:9" s="5" customFormat="1" ht="18" customHeight="1">
      <c r="A37" s="9" t="s">
        <v>40</v>
      </c>
      <c r="B37" s="13">
        <f>125+76</f>
        <v>201</v>
      </c>
      <c r="C37" s="9">
        <f>April!C37+B37</f>
        <v>376</v>
      </c>
      <c r="D37" s="15">
        <f>1+10+4</f>
        <v>15</v>
      </c>
      <c r="E37" s="9">
        <f>April!E37+D37</f>
        <v>16</v>
      </c>
      <c r="F37" s="17">
        <f>3+2+3</f>
        <v>8</v>
      </c>
      <c r="G37" s="9">
        <f>April!G37+F37</f>
        <v>11</v>
      </c>
      <c r="H37" s="19"/>
      <c r="I37" s="9">
        <f>April!I37+H37</f>
        <v>0</v>
      </c>
    </row>
    <row r="38" spans="1:9" s="5" customFormat="1" ht="18" customHeight="1">
      <c r="A38" s="9" t="s">
        <v>41</v>
      </c>
      <c r="B38" s="13">
        <f>85+14+162+64+93+156+72+98+32+74+151+73+13+300+48+97+97+27+64+30+68+94+97+133+66+67+88+180+71+20+125+379</f>
        <v>3138</v>
      </c>
      <c r="C38" s="9">
        <f>April!C38+B38</f>
        <v>30909</v>
      </c>
      <c r="D38" s="15">
        <f>1+1+1+1+1+3+1+1+1+71+3+1+1+1+1+2+7</f>
        <v>98</v>
      </c>
      <c r="E38" s="9">
        <f>April!E38+D38</f>
        <v>655</v>
      </c>
      <c r="F38" s="17"/>
      <c r="G38" s="9">
        <f>April!G38+F38</f>
        <v>120</v>
      </c>
      <c r="H38" s="19"/>
      <c r="I38" s="9">
        <f>April!I38+H38</f>
        <v>0</v>
      </c>
    </row>
    <row r="39" spans="1:9" s="5" customFormat="1" ht="18" customHeight="1">
      <c r="A39" s="9" t="s">
        <v>42</v>
      </c>
      <c r="B39" s="13">
        <f>110+12+11+12+12+12+24+12+36</f>
        <v>241</v>
      </c>
      <c r="C39" s="9">
        <f>April!C39+B39</f>
        <v>1614</v>
      </c>
      <c r="D39" s="15">
        <f>5+4</f>
        <v>9</v>
      </c>
      <c r="E39" s="9">
        <f>April!E39+D39</f>
        <v>36</v>
      </c>
      <c r="F39" s="17">
        <f>267+265+83+86+4</f>
        <v>705</v>
      </c>
      <c r="G39" s="9">
        <f>April!G39+F39</f>
        <v>1659</v>
      </c>
      <c r="H39" s="19"/>
      <c r="I39" s="9">
        <f>April!I39+H39</f>
        <v>0</v>
      </c>
    </row>
    <row r="40" spans="1:9" s="5" customFormat="1" ht="18" customHeight="1">
      <c r="A40" s="9" t="s">
        <v>43</v>
      </c>
      <c r="B40" s="13">
        <f>68+100+95+90+90+59+90+81+72+59+72+59+57+56+90+86+91+90+92+95+100+7+56+59+92+90+90+81+72+59+59+57+100+90+95+86+72+77+73</f>
        <v>3007</v>
      </c>
      <c r="C40" s="9">
        <f>April!C40+B40</f>
        <v>3379</v>
      </c>
      <c r="D40" s="15">
        <f>34+2+1+24+62+27</f>
        <v>150</v>
      </c>
      <c r="E40" s="9">
        <f>April!E40+D40</f>
        <v>192</v>
      </c>
      <c r="F40" s="17">
        <f>1+1+1+1+2+2+1</f>
        <v>9</v>
      </c>
      <c r="G40" s="9">
        <f>April!G40+F40</f>
        <v>9</v>
      </c>
      <c r="H40" s="19"/>
      <c r="I40" s="9">
        <f>April!I40+H40</f>
        <v>0</v>
      </c>
    </row>
    <row r="41" spans="1:9" s="5" customFormat="1" ht="18" customHeight="1">
      <c r="A41" s="9" t="s">
        <v>44</v>
      </c>
      <c r="B41" s="13">
        <f>85+75</f>
        <v>160</v>
      </c>
      <c r="C41" s="9">
        <f>April!C41+B41</f>
        <v>529</v>
      </c>
      <c r="D41" s="15"/>
      <c r="E41" s="9">
        <f>April!E41+D41</f>
        <v>85</v>
      </c>
      <c r="F41" s="17"/>
      <c r="G41" s="9">
        <f>April!G41+F41</f>
        <v>0</v>
      </c>
      <c r="H41" s="19"/>
      <c r="I41" s="9">
        <f>April!I41+H41</f>
        <v>0</v>
      </c>
    </row>
    <row r="42" spans="1:9" s="5" customFormat="1" ht="18" customHeight="1">
      <c r="A42" s="9" t="s">
        <v>45</v>
      </c>
      <c r="B42" s="13"/>
      <c r="C42" s="9">
        <f>April!C42+B42</f>
        <v>567</v>
      </c>
      <c r="D42" s="15">
        <v>9</v>
      </c>
      <c r="E42" s="9">
        <f>April!E42+D42</f>
        <v>242</v>
      </c>
      <c r="F42" s="17">
        <f>1+7+45</f>
        <v>53</v>
      </c>
      <c r="G42" s="9">
        <f>April!G42+F42</f>
        <v>966</v>
      </c>
      <c r="H42" s="19"/>
      <c r="I42" s="9">
        <f>April!I42+H42</f>
        <v>0</v>
      </c>
    </row>
    <row r="43" spans="1:9" s="5" customFormat="1" ht="18" customHeight="1">
      <c r="A43" s="9" t="s">
        <v>46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</row>
    <row r="44" spans="1:9" s="5" customFormat="1" ht="18" customHeight="1">
      <c r="A44" s="9" t="s">
        <v>47</v>
      </c>
      <c r="B44" s="13">
        <f>94+171+104+67+147+82+104+102+87+83+82+96+84</f>
        <v>1303</v>
      </c>
      <c r="C44" s="9">
        <f>April!C44+B44</f>
        <v>3589</v>
      </c>
      <c r="D44" s="15"/>
      <c r="E44" s="9">
        <f>April!E44+D44</f>
        <v>0</v>
      </c>
      <c r="F44" s="17"/>
      <c r="G44" s="9">
        <f>April!G44+F44</f>
        <v>0</v>
      </c>
      <c r="H44" s="19"/>
      <c r="I44" s="9">
        <f>April!I44+H44</f>
        <v>0</v>
      </c>
    </row>
    <row r="45" spans="1:9" s="5" customFormat="1" ht="18" customHeight="1">
      <c r="A45" s="9" t="s">
        <v>48</v>
      </c>
      <c r="B45" s="13">
        <f>152+54+79+48+70+172+123+205+60+78+72+25+75+223+28+77+16+103+161+85+2+46+18+4+47+5+300+11+9+15+81+103+54+53+104+114+215+113+438+78+140+62+45+63+77+9+12+16+9+2+65+195+220+104+275</f>
        <v>5010</v>
      </c>
      <c r="C45" s="9">
        <f>April!C45+B45</f>
        <v>121058</v>
      </c>
      <c r="D45" s="15">
        <f>1+1+2+17+28+1+190+1+15+4+82+2+1</f>
        <v>345</v>
      </c>
      <c r="E45" s="9">
        <f>April!E45+D45</f>
        <v>8695</v>
      </c>
      <c r="F45" s="17"/>
      <c r="G45" s="9">
        <f>April!G45+F45</f>
        <v>131</v>
      </c>
      <c r="H45" s="19"/>
      <c r="I45" s="9">
        <f>April!I45+H45</f>
        <v>0</v>
      </c>
    </row>
    <row r="46" spans="1:9" s="5" customFormat="1" ht="18" customHeight="1">
      <c r="A46" s="9" t="s">
        <v>49</v>
      </c>
      <c r="B46" s="13">
        <f>51+57+61+51+57+30+90+125+39+55+48+33+60+108+68+61+62+85+45+40+123</f>
        <v>1349</v>
      </c>
      <c r="C46" s="9">
        <f>April!C46+B46</f>
        <v>4742</v>
      </c>
      <c r="D46" s="15">
        <f>1+12+2+2</f>
        <v>17</v>
      </c>
      <c r="E46" s="9">
        <f>April!E46+D46</f>
        <v>134</v>
      </c>
      <c r="F46" s="17"/>
      <c r="G46" s="9">
        <f>April!G46+F46</f>
        <v>81</v>
      </c>
      <c r="H46" s="19"/>
      <c r="I46" s="9">
        <f>April!I46+H46</f>
        <v>0</v>
      </c>
    </row>
    <row r="47" spans="1:9" s="5" customFormat="1" ht="18" customHeight="1">
      <c r="A47" s="9" t="s">
        <v>50</v>
      </c>
      <c r="B47" s="13">
        <f>105+103+198+49+50+52+50+51+62+17</f>
        <v>737</v>
      </c>
      <c r="C47" s="9">
        <f>April!C47+B47</f>
        <v>3105</v>
      </c>
      <c r="D47" s="15">
        <f>29+1+1+136+1+1+73+17+7</f>
        <v>266</v>
      </c>
      <c r="E47" s="9">
        <f>April!E47+D47</f>
        <v>324</v>
      </c>
      <c r="F47" s="17"/>
      <c r="G47" s="9">
        <f>April!G47+F47</f>
        <v>64</v>
      </c>
      <c r="H47" s="19"/>
      <c r="I47" s="9">
        <f>April!I47+H47</f>
        <v>0</v>
      </c>
    </row>
    <row r="48" spans="1:9" s="5" customFormat="1" ht="18" customHeight="1">
      <c r="A48" s="9" t="s">
        <v>51</v>
      </c>
      <c r="B48" s="13">
        <v>4</v>
      </c>
      <c r="C48" s="9">
        <f>April!C48+B48</f>
        <v>4</v>
      </c>
      <c r="D48" s="15">
        <f>1+2</f>
        <v>3</v>
      </c>
      <c r="E48" s="9">
        <f>April!E48+D48</f>
        <v>5</v>
      </c>
      <c r="F48" s="17"/>
      <c r="G48" s="9">
        <f>April!G48+F48</f>
        <v>110</v>
      </c>
      <c r="H48" s="19"/>
      <c r="I48" s="9">
        <f>April!I48+H48</f>
        <v>0</v>
      </c>
    </row>
    <row r="49" spans="1:9" s="5" customFormat="1" ht="18" customHeight="1">
      <c r="A49" s="9" t="s">
        <v>52</v>
      </c>
      <c r="B49" s="13"/>
      <c r="C49" s="9">
        <f>April!C49+B49</f>
        <v>0</v>
      </c>
      <c r="D49" s="15"/>
      <c r="E49" s="9">
        <f>April!E49+D49</f>
        <v>0</v>
      </c>
      <c r="F49" s="17">
        <f>83+15+2</f>
        <v>100</v>
      </c>
      <c r="G49" s="9">
        <f>April!G49+F49</f>
        <v>103</v>
      </c>
      <c r="H49" s="19"/>
      <c r="I49" s="9">
        <f>April!I49+H49</f>
        <v>0</v>
      </c>
    </row>
    <row r="50" spans="1:9" s="5" customFormat="1" ht="18" customHeight="1">
      <c r="A50" s="9" t="s">
        <v>53</v>
      </c>
      <c r="B50" s="13">
        <f>58+66+66+63+62+65</f>
        <v>380</v>
      </c>
      <c r="C50" s="9">
        <f>April!C50+B50</f>
        <v>4147</v>
      </c>
      <c r="D50" s="15"/>
      <c r="E50" s="9">
        <f>April!E50+D50</f>
        <v>2</v>
      </c>
      <c r="F50" s="17"/>
      <c r="G50" s="9">
        <f>April!G50+F50</f>
        <v>0</v>
      </c>
      <c r="H50" s="19"/>
      <c r="I50" s="9">
        <f>April!I50+H50</f>
        <v>0</v>
      </c>
    </row>
    <row r="51" spans="1:9" s="5" customFormat="1" ht="18" customHeight="1">
      <c r="A51" s="9" t="s">
        <v>54</v>
      </c>
      <c r="B51" s="13">
        <f>160+160+160</f>
        <v>480</v>
      </c>
      <c r="C51" s="9">
        <f>April!C51+B51</f>
        <v>1608</v>
      </c>
      <c r="D51" s="15">
        <f>1+1</f>
        <v>2</v>
      </c>
      <c r="E51" s="9">
        <f>April!E51+D51</f>
        <v>2</v>
      </c>
      <c r="F51" s="17">
        <f>237+1+45</f>
        <v>283</v>
      </c>
      <c r="G51" s="9">
        <f>April!G51+F51</f>
        <v>286</v>
      </c>
      <c r="H51" s="19"/>
      <c r="I51" s="9">
        <f>April!I51+H51</f>
        <v>0</v>
      </c>
    </row>
    <row r="52" spans="1:9" s="5" customFormat="1" ht="18" customHeight="1">
      <c r="A52" s="9" t="s">
        <v>55</v>
      </c>
      <c r="B52" s="13">
        <f>257+72+73+54</f>
        <v>456</v>
      </c>
      <c r="C52" s="9">
        <f>April!C52+B52</f>
        <v>1379</v>
      </c>
      <c r="D52" s="15">
        <v>61</v>
      </c>
      <c r="E52" s="9">
        <f>April!E52+D52</f>
        <v>63</v>
      </c>
      <c r="F52" s="17"/>
      <c r="G52" s="9">
        <f>April!G52+F52</f>
        <v>0</v>
      </c>
      <c r="H52" s="19"/>
      <c r="I52" s="9">
        <f>April!I52+H52</f>
        <v>0</v>
      </c>
    </row>
    <row r="53" spans="1:9" s="5" customFormat="1" ht="18" customHeight="1">
      <c r="A53" s="9" t="s">
        <v>56</v>
      </c>
      <c r="B53" s="13">
        <f>2+31+3+38+59+36+19+5+32+96+7+34+1+10+13+185+32+48+21+17+3+13+54+1+23+53+9+66+29+18+50+30+160+284+288+120+20+42+9+72+6+360+18+19+8+9+11+38+26+16+13+43+19+76+105+29+15+83+63+65+19+14+125+36+8+50+288+12+424</f>
        <v>4031</v>
      </c>
      <c r="C53" s="9">
        <f>April!C53+B53</f>
        <v>16498</v>
      </c>
      <c r="D53" s="15">
        <f>1+1+1+1+1+8+5+5+2+4+2+12+1+1+25+8+1+4</f>
        <v>83</v>
      </c>
      <c r="E53" s="9">
        <f>April!E53+D53</f>
        <v>1076</v>
      </c>
      <c r="F53" s="17">
        <f>1+7+10+38+1+1+1+2+8+2+2+1+3+2+1+2+18+19+27+4+2+4+1+1+1+1+1+2+13+1+39+9+1+1+1+1+1+10+80+2+42+43+28+4+20+19+2+9+9+9+9+1+2+2+11+4+3+12+31+1+1+1+9+1+5+4+2+1+2+80+1+38+47</f>
        <v>775</v>
      </c>
      <c r="G53" s="9">
        <f>April!G53+F53</f>
        <v>4981</v>
      </c>
      <c r="H53" s="19"/>
      <c r="I53" s="9">
        <f>April!I53+H53</f>
        <v>0</v>
      </c>
    </row>
    <row r="54" spans="1:9" s="5" customFormat="1" ht="18" customHeight="1" thickBot="1">
      <c r="A54" s="10" t="s">
        <v>57</v>
      </c>
      <c r="B54" s="13">
        <f>138+391+172+275+490+78+53+500+142+87</f>
        <v>2326</v>
      </c>
      <c r="C54" s="9">
        <f>April!C54+B54</f>
        <v>5136</v>
      </c>
      <c r="D54" s="16">
        <f>43+68+69+1+50+33+1</f>
        <v>265</v>
      </c>
      <c r="E54" s="9">
        <f>April!E54+D54</f>
        <v>1145</v>
      </c>
      <c r="F54" s="17"/>
      <c r="G54" s="9">
        <f>April!G54+F54</f>
        <v>0</v>
      </c>
      <c r="H54" s="19"/>
      <c r="I54" s="9">
        <f>April!I54+H54</f>
        <v>0</v>
      </c>
    </row>
    <row r="55" spans="1:9" s="5" customFormat="1" ht="18" customHeight="1" thickBot="1" thickTop="1">
      <c r="A55" s="11" t="s">
        <v>58</v>
      </c>
      <c r="B55" s="11">
        <f>SUM(B5:B54)</f>
        <v>58259</v>
      </c>
      <c r="C55" s="11"/>
      <c r="D55" s="11">
        <f>SUM(D5:D54)</f>
        <v>7982</v>
      </c>
      <c r="E55" s="11"/>
      <c r="F55" s="11">
        <f>SUM(F5:F54)</f>
        <v>4465</v>
      </c>
      <c r="G55" s="11"/>
      <c r="H55" s="11">
        <f>SUM(H5:H54)</f>
        <v>144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April!C57+B55</f>
        <v>404171</v>
      </c>
      <c r="D57" s="11"/>
      <c r="E57" s="11">
        <f>April!E57+D55</f>
        <v>29625</v>
      </c>
      <c r="F57" s="11"/>
      <c r="G57" s="11">
        <f>April!G57+F55</f>
        <v>28342</v>
      </c>
      <c r="H57" s="11"/>
      <c r="I57" s="11">
        <f>April!I57+H55</f>
        <v>421</v>
      </c>
    </row>
    <row r="58" s="5" customFormat="1" ht="18" customHeight="1" thickTop="1"/>
    <row r="59" s="5" customFormat="1" ht="18" customHeight="1">
      <c r="A59" s="5" t="s">
        <v>60</v>
      </c>
    </row>
    <row r="60" spans="1:6" s="5" customFormat="1" ht="18" customHeight="1">
      <c r="A60" s="5" t="s">
        <v>13</v>
      </c>
      <c r="D60" s="5">
        <v>59</v>
      </c>
      <c r="F60" s="5">
        <v>10910</v>
      </c>
    </row>
    <row r="61" s="5" customFormat="1" ht="18" customHeight="1"/>
    <row r="62" spans="1:7" s="4" customFormat="1" ht="18" customHeight="1">
      <c r="A62" s="4" t="s">
        <v>61</v>
      </c>
      <c r="E62" s="4">
        <f>April!E62+D60</f>
        <v>2482</v>
      </c>
      <c r="G62" s="4">
        <f>April!G62+F60</f>
        <v>13410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22">
      <selection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68</v>
      </c>
      <c r="H1" s="2" t="s">
        <v>75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May!C5+B5</f>
        <v>514</v>
      </c>
      <c r="D5" s="15">
        <f>34+2</f>
        <v>36</v>
      </c>
      <c r="E5" s="9">
        <f>May!E5+D5</f>
        <v>1147</v>
      </c>
      <c r="F5" s="17"/>
      <c r="G5" s="9">
        <f>May!G5+F5</f>
        <v>116</v>
      </c>
      <c r="H5" s="19"/>
      <c r="I5" s="9">
        <f>May!I5+H5</f>
        <v>0</v>
      </c>
    </row>
    <row r="6" spans="1:9" s="5" customFormat="1" ht="18" customHeight="1">
      <c r="A6" s="9" t="s">
        <v>9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</row>
    <row r="7" spans="1:9" s="5" customFormat="1" ht="18" customHeight="1">
      <c r="A7" s="9" t="s">
        <v>10</v>
      </c>
      <c r="B7" s="13"/>
      <c r="C7" s="9">
        <f>May!C7+B7</f>
        <v>198</v>
      </c>
      <c r="D7" s="15"/>
      <c r="E7" s="9">
        <f>May!E7+D7</f>
        <v>0</v>
      </c>
      <c r="F7" s="17"/>
      <c r="G7" s="9">
        <f>May!G7+F7</f>
        <v>156</v>
      </c>
      <c r="H7" s="19"/>
      <c r="I7" s="9">
        <f>May!I7+H7</f>
        <v>0</v>
      </c>
    </row>
    <row r="8" spans="1:9" s="5" customFormat="1" ht="18" customHeight="1">
      <c r="A8" s="9" t="s">
        <v>11</v>
      </c>
      <c r="B8" s="13">
        <f>60+97+360+62+72+61+115+27+10+94+54+37+53</f>
        <v>1102</v>
      </c>
      <c r="C8" s="9">
        <f>May!C8+B8</f>
        <v>4140</v>
      </c>
      <c r="D8" s="15"/>
      <c r="E8" s="9">
        <f>May!E8+D8</f>
        <v>17</v>
      </c>
      <c r="F8" s="17"/>
      <c r="G8" s="9">
        <f>May!G8+F8</f>
        <v>10</v>
      </c>
      <c r="H8" s="19"/>
      <c r="I8" s="9">
        <f>May!I8+H8</f>
        <v>0</v>
      </c>
    </row>
    <row r="9" spans="1:9" s="5" customFormat="1" ht="18" customHeight="1">
      <c r="A9" s="9" t="s">
        <v>12</v>
      </c>
      <c r="B9" s="13">
        <f>17+147+70+33+99+20+39+60+117+15</f>
        <v>617</v>
      </c>
      <c r="C9" s="9">
        <f>May!C9+B9</f>
        <v>617</v>
      </c>
      <c r="D9" s="15"/>
      <c r="E9" s="9">
        <f>May!E9+D9</f>
        <v>2</v>
      </c>
      <c r="F9" s="17">
        <f>4+10+233</f>
        <v>247</v>
      </c>
      <c r="G9" s="9">
        <f>May!G9+F9</f>
        <v>541</v>
      </c>
      <c r="H9" s="19"/>
      <c r="I9" s="9">
        <f>May!I9+H9</f>
        <v>144</v>
      </c>
    </row>
    <row r="10" spans="1:9" s="5" customFormat="1" ht="18" customHeight="1">
      <c r="A10" s="9" t="s">
        <v>13</v>
      </c>
      <c r="B10" s="13">
        <v>119</v>
      </c>
      <c r="C10" s="9">
        <f>May!C10+B10</f>
        <v>385</v>
      </c>
      <c r="D10" s="15">
        <v>4</v>
      </c>
      <c r="E10" s="9">
        <f>May!E10+D10</f>
        <v>121</v>
      </c>
      <c r="F10" s="17">
        <v>6</v>
      </c>
      <c r="G10" s="9">
        <f>May!G10+F10</f>
        <v>19</v>
      </c>
      <c r="H10" s="19"/>
      <c r="I10" s="9">
        <f>May!I10+H10</f>
        <v>0</v>
      </c>
    </row>
    <row r="11" spans="1:9" s="5" customFormat="1" ht="18" customHeight="1">
      <c r="A11" s="9" t="s">
        <v>14</v>
      </c>
      <c r="B11" s="13"/>
      <c r="C11" s="9">
        <f>May!C11+B11</f>
        <v>1388</v>
      </c>
      <c r="D11" s="15"/>
      <c r="E11" s="9">
        <f>May!E11+D11</f>
        <v>569</v>
      </c>
      <c r="F11" s="17"/>
      <c r="G11" s="9">
        <f>May!G11+F11</f>
        <v>540</v>
      </c>
      <c r="H11" s="19"/>
      <c r="I11" s="9">
        <f>May!I11+H11</f>
        <v>0</v>
      </c>
    </row>
    <row r="12" spans="1:9" s="5" customFormat="1" ht="18" customHeight="1">
      <c r="A12" s="9" t="s">
        <v>15</v>
      </c>
      <c r="B12" s="13"/>
      <c r="C12" s="9">
        <f>May!C12+B12</f>
        <v>0</v>
      </c>
      <c r="D12" s="15"/>
      <c r="E12" s="9">
        <f>May!E12+D12</f>
        <v>0</v>
      </c>
      <c r="F12" s="17"/>
      <c r="G12" s="9">
        <f>May!G12+F12</f>
        <v>0</v>
      </c>
      <c r="H12" s="19"/>
      <c r="I12" s="9">
        <f>May!I12+H12</f>
        <v>0</v>
      </c>
    </row>
    <row r="13" spans="1:9" s="5" customFormat="1" ht="18" customHeight="1">
      <c r="A13" s="9" t="s">
        <v>16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</row>
    <row r="14" spans="1:9" s="5" customFormat="1" ht="18" customHeight="1">
      <c r="A14" s="9" t="s">
        <v>17</v>
      </c>
      <c r="B14" s="13">
        <f>33+49</f>
        <v>82</v>
      </c>
      <c r="C14" s="9">
        <f>May!C14+B14</f>
        <v>82</v>
      </c>
      <c r="D14" s="15"/>
      <c r="E14" s="9">
        <f>May!E14+D14</f>
        <v>1</v>
      </c>
      <c r="F14" s="17"/>
      <c r="G14" s="9">
        <f>May!G14+F14</f>
        <v>0</v>
      </c>
      <c r="H14" s="19"/>
      <c r="I14" s="9">
        <f>May!I14+H14</f>
        <v>0</v>
      </c>
    </row>
    <row r="15" spans="1:9" s="5" customFormat="1" ht="18" customHeight="1">
      <c r="A15" s="9" t="s">
        <v>18</v>
      </c>
      <c r="B15" s="13">
        <f>95+88+75</f>
        <v>258</v>
      </c>
      <c r="C15" s="9">
        <f>May!C15+B15</f>
        <v>1927</v>
      </c>
      <c r="D15" s="15">
        <f>26</f>
        <v>26</v>
      </c>
      <c r="E15" s="9">
        <f>May!E15+D15</f>
        <v>128</v>
      </c>
      <c r="F15" s="17"/>
      <c r="G15" s="9">
        <f>May!G15+F15</f>
        <v>0</v>
      </c>
      <c r="H15" s="19"/>
      <c r="I15" s="9">
        <f>May!I15+H15</f>
        <v>0</v>
      </c>
    </row>
    <row r="16" spans="1:9" s="5" customFormat="1" ht="18" customHeight="1">
      <c r="A16" s="9" t="s">
        <v>19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</row>
    <row r="17" spans="1:9" s="5" customFormat="1" ht="18" customHeight="1">
      <c r="A17" s="9" t="s">
        <v>20</v>
      </c>
      <c r="B17" s="13">
        <f>90+180+16+89+160+160+130</f>
        <v>825</v>
      </c>
      <c r="C17" s="9">
        <f>May!C17+B17</f>
        <v>3926</v>
      </c>
      <c r="D17" s="15">
        <f>100</f>
        <v>100</v>
      </c>
      <c r="E17" s="9">
        <f>May!E17+D17</f>
        <v>863</v>
      </c>
      <c r="F17" s="17">
        <f>29</f>
        <v>29</v>
      </c>
      <c r="G17" s="9">
        <f>May!G17+F17</f>
        <v>32</v>
      </c>
      <c r="H17" s="19"/>
      <c r="I17" s="9">
        <f>May!I17+H17</f>
        <v>0</v>
      </c>
    </row>
    <row r="18" spans="1:9" s="5" customFormat="1" ht="18" customHeight="1">
      <c r="A18" s="9" t="s">
        <v>21</v>
      </c>
      <c r="B18" s="13">
        <f>62+59+35+63+85</f>
        <v>304</v>
      </c>
      <c r="C18" s="9">
        <f>May!C18+B18</f>
        <v>2954</v>
      </c>
      <c r="D18" s="15">
        <f>1+2+1+4+2+2+1+2+2+1+6+4</f>
        <v>28</v>
      </c>
      <c r="E18" s="9">
        <f>May!E18+D18</f>
        <v>360</v>
      </c>
      <c r="F18" s="17">
        <f>12+2+1+14+72+25+18</f>
        <v>144</v>
      </c>
      <c r="G18" s="9">
        <f>May!G18+F18</f>
        <v>251</v>
      </c>
      <c r="H18" s="19"/>
      <c r="I18" s="9">
        <f>May!I18+H18</f>
        <v>0</v>
      </c>
    </row>
    <row r="19" spans="1:9" s="5" customFormat="1" ht="18" customHeight="1">
      <c r="A19" s="9" t="s">
        <v>22</v>
      </c>
      <c r="B19" s="13">
        <v>625</v>
      </c>
      <c r="C19" s="9">
        <f>May!C19+B19</f>
        <v>4493</v>
      </c>
      <c r="D19" s="15"/>
      <c r="E19" s="9">
        <f>May!E19+D19</f>
        <v>266</v>
      </c>
      <c r="F19" s="17">
        <f>12</f>
        <v>12</v>
      </c>
      <c r="G19" s="9">
        <f>May!G19+F19</f>
        <v>2648</v>
      </c>
      <c r="H19" s="19"/>
      <c r="I19" s="9">
        <f>May!I19+H19</f>
        <v>0</v>
      </c>
    </row>
    <row r="20" spans="1:9" s="5" customFormat="1" ht="18" customHeight="1">
      <c r="A20" s="9" t="s">
        <v>23</v>
      </c>
      <c r="B20" s="13">
        <f>63+87+180+225+260+118+190+64+64+190</f>
        <v>1441</v>
      </c>
      <c r="C20" s="9">
        <f>May!C20+B20</f>
        <v>12681</v>
      </c>
      <c r="D20" s="15">
        <f>2+50+43+67</f>
        <v>162</v>
      </c>
      <c r="E20" s="9">
        <f>May!E20+D20</f>
        <v>1613</v>
      </c>
      <c r="F20" s="17"/>
      <c r="G20" s="9">
        <f>May!G20+F20</f>
        <v>654</v>
      </c>
      <c r="H20" s="19"/>
      <c r="I20" s="9">
        <f>May!I20+H20</f>
        <v>0</v>
      </c>
    </row>
    <row r="21" spans="1:9" s="5" customFormat="1" ht="18" customHeight="1">
      <c r="A21" s="9" t="s">
        <v>24</v>
      </c>
      <c r="B21" s="13">
        <f>69+62+361+87+313+177+380+75+60+450+124+70+58+130+196+288+57+64+297+72+100+66+96+62+225+60+142+87+115+131+115+78+94+46+36+13+6+55+67+130+130+300+40+33+75+42+45+31+26+70+21+176+34+76+35+38+54+83+57+56+6+58+60+59+28+265+72+625+70+58+150+70+93+60+111+65+188+151+205+253+91+67+101+125+41+84+82+105+78+176+124+63+178+66+70</f>
        <v>10634</v>
      </c>
      <c r="C21" s="9">
        <f>May!C21+B21</f>
        <v>60659</v>
      </c>
      <c r="D21" s="15">
        <f>10+10+10+10+10+2+10</f>
        <v>62</v>
      </c>
      <c r="E21" s="9">
        <f>May!E21+D21</f>
        <v>84</v>
      </c>
      <c r="F21" s="17">
        <f>3+5+5+1+4+4+6+1</f>
        <v>29</v>
      </c>
      <c r="G21" s="9">
        <f>May!G21+F21</f>
        <v>110</v>
      </c>
      <c r="H21" s="19"/>
      <c r="I21" s="9">
        <f>May!I21+H21</f>
        <v>0</v>
      </c>
    </row>
    <row r="22" spans="1:9" s="5" customFormat="1" ht="18" customHeight="1">
      <c r="A22" s="9" t="s">
        <v>25</v>
      </c>
      <c r="B22" s="13"/>
      <c r="C22" s="9">
        <f>May!C22+B22</f>
        <v>0</v>
      </c>
      <c r="D22" s="15"/>
      <c r="E22" s="9">
        <f>May!E22+D22</f>
        <v>0</v>
      </c>
      <c r="F22" s="17"/>
      <c r="G22" s="9">
        <f>May!G22+F22</f>
        <v>0</v>
      </c>
      <c r="H22" s="19"/>
      <c r="I22" s="9">
        <f>May!I22+H22</f>
        <v>0</v>
      </c>
    </row>
    <row r="23" spans="1:9" s="5" customFormat="1" ht="18" customHeight="1">
      <c r="A23" s="9" t="s">
        <v>26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0</v>
      </c>
      <c r="H23" s="19"/>
      <c r="I23" s="9">
        <f>May!I23+H23</f>
        <v>0</v>
      </c>
    </row>
    <row r="24" spans="1:9" s="5" customFormat="1" ht="18" customHeight="1">
      <c r="A24" s="9" t="s">
        <v>27</v>
      </c>
      <c r="B24" s="13"/>
      <c r="C24" s="9">
        <f>May!C24+B24</f>
        <v>0</v>
      </c>
      <c r="D24" s="15"/>
      <c r="E24" s="9">
        <f>May!E24+D24</f>
        <v>2</v>
      </c>
      <c r="F24" s="17"/>
      <c r="G24" s="9">
        <f>May!G24+F24</f>
        <v>15</v>
      </c>
      <c r="H24" s="19"/>
      <c r="I24" s="9">
        <f>May!I24+H24</f>
        <v>0</v>
      </c>
    </row>
    <row r="25" spans="1:9" s="5" customFormat="1" ht="18" customHeight="1">
      <c r="A25" s="9" t="s">
        <v>28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0</v>
      </c>
      <c r="H25" s="19"/>
      <c r="I25" s="9">
        <f>May!I25+H25</f>
        <v>0</v>
      </c>
    </row>
    <row r="26" spans="1:9" s="5" customFormat="1" ht="18" customHeight="1">
      <c r="A26" s="9" t="s">
        <v>29</v>
      </c>
      <c r="B26" s="13">
        <f>141+113+65+425+1920</f>
        <v>2664</v>
      </c>
      <c r="C26" s="9">
        <f>May!C26+B26</f>
        <v>3345</v>
      </c>
      <c r="D26" s="15">
        <f>3</f>
        <v>3</v>
      </c>
      <c r="E26" s="9">
        <f>May!E26+D26</f>
        <v>5</v>
      </c>
      <c r="F26" s="17">
        <f>3+10+4+1+10+1</f>
        <v>29</v>
      </c>
      <c r="G26" s="9">
        <f>May!G26+F26</f>
        <v>36</v>
      </c>
      <c r="H26" s="19"/>
      <c r="I26" s="9">
        <f>May!I26+H26</f>
        <v>0</v>
      </c>
    </row>
    <row r="27" spans="1:9" s="5" customFormat="1" ht="18" customHeight="1">
      <c r="A27" s="9" t="s">
        <v>30</v>
      </c>
      <c r="B27" s="13">
        <f>86+49+62+93+72+4+88+34+28+58+42+150+5+5+4+9+18+24+9+60+9+6+78+280+134+65+266+52+66+3+20+18+23+4+9+6+3+13+13+15+4+17+14+37+19+9+2+1+26+22+20+59+21+22+23</f>
        <v>2279</v>
      </c>
      <c r="C27" s="9">
        <f>May!C27+B27</f>
        <v>24828</v>
      </c>
      <c r="D27" s="15">
        <f>1+3+3+1+2+3+3+1+1+2+1+18+1+1+1+4+4+1+31+3+1+4+2+1+1+1</f>
        <v>95</v>
      </c>
      <c r="E27" s="9">
        <f>May!E27+D27</f>
        <v>1350</v>
      </c>
      <c r="F27" s="17">
        <f>2+1+84+84+15+7+1+2+1+1+80+80+80+80+2+1+10+4+3+3+2+15+12+45+12+90+15+15+33+8+135+130+1+8+7+4+16</f>
        <v>1089</v>
      </c>
      <c r="G27" s="9">
        <f>May!G27+F27</f>
        <v>13949</v>
      </c>
      <c r="H27" s="19"/>
      <c r="I27" s="9">
        <f>May!I27+H27</f>
        <v>0</v>
      </c>
    </row>
    <row r="28" spans="1:9" s="5" customFormat="1" ht="18" customHeight="1">
      <c r="A28" s="9" t="s">
        <v>31</v>
      </c>
      <c r="B28" s="13">
        <f>70+69+68+68+93+70+117+100+118+120</f>
        <v>893</v>
      </c>
      <c r="C28" s="9">
        <f>May!C28+B28</f>
        <v>1404</v>
      </c>
      <c r="D28" s="15">
        <f>1</f>
        <v>1</v>
      </c>
      <c r="E28" s="9">
        <f>May!E28+D28</f>
        <v>140</v>
      </c>
      <c r="F28" s="17"/>
      <c r="G28" s="9">
        <f>May!G28+F28</f>
        <v>0</v>
      </c>
      <c r="H28" s="19"/>
      <c r="I28" s="9">
        <f>May!I28+H28</f>
        <v>0</v>
      </c>
    </row>
    <row r="29" spans="1:9" s="5" customFormat="1" ht="18" customHeight="1">
      <c r="A29" s="9" t="s">
        <v>32</v>
      </c>
      <c r="B29" s="13">
        <f>63+130+56+60+60+60+80+81+17+120+116+54+60+38+63+19+52+66+130+68+49+79+94+77+79+5+70+70+44+79+101+93+78+60+60+90+90+122+74+118+124+124+70+57+89+105+84+55+104+273+105+101+93+99+87+98+52+20+60+85+116+28+62+2+4+7+27+56+36+104+47+85+53+24+99+45+56+101+113+118+177+82+82+80+132+200+69+15+76+54+124+58+254+15+58+65+121+75+155+63+32+44+96+35+10+68+23+28+76+80+182+79+58+86+74+5+29+73+104+49+105+64+63+72+280+74+302+124+9+77+48+191+53+23+102+63+16+82+18+63+127+132</f>
        <v>11267</v>
      </c>
      <c r="C29" s="9">
        <f>May!C29+B29</f>
        <v>77817</v>
      </c>
      <c r="D29" s="15">
        <f>1+2+1+1+9+2+13+1+19+2+1+2+1+1+24+1+1+6+22+11+17+1+22+22+10</f>
        <v>193</v>
      </c>
      <c r="E29" s="9">
        <f>May!E29+D29</f>
        <v>4678</v>
      </c>
      <c r="F29" s="17"/>
      <c r="G29" s="9">
        <f>May!G29+F29</f>
        <v>687</v>
      </c>
      <c r="H29" s="19"/>
      <c r="I29" s="9">
        <f>May!I29+H29</f>
        <v>277</v>
      </c>
    </row>
    <row r="30" spans="1:9" s="5" customFormat="1" ht="18" customHeight="1">
      <c r="A30" s="9" t="s">
        <v>33</v>
      </c>
      <c r="B30" s="13">
        <f>2+130+7+40+77+18+18+98+3+34+2</f>
        <v>429</v>
      </c>
      <c r="C30" s="9">
        <f>May!C30+B30</f>
        <v>18440</v>
      </c>
      <c r="D30" s="15">
        <f>2+251+3+1+147+9+129+2+206+95+27+317+23+28+28+28+28+17</f>
        <v>1341</v>
      </c>
      <c r="E30" s="9">
        <f>May!E30+D30</f>
        <v>3984</v>
      </c>
      <c r="F30" s="17"/>
      <c r="G30" s="9">
        <f>May!G30+F30</f>
        <v>0</v>
      </c>
      <c r="H30" s="19"/>
      <c r="I30" s="9">
        <f>May!I30+H30</f>
        <v>0</v>
      </c>
    </row>
    <row r="31" spans="1:9" s="5" customFormat="1" ht="18" customHeight="1">
      <c r="A31" s="9" t="s">
        <v>34</v>
      </c>
      <c r="B31" s="13">
        <f>140+18+25+62+62+162+87+130+210+6+56+47+59+50+215+150+3+175+550+101+385+120+121+179</f>
        <v>3113</v>
      </c>
      <c r="C31" s="9">
        <f>May!C31+B31</f>
        <v>22148</v>
      </c>
      <c r="D31" s="15">
        <f>76+11+1+4+1+70+42+28+280+1+1+1+1+5+54+14+56+30+8+3</f>
        <v>687</v>
      </c>
      <c r="E31" s="9">
        <f>May!E31+D31</f>
        <v>4356</v>
      </c>
      <c r="F31" s="17">
        <f>31+40+40+44+40+4+86</f>
        <v>285</v>
      </c>
      <c r="G31" s="9">
        <f>May!G31+F31</f>
        <v>1576</v>
      </c>
      <c r="H31" s="19"/>
      <c r="I31" s="9">
        <f>May!I31+H31</f>
        <v>0</v>
      </c>
    </row>
    <row r="32" spans="1:9" s="5" customFormat="1" ht="18" customHeight="1">
      <c r="A32" s="9" t="s">
        <v>35</v>
      </c>
      <c r="B32" s="13"/>
      <c r="C32" s="9">
        <f>May!C32+B32</f>
        <v>0</v>
      </c>
      <c r="D32" s="15"/>
      <c r="E32" s="9">
        <f>May!E32+D32</f>
        <v>0</v>
      </c>
      <c r="F32" s="17"/>
      <c r="G32" s="9">
        <f>May!G32+F32</f>
        <v>0</v>
      </c>
      <c r="H32" s="19"/>
      <c r="I32" s="9">
        <f>May!I32+H32</f>
        <v>0</v>
      </c>
    </row>
    <row r="33" spans="1:9" s="5" customFormat="1" ht="18" customHeight="1">
      <c r="A33" s="9" t="s">
        <v>36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</row>
    <row r="34" spans="1:9" s="5" customFormat="1" ht="18" customHeight="1">
      <c r="A34" s="9" t="s">
        <v>37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</row>
    <row r="35" spans="1:9" s="5" customFormat="1" ht="18" customHeight="1">
      <c r="A35" s="9" t="s">
        <v>38</v>
      </c>
      <c r="B35" s="13"/>
      <c r="C35" s="9">
        <f>May!C35+B35</f>
        <v>237</v>
      </c>
      <c r="D35" s="15"/>
      <c r="E35" s="9">
        <f>May!E35+D35</f>
        <v>0</v>
      </c>
      <c r="F35" s="17"/>
      <c r="G35" s="9">
        <f>May!G35+F35</f>
        <v>146</v>
      </c>
      <c r="H35" s="19"/>
      <c r="I35" s="9">
        <f>May!I35+H35</f>
        <v>0</v>
      </c>
    </row>
    <row r="36" spans="1:9" s="5" customFormat="1" ht="18" customHeight="1">
      <c r="A36" s="9" t="s">
        <v>39</v>
      </c>
      <c r="B36" s="13"/>
      <c r="C36" s="9">
        <f>May!C36+B36</f>
        <v>0</v>
      </c>
      <c r="D36" s="15"/>
      <c r="E36" s="9">
        <f>May!E36+D36</f>
        <v>5</v>
      </c>
      <c r="F36" s="17">
        <f>3+10+43+1+4+1</f>
        <v>62</v>
      </c>
      <c r="G36" s="9">
        <f>May!G36+F36</f>
        <v>267</v>
      </c>
      <c r="H36" s="19"/>
      <c r="I36" s="9">
        <f>May!I36+H36</f>
        <v>0</v>
      </c>
    </row>
    <row r="37" spans="1:9" s="5" customFormat="1" ht="18" customHeight="1">
      <c r="A37" s="9" t="s">
        <v>40</v>
      </c>
      <c r="B37" s="13"/>
      <c r="C37" s="9">
        <f>May!C37+B37</f>
        <v>376</v>
      </c>
      <c r="D37" s="15"/>
      <c r="E37" s="9">
        <f>May!E37+D37</f>
        <v>16</v>
      </c>
      <c r="F37" s="17"/>
      <c r="G37" s="9">
        <f>May!G37+F37</f>
        <v>11</v>
      </c>
      <c r="H37" s="19"/>
      <c r="I37" s="9">
        <f>May!I37+H37</f>
        <v>0</v>
      </c>
    </row>
    <row r="38" spans="1:9" s="5" customFormat="1" ht="18" customHeight="1">
      <c r="A38" s="9" t="s">
        <v>41</v>
      </c>
      <c r="B38" s="13">
        <f>82+27+18+427+86+72+85+45+82+86+67+315+32+66+109+158+137+91+8+71+73+2160+57+78+85+74+87</f>
        <v>4678</v>
      </c>
      <c r="C38" s="9">
        <f>May!C38+B38</f>
        <v>35587</v>
      </c>
      <c r="D38" s="15">
        <f>1+2+4+1+2+1</f>
        <v>11</v>
      </c>
      <c r="E38" s="9">
        <f>May!E38+D38</f>
        <v>666</v>
      </c>
      <c r="F38" s="17"/>
      <c r="G38" s="9">
        <f>May!G38+F38</f>
        <v>120</v>
      </c>
      <c r="H38" s="19"/>
      <c r="I38" s="9">
        <f>May!I38+H38</f>
        <v>0</v>
      </c>
    </row>
    <row r="39" spans="1:9" s="5" customFormat="1" ht="18" customHeight="1">
      <c r="A39" s="9" t="s">
        <v>42</v>
      </c>
      <c r="B39" s="13">
        <v>200</v>
      </c>
      <c r="C39" s="9">
        <f>May!C39+B39</f>
        <v>1814</v>
      </c>
      <c r="D39" s="15"/>
      <c r="E39" s="9">
        <f>May!E39+D39</f>
        <v>36</v>
      </c>
      <c r="F39" s="17">
        <f>12+12+12+12+12+12+12+12+2+1+20</f>
        <v>119</v>
      </c>
      <c r="G39" s="9">
        <f>May!G39+F39</f>
        <v>1778</v>
      </c>
      <c r="H39" s="19"/>
      <c r="I39" s="9">
        <f>May!I39+H39</f>
        <v>0</v>
      </c>
    </row>
    <row r="40" spans="1:9" s="5" customFormat="1" ht="18" customHeight="1">
      <c r="A40" s="9" t="s">
        <v>43</v>
      </c>
      <c r="B40" s="13"/>
      <c r="C40" s="9">
        <f>May!C40+B40</f>
        <v>3379</v>
      </c>
      <c r="D40" s="15"/>
      <c r="E40" s="9">
        <f>May!E40+D40</f>
        <v>192</v>
      </c>
      <c r="F40" s="17"/>
      <c r="G40" s="9">
        <f>May!G40+F40</f>
        <v>9</v>
      </c>
      <c r="H40" s="19"/>
      <c r="I40" s="9">
        <f>May!I40+H40</f>
        <v>0</v>
      </c>
    </row>
    <row r="41" spans="1:9" s="5" customFormat="1" ht="18" customHeight="1">
      <c r="A41" s="9" t="s">
        <v>44</v>
      </c>
      <c r="B41" s="13">
        <f>170+39+22</f>
        <v>231</v>
      </c>
      <c r="C41" s="9">
        <f>May!C41+B41</f>
        <v>760</v>
      </c>
      <c r="D41" s="15"/>
      <c r="E41" s="9">
        <f>May!E41+D41</f>
        <v>85</v>
      </c>
      <c r="F41" s="17"/>
      <c r="G41" s="9">
        <f>May!G41+F41</f>
        <v>0</v>
      </c>
      <c r="H41" s="19"/>
      <c r="I41" s="9">
        <f>May!I41+H41</f>
        <v>0</v>
      </c>
    </row>
    <row r="42" spans="1:9" s="5" customFormat="1" ht="18" customHeight="1">
      <c r="A42" s="9" t="s">
        <v>45</v>
      </c>
      <c r="B42" s="13"/>
      <c r="C42" s="9">
        <f>May!C42+B42</f>
        <v>567</v>
      </c>
      <c r="D42" s="15"/>
      <c r="E42" s="9">
        <f>May!E42+D42</f>
        <v>242</v>
      </c>
      <c r="F42" s="17"/>
      <c r="G42" s="9">
        <f>May!G42+F42</f>
        <v>966</v>
      </c>
      <c r="H42" s="19"/>
      <c r="I42" s="9">
        <f>May!I42+H42</f>
        <v>0</v>
      </c>
    </row>
    <row r="43" spans="1:9" s="5" customFormat="1" ht="18" customHeight="1">
      <c r="A43" s="9" t="s">
        <v>46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</row>
    <row r="44" spans="1:9" s="5" customFormat="1" ht="18" customHeight="1">
      <c r="A44" s="9" t="s">
        <v>47</v>
      </c>
      <c r="B44" s="13">
        <f>83+100+88+96+77+80+78+85+83+98+73</f>
        <v>941</v>
      </c>
      <c r="C44" s="9">
        <f>May!C44+B44</f>
        <v>4530</v>
      </c>
      <c r="D44" s="15"/>
      <c r="E44" s="9">
        <f>May!E44+D44</f>
        <v>0</v>
      </c>
      <c r="F44" s="17"/>
      <c r="G44" s="9">
        <f>May!G44+F44</f>
        <v>0</v>
      </c>
      <c r="H44" s="19"/>
      <c r="I44" s="9">
        <f>May!I44+H44</f>
        <v>0</v>
      </c>
    </row>
    <row r="45" spans="1:9" s="5" customFormat="1" ht="18" customHeight="1">
      <c r="A45" s="9" t="s">
        <v>48</v>
      </c>
      <c r="B45" s="13">
        <f>24+25+32+91+3+34+13+56+13+10+4+10+9+16+83+8+75+68+18+4+55+3+10+25+36+322+18+2+19+28+45+148+41+64+64+120+22+65+58+26+11+4+207+63+32+15+78+55+142+94+158+77+76+139+9+93+38+90+62+46+2+18+20+9+12+12+7+35+57+29+42+13+172+5+65+103+82+248+89+24+170+38+29+47+28+75+28+75+141+132+51+47+115+170+25+375+70+39+21+250+225+100+55+311+12+55+19+13+55+24+11+28+28+26+61+82+8+31+32+26+10+32+28+154+55+4+3+4+23+28+1+29+61+68+51+31+74+12+26+11+18+24+15+58+21+19+202+22+101+27+8+123+24+10+2+2+9+15+15+11+21+59+22+5+13+56+273+25+81+249+10+59+45+102+20+32+81+76+75+120+150+6+100+59+30+117+34+5+55+9+14+22+37+19+49+4+19+3+20+40+25+40+2+62+13+11+11+70+195+76+74+61+17+157+140+24+122+121+227+130+135+70+107+19+140+70+83+36+48+89+43+63+5+4+16+21+10+22+57+14+65+3+3+103+82+140+312+160+20+46+46+37+90+198+61+56+36+98+70+79+58+65+87+72+96+101+2+62+262+146+164+97+80+85+50+72+97+15+37+50+38+71+90+76+720+96+88+198+156</f>
        <v>18641</v>
      </c>
      <c r="C45" s="9">
        <f>May!C45+B45</f>
        <v>139699</v>
      </c>
      <c r="D45" s="15">
        <f>50+2+4+1+1+2+1+1+17+16+7+19+1+1+3+27+8+36+53+42+36+42+3+80+2+1+4+1+3+1+2+2+39+75+8+16+8+11+68+40+1+16+1+2+1+2+7+16+2+34+10+48+34+3+3+1+1+1+4+1+2+1</f>
        <v>925</v>
      </c>
      <c r="E45" s="9">
        <f>May!E45+D45</f>
        <v>9620</v>
      </c>
      <c r="F45" s="17">
        <f>7+1+3+15+1</f>
        <v>27</v>
      </c>
      <c r="G45" s="9">
        <f>May!G45+F45</f>
        <v>158</v>
      </c>
      <c r="H45" s="19"/>
      <c r="I45" s="9">
        <f>May!I45+H45</f>
        <v>0</v>
      </c>
    </row>
    <row r="46" spans="1:9" s="5" customFormat="1" ht="18" customHeight="1">
      <c r="A46" s="9" t="s">
        <v>49</v>
      </c>
      <c r="B46" s="13">
        <f>62+74+118+95+51+67+25+45+70+116+84+96+71+70+116+112+70</f>
        <v>1342</v>
      </c>
      <c r="C46" s="9">
        <f>May!C46+B46</f>
        <v>6084</v>
      </c>
      <c r="D46" s="15">
        <f>31+15+2+1+10+71+1+2</f>
        <v>133</v>
      </c>
      <c r="E46" s="9">
        <f>May!E46+D46</f>
        <v>267</v>
      </c>
      <c r="F46" s="17"/>
      <c r="G46" s="9">
        <f>May!G46+F46</f>
        <v>81</v>
      </c>
      <c r="H46" s="19"/>
      <c r="I46" s="9">
        <f>May!I46+H46</f>
        <v>0</v>
      </c>
    </row>
    <row r="47" spans="1:9" s="5" customFormat="1" ht="18" customHeight="1">
      <c r="A47" s="9" t="s">
        <v>50</v>
      </c>
      <c r="B47" s="13">
        <f>60+116+210+62+249+147+134+200+120+41+22+10+18+83+60</f>
        <v>1532</v>
      </c>
      <c r="C47" s="9">
        <f>May!C47+B47</f>
        <v>4637</v>
      </c>
      <c r="D47" s="15"/>
      <c r="E47" s="9">
        <f>May!E47+D47</f>
        <v>324</v>
      </c>
      <c r="F47" s="17">
        <f>188</f>
        <v>188</v>
      </c>
      <c r="G47" s="9">
        <f>May!G47+F47</f>
        <v>252</v>
      </c>
      <c r="H47" s="19"/>
      <c r="I47" s="9">
        <f>May!I47+H47</f>
        <v>0</v>
      </c>
    </row>
    <row r="48" spans="1:9" s="5" customFormat="1" ht="18" customHeight="1">
      <c r="A48" s="9" t="s">
        <v>51</v>
      </c>
      <c r="B48" s="13"/>
      <c r="C48" s="9">
        <f>May!C48+B48</f>
        <v>4</v>
      </c>
      <c r="D48" s="15"/>
      <c r="E48" s="9">
        <f>May!E48+D48</f>
        <v>5</v>
      </c>
      <c r="F48" s="17">
        <f>84</f>
        <v>84</v>
      </c>
      <c r="G48" s="9">
        <f>May!G48+F48</f>
        <v>194</v>
      </c>
      <c r="H48" s="19"/>
      <c r="I48" s="9">
        <f>May!I48+H48</f>
        <v>0</v>
      </c>
    </row>
    <row r="49" spans="1:9" s="5" customFormat="1" ht="18" customHeight="1">
      <c r="A49" s="9" t="s">
        <v>52</v>
      </c>
      <c r="B49" s="13"/>
      <c r="C49" s="9">
        <f>May!C49+B49</f>
        <v>0</v>
      </c>
      <c r="D49" s="15"/>
      <c r="E49" s="9">
        <f>May!E49+D49</f>
        <v>0</v>
      </c>
      <c r="F49" s="17">
        <f>3+15</f>
        <v>18</v>
      </c>
      <c r="G49" s="9">
        <f>May!G49+F49</f>
        <v>121</v>
      </c>
      <c r="H49" s="19"/>
      <c r="I49" s="9">
        <f>May!I49+H49</f>
        <v>0</v>
      </c>
    </row>
    <row r="50" spans="1:9" s="5" customFormat="1" ht="18" customHeight="1">
      <c r="A50" s="9" t="s">
        <v>53</v>
      </c>
      <c r="B50" s="13">
        <f>939+66+56+66+53+54+62+77+132+79+144</f>
        <v>1728</v>
      </c>
      <c r="C50" s="9">
        <f>May!C50+B50</f>
        <v>5875</v>
      </c>
      <c r="D50" s="15">
        <f>60</f>
        <v>60</v>
      </c>
      <c r="E50" s="9">
        <f>May!E50+D50</f>
        <v>62</v>
      </c>
      <c r="F50" s="17"/>
      <c r="G50" s="9">
        <f>May!G50+F50</f>
        <v>0</v>
      </c>
      <c r="H50" s="19"/>
      <c r="I50" s="9">
        <f>May!I50+H50</f>
        <v>0</v>
      </c>
    </row>
    <row r="51" spans="1:9" s="5" customFormat="1" ht="18" customHeight="1">
      <c r="A51" s="9" t="s">
        <v>54</v>
      </c>
      <c r="B51" s="13">
        <f>160</f>
        <v>160</v>
      </c>
      <c r="C51" s="9">
        <f>May!C51+B51</f>
        <v>1768</v>
      </c>
      <c r="D51" s="15">
        <f>5</f>
        <v>5</v>
      </c>
      <c r="E51" s="9">
        <f>May!E51+D51</f>
        <v>7</v>
      </c>
      <c r="F51" s="17"/>
      <c r="G51" s="9">
        <f>May!G51+F51</f>
        <v>286</v>
      </c>
      <c r="H51" s="19"/>
      <c r="I51" s="9">
        <f>May!I51+H51</f>
        <v>0</v>
      </c>
    </row>
    <row r="52" spans="1:9" s="5" customFormat="1" ht="18" customHeight="1">
      <c r="A52" s="9" t="s">
        <v>55</v>
      </c>
      <c r="B52" s="13">
        <f>60+60+95+66+60+52+63+65+62+61</f>
        <v>644</v>
      </c>
      <c r="C52" s="9">
        <f>May!C52+B52</f>
        <v>2023</v>
      </c>
      <c r="D52" s="15"/>
      <c r="E52" s="9">
        <f>May!E52+D52</f>
        <v>63</v>
      </c>
      <c r="F52" s="17"/>
      <c r="G52" s="9">
        <f>May!G52+F52</f>
        <v>0</v>
      </c>
      <c r="H52" s="19"/>
      <c r="I52" s="9">
        <f>May!I52+H52</f>
        <v>0</v>
      </c>
    </row>
    <row r="53" spans="1:9" s="5" customFormat="1" ht="18" customHeight="1">
      <c r="A53" s="9" t="s">
        <v>56</v>
      </c>
      <c r="B53" s="13">
        <f>155+7+32+2+14+36+35+16+11+2+25+58+27+129+3+7+149+22+5+19+20+4+39+16+33+26+4+210+1+40+22+11+24+14+115+22+8+120+50+144+27+8+91+64+12+22+40+6+30+60+5+40+3+19+6+50+87+18+12+17+25+8+4+16+3+1+288+72+30+120+30+72+135</f>
        <v>3098</v>
      </c>
      <c r="C53" s="9">
        <f>May!C53+B53</f>
        <v>19596</v>
      </c>
      <c r="D53" s="15">
        <v>23</v>
      </c>
      <c r="E53" s="9">
        <f>May!E53+D53</f>
        <v>1099</v>
      </c>
      <c r="F53" s="17">
        <f>8+1+1+4+26+1+80+38+22+27+1+1+42+13+1+14+101+14+8+2+10+9+6+23+11+53+2+17+258+20+4+17+32+6+1+2+1+13+1+1+3+17+17+3+48+12+23+36+80+1+1+1+1+22+5+23+80+1</f>
        <v>1266</v>
      </c>
      <c r="G53" s="9">
        <f>May!G53+F53</f>
        <v>6247</v>
      </c>
      <c r="H53" s="19"/>
      <c r="I53" s="9">
        <f>May!I53+H53</f>
        <v>0</v>
      </c>
    </row>
    <row r="54" spans="1:9" s="5" customFormat="1" ht="18" customHeight="1" thickBot="1">
      <c r="A54" s="10" t="s">
        <v>57</v>
      </c>
      <c r="B54" s="13">
        <f>185+60+408+66</f>
        <v>719</v>
      </c>
      <c r="C54" s="9">
        <f>May!C54+B54</f>
        <v>5855</v>
      </c>
      <c r="D54" s="16">
        <f>1+50+50+40+44</f>
        <v>185</v>
      </c>
      <c r="E54" s="9">
        <f>May!E54+D54</f>
        <v>1330</v>
      </c>
      <c r="F54" s="17"/>
      <c r="G54" s="9">
        <f>May!G54+F54</f>
        <v>0</v>
      </c>
      <c r="H54" s="19"/>
      <c r="I54" s="9">
        <f>May!I54+H54</f>
        <v>0</v>
      </c>
    </row>
    <row r="55" spans="1:9" s="5" customFormat="1" ht="18" customHeight="1" thickBot="1" thickTop="1">
      <c r="A55" s="11" t="s">
        <v>58</v>
      </c>
      <c r="B55" s="11">
        <f>SUM(B5:B54)</f>
        <v>70566</v>
      </c>
      <c r="C55" s="11"/>
      <c r="D55" s="11">
        <f>SUM(D5:D54)</f>
        <v>4080</v>
      </c>
      <c r="E55" s="11"/>
      <c r="F55" s="11">
        <f>SUM(F5:F54)</f>
        <v>3634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May!C57+B55</f>
        <v>474737</v>
      </c>
      <c r="D57" s="11"/>
      <c r="E57" s="11">
        <f>May!E57+D55</f>
        <v>33705</v>
      </c>
      <c r="F57" s="11"/>
      <c r="G57" s="11">
        <f>May!G57+F55</f>
        <v>31976</v>
      </c>
      <c r="H57" s="11"/>
      <c r="I57" s="11">
        <f>May!I57+H55</f>
        <v>421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May!E62+D60</f>
        <v>2482</v>
      </c>
      <c r="G62" s="4">
        <f>May!G62+F60</f>
        <v>13410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pane ySplit="4" topLeftCell="A38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69</v>
      </c>
      <c r="H1" s="2" t="s">
        <v>75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>
        <f>73+85+70</f>
        <v>228</v>
      </c>
      <c r="C5" s="9">
        <f>June!C5+B5</f>
        <v>742</v>
      </c>
      <c r="D5" s="15"/>
      <c r="E5" s="9">
        <f>June!E5+D5</f>
        <v>1147</v>
      </c>
      <c r="F5" s="17"/>
      <c r="G5" s="9">
        <f>June!G5+F5</f>
        <v>116</v>
      </c>
      <c r="H5" s="19"/>
      <c r="I5" s="9">
        <f>June!I5+H5</f>
        <v>0</v>
      </c>
    </row>
    <row r="6" spans="1:9" s="5" customFormat="1" ht="18" customHeight="1">
      <c r="A6" s="9" t="s">
        <v>9</v>
      </c>
      <c r="B6" s="13"/>
      <c r="C6" s="9">
        <f>June!C6+B6</f>
        <v>0</v>
      </c>
      <c r="D6" s="15"/>
      <c r="E6" s="9">
        <f>June!E6+D6</f>
        <v>0</v>
      </c>
      <c r="F6" s="17"/>
      <c r="G6" s="9">
        <f>June!G6+F6</f>
        <v>0</v>
      </c>
      <c r="H6" s="19"/>
      <c r="I6" s="9">
        <f>June!I6+H6</f>
        <v>0</v>
      </c>
    </row>
    <row r="7" spans="1:9" s="5" customFormat="1" ht="18" customHeight="1">
      <c r="A7" s="9" t="s">
        <v>10</v>
      </c>
      <c r="B7" s="13"/>
      <c r="C7" s="9">
        <f>June!C7+B7</f>
        <v>198</v>
      </c>
      <c r="D7" s="15"/>
      <c r="E7" s="9">
        <f>June!E7+D7</f>
        <v>0</v>
      </c>
      <c r="F7" s="17"/>
      <c r="G7" s="9">
        <f>June!G7+F7</f>
        <v>156</v>
      </c>
      <c r="H7" s="19"/>
      <c r="I7" s="9">
        <f>June!I7+H7</f>
        <v>0</v>
      </c>
    </row>
    <row r="8" spans="1:9" s="5" customFormat="1" ht="18" customHeight="1">
      <c r="A8" s="9" t="s">
        <v>11</v>
      </c>
      <c r="B8" s="13">
        <f>28+9+23+9+7+8+116+191+57+43+58+26+5+48+64+60+98+39+71+64+98+64+85+48+12+43+40+79+25+6+36+1+53+70+115</f>
        <v>1799</v>
      </c>
      <c r="C8" s="9">
        <f>June!C8+B8</f>
        <v>5939</v>
      </c>
      <c r="D8" s="15"/>
      <c r="E8" s="9">
        <f>June!E8+D8</f>
        <v>17</v>
      </c>
      <c r="F8" s="17"/>
      <c r="G8" s="9">
        <f>June!G8+F8</f>
        <v>10</v>
      </c>
      <c r="H8" s="19"/>
      <c r="I8" s="9">
        <f>June!I8+H8</f>
        <v>0</v>
      </c>
    </row>
    <row r="9" spans="1:9" s="5" customFormat="1" ht="18" customHeight="1">
      <c r="A9" s="9" t="s">
        <v>12</v>
      </c>
      <c r="B9" s="13"/>
      <c r="C9" s="9">
        <f>June!C9+B9</f>
        <v>617</v>
      </c>
      <c r="D9" s="15">
        <f>115+153</f>
        <v>268</v>
      </c>
      <c r="E9" s="9">
        <f>June!E9+D9</f>
        <v>270</v>
      </c>
      <c r="F9" s="17">
        <f>155+138+273+1</f>
        <v>567</v>
      </c>
      <c r="G9" s="9">
        <f>June!G9+F9</f>
        <v>1108</v>
      </c>
      <c r="H9" s="19"/>
      <c r="I9" s="9">
        <f>June!I9+H9</f>
        <v>144</v>
      </c>
    </row>
    <row r="10" spans="1:9" s="5" customFormat="1" ht="18" customHeight="1">
      <c r="A10" s="9" t="s">
        <v>13</v>
      </c>
      <c r="B10" s="13"/>
      <c r="C10" s="9">
        <f>June!C10+B10</f>
        <v>385</v>
      </c>
      <c r="D10" s="15">
        <f>5+14+6+3</f>
        <v>28</v>
      </c>
      <c r="E10" s="9">
        <f>June!E10+D10</f>
        <v>149</v>
      </c>
      <c r="F10" s="17">
        <v>581</v>
      </c>
      <c r="G10" s="9">
        <f>June!G10+F10</f>
        <v>600</v>
      </c>
      <c r="H10" s="19"/>
      <c r="I10" s="9">
        <f>June!I10+H10</f>
        <v>0</v>
      </c>
    </row>
    <row r="11" spans="1:9" s="5" customFormat="1" ht="18" customHeight="1">
      <c r="A11" s="9" t="s">
        <v>14</v>
      </c>
      <c r="B11" s="13">
        <f>80+6+80</f>
        <v>166</v>
      </c>
      <c r="C11" s="9">
        <f>June!C11+B11</f>
        <v>1554</v>
      </c>
      <c r="D11" s="15">
        <f>2+2</f>
        <v>4</v>
      </c>
      <c r="E11" s="9">
        <f>June!E11+D11</f>
        <v>573</v>
      </c>
      <c r="F11" s="17">
        <f>74+71+68+26+2+2</f>
        <v>243</v>
      </c>
      <c r="G11" s="9">
        <f>June!G11+F11</f>
        <v>783</v>
      </c>
      <c r="H11" s="19"/>
      <c r="I11" s="9">
        <f>June!I11+H11</f>
        <v>0</v>
      </c>
    </row>
    <row r="12" spans="1:9" s="5" customFormat="1" ht="18" customHeight="1">
      <c r="A12" s="9" t="s">
        <v>15</v>
      </c>
      <c r="B12" s="13"/>
      <c r="C12" s="9">
        <f>June!C12+B12</f>
        <v>0</v>
      </c>
      <c r="D12" s="15"/>
      <c r="E12" s="9">
        <f>June!E12+D12</f>
        <v>0</v>
      </c>
      <c r="F12" s="17"/>
      <c r="G12" s="9">
        <f>June!G12+F12</f>
        <v>0</v>
      </c>
      <c r="H12" s="19"/>
      <c r="I12" s="9">
        <f>June!I12+H12</f>
        <v>0</v>
      </c>
    </row>
    <row r="13" spans="1:9" s="5" customFormat="1" ht="18" customHeight="1">
      <c r="A13" s="9" t="s">
        <v>16</v>
      </c>
      <c r="B13" s="13"/>
      <c r="C13" s="9">
        <f>June!C13+B13</f>
        <v>0</v>
      </c>
      <c r="D13" s="15"/>
      <c r="E13" s="9">
        <f>June!E13+D13</f>
        <v>0</v>
      </c>
      <c r="F13" s="17"/>
      <c r="G13" s="9">
        <f>June!G13+F13</f>
        <v>0</v>
      </c>
      <c r="H13" s="19"/>
      <c r="I13" s="9">
        <f>June!I13+H13</f>
        <v>0</v>
      </c>
    </row>
    <row r="14" spans="1:9" s="5" customFormat="1" ht="18" customHeight="1">
      <c r="A14" s="9" t="s">
        <v>17</v>
      </c>
      <c r="B14" s="13">
        <v>690</v>
      </c>
      <c r="C14" s="9">
        <f>June!C14+B14</f>
        <v>772</v>
      </c>
      <c r="D14" s="15">
        <f>2</f>
        <v>2</v>
      </c>
      <c r="E14" s="9">
        <f>June!E14+D14</f>
        <v>3</v>
      </c>
      <c r="F14" s="17"/>
      <c r="G14" s="9">
        <f>June!G14+F14</f>
        <v>0</v>
      </c>
      <c r="H14" s="19"/>
      <c r="I14" s="9">
        <f>June!I14+H14</f>
        <v>0</v>
      </c>
    </row>
    <row r="15" spans="1:9" s="5" customFormat="1" ht="18" customHeight="1">
      <c r="A15" s="9" t="s">
        <v>18</v>
      </c>
      <c r="B15" s="13">
        <f>78+89+93+3</f>
        <v>263</v>
      </c>
      <c r="C15" s="9">
        <f>June!C15+B15</f>
        <v>2190</v>
      </c>
      <c r="D15" s="15"/>
      <c r="E15" s="9">
        <f>June!E15+D15</f>
        <v>128</v>
      </c>
      <c r="F15" s="17"/>
      <c r="G15" s="9">
        <f>June!G15+F15</f>
        <v>0</v>
      </c>
      <c r="H15" s="19"/>
      <c r="I15" s="9">
        <f>June!I15+H15</f>
        <v>0</v>
      </c>
    </row>
    <row r="16" spans="1:9" s="5" customFormat="1" ht="18" customHeight="1">
      <c r="A16" s="9" t="s">
        <v>19</v>
      </c>
      <c r="B16" s="13"/>
      <c r="C16" s="9">
        <f>June!C16+B16</f>
        <v>0</v>
      </c>
      <c r="D16" s="15"/>
      <c r="E16" s="9">
        <f>June!E16+D16</f>
        <v>0</v>
      </c>
      <c r="F16" s="17"/>
      <c r="G16" s="9">
        <f>June!G16+F16</f>
        <v>0</v>
      </c>
      <c r="H16" s="19"/>
      <c r="I16" s="9">
        <f>June!I16+H16</f>
        <v>0</v>
      </c>
    </row>
    <row r="17" spans="1:9" s="5" customFormat="1" ht="18" customHeight="1">
      <c r="A17" s="9" t="s">
        <v>20</v>
      </c>
      <c r="B17" s="13">
        <f>6</f>
        <v>6</v>
      </c>
      <c r="C17" s="9">
        <f>June!C17+B17</f>
        <v>3932</v>
      </c>
      <c r="D17" s="15"/>
      <c r="E17" s="9">
        <f>June!E17+D17</f>
        <v>863</v>
      </c>
      <c r="F17" s="17"/>
      <c r="G17" s="9">
        <f>June!G17+F17</f>
        <v>32</v>
      </c>
      <c r="H17" s="19"/>
      <c r="I17" s="9">
        <f>June!I17+H17</f>
        <v>0</v>
      </c>
    </row>
    <row r="18" spans="1:9" s="5" customFormat="1" ht="18" customHeight="1">
      <c r="A18" s="9" t="s">
        <v>21</v>
      </c>
      <c r="B18" s="13">
        <f>77</f>
        <v>77</v>
      </c>
      <c r="C18" s="9">
        <f>June!C18+B18</f>
        <v>3031</v>
      </c>
      <c r="D18" s="15">
        <f>2+1+1+2+1+1+1</f>
        <v>9</v>
      </c>
      <c r="E18" s="9">
        <f>June!E18+D18</f>
        <v>369</v>
      </c>
      <c r="F18" s="17">
        <f>1+1+25+1+2+14+38+1+1+2+38+38+38+38+38+2+38+38+38+38+4+38+5+29+1+1</f>
        <v>508</v>
      </c>
      <c r="G18" s="9">
        <f>June!G18+F18</f>
        <v>759</v>
      </c>
      <c r="H18" s="19"/>
      <c r="I18" s="9">
        <f>June!I18+H18</f>
        <v>0</v>
      </c>
    </row>
    <row r="19" spans="1:9" s="5" customFormat="1" ht="18" customHeight="1">
      <c r="A19" s="9" t="s">
        <v>22</v>
      </c>
      <c r="B19" s="13">
        <f>66+120+383</f>
        <v>569</v>
      </c>
      <c r="C19" s="9">
        <f>June!C19+B19</f>
        <v>5062</v>
      </c>
      <c r="D19" s="15">
        <f>66+2+2+18</f>
        <v>88</v>
      </c>
      <c r="E19" s="9">
        <f>June!E19+D19</f>
        <v>354</v>
      </c>
      <c r="F19" s="17">
        <f>18+66+99+24+145+140+83+137</f>
        <v>712</v>
      </c>
      <c r="G19" s="9">
        <f>June!G19+F19</f>
        <v>3360</v>
      </c>
      <c r="H19" s="19"/>
      <c r="I19" s="9">
        <f>June!I19+H19</f>
        <v>0</v>
      </c>
    </row>
    <row r="20" spans="1:9" s="5" customFormat="1" ht="18" customHeight="1">
      <c r="A20" s="9" t="s">
        <v>23</v>
      </c>
      <c r="B20" s="13">
        <f>9+73+55+240+70+160+180+45+62+61+60+121+33+65+54+184+32+23+24+111+182+198+66+82+80</f>
        <v>2270</v>
      </c>
      <c r="C20" s="9">
        <f>June!C20+B20</f>
        <v>14951</v>
      </c>
      <c r="D20" s="15">
        <f>14+2</f>
        <v>16</v>
      </c>
      <c r="E20" s="9">
        <f>June!E20+D20</f>
        <v>1629</v>
      </c>
      <c r="F20" s="17">
        <f>84</f>
        <v>84</v>
      </c>
      <c r="G20" s="9">
        <f>June!G20+F20</f>
        <v>738</v>
      </c>
      <c r="H20" s="19"/>
      <c r="I20" s="9">
        <f>June!I20+H20</f>
        <v>0</v>
      </c>
    </row>
    <row r="21" spans="1:9" s="5" customFormat="1" ht="18" customHeight="1">
      <c r="A21" s="9" t="s">
        <v>24</v>
      </c>
      <c r="B21" s="13">
        <f>59+100+193+66+86+85+75+65+136+20+22+15+7+247+130+76+105+77+150+76+61+54+750+39+67+63+66+75+68+67+300+192+125+75+225+54+112+71+74+67+59+64+67+76+80+60+154+130+479+288+175+196+58+184+166+129+67+75+69+109+82+135+56+86+70+78+34+56+129+136+15+16+25+61+125+59+52+99+70+118+234+87+136+77+10+31+17+68+116+71+7+56+12+59+7+5+61+25+17+20+111+120+140+160+72+180+90+88+70+106+62+77+236+68+59+119+95+72+75+75+37+71+305+190+150</f>
        <v>12526</v>
      </c>
      <c r="C21" s="9">
        <f>June!C21+B21</f>
        <v>73185</v>
      </c>
      <c r="D21" s="15">
        <f>1+1</f>
        <v>2</v>
      </c>
      <c r="E21" s="9">
        <f>June!E21+D21</f>
        <v>86</v>
      </c>
      <c r="F21" s="17"/>
      <c r="G21" s="9">
        <f>June!G21+F21</f>
        <v>110</v>
      </c>
      <c r="H21" s="19"/>
      <c r="I21" s="9">
        <f>June!I21+H21</f>
        <v>0</v>
      </c>
    </row>
    <row r="22" spans="1:9" s="5" customFormat="1" ht="18" customHeight="1">
      <c r="A22" s="9" t="s">
        <v>25</v>
      </c>
      <c r="B22" s="13"/>
      <c r="C22" s="9">
        <f>June!C22+B22</f>
        <v>0</v>
      </c>
      <c r="D22" s="15"/>
      <c r="E22" s="9">
        <f>June!E22+D22</f>
        <v>0</v>
      </c>
      <c r="F22" s="17"/>
      <c r="G22" s="9">
        <f>June!G22+F22</f>
        <v>0</v>
      </c>
      <c r="H22" s="19"/>
      <c r="I22" s="9">
        <f>June!I22+H22</f>
        <v>0</v>
      </c>
    </row>
    <row r="23" spans="1:9" s="5" customFormat="1" ht="18" customHeight="1">
      <c r="A23" s="9" t="s">
        <v>26</v>
      </c>
      <c r="B23" s="13"/>
      <c r="C23" s="9">
        <f>June!C23+B23</f>
        <v>0</v>
      </c>
      <c r="D23" s="15"/>
      <c r="E23" s="9">
        <f>June!E23+D23</f>
        <v>0</v>
      </c>
      <c r="F23" s="17"/>
      <c r="G23" s="9">
        <f>June!G23+F23</f>
        <v>0</v>
      </c>
      <c r="H23" s="19"/>
      <c r="I23" s="9">
        <f>June!I23+H23</f>
        <v>0</v>
      </c>
    </row>
    <row r="24" spans="1:9" s="5" customFormat="1" ht="18" customHeight="1">
      <c r="A24" s="9" t="s">
        <v>27</v>
      </c>
      <c r="B24" s="13"/>
      <c r="C24" s="9">
        <f>June!C24+B24</f>
        <v>0</v>
      </c>
      <c r="D24" s="15"/>
      <c r="E24" s="9">
        <f>June!E24+D24</f>
        <v>2</v>
      </c>
      <c r="F24" s="17">
        <v>2</v>
      </c>
      <c r="G24" s="9">
        <f>June!G24+F24</f>
        <v>17</v>
      </c>
      <c r="H24" s="19"/>
      <c r="I24" s="9">
        <f>June!I24+H24</f>
        <v>0</v>
      </c>
    </row>
    <row r="25" spans="1:9" s="5" customFormat="1" ht="18" customHeight="1">
      <c r="A25" s="9" t="s">
        <v>28</v>
      </c>
      <c r="B25" s="13"/>
      <c r="C25" s="9">
        <f>June!C25+B25</f>
        <v>0</v>
      </c>
      <c r="D25" s="15"/>
      <c r="E25" s="9">
        <f>June!E25+D25</f>
        <v>0</v>
      </c>
      <c r="F25" s="17"/>
      <c r="G25" s="9">
        <f>June!G25+F25</f>
        <v>0</v>
      </c>
      <c r="H25" s="19"/>
      <c r="I25" s="9">
        <f>June!I25+H25</f>
        <v>0</v>
      </c>
    </row>
    <row r="26" spans="1:9" s="5" customFormat="1" ht="18" customHeight="1">
      <c r="A26" s="9" t="s">
        <v>29</v>
      </c>
      <c r="B26" s="13">
        <v>998</v>
      </c>
      <c r="C26" s="9">
        <f>June!C26+B26</f>
        <v>4343</v>
      </c>
      <c r="D26" s="15"/>
      <c r="E26" s="9">
        <f>June!E26+D26</f>
        <v>5</v>
      </c>
      <c r="F26" s="17"/>
      <c r="G26" s="9">
        <f>June!G26+F26</f>
        <v>36</v>
      </c>
      <c r="H26" s="19"/>
      <c r="I26" s="9">
        <f>June!I26+H26</f>
        <v>0</v>
      </c>
    </row>
    <row r="27" spans="1:9" s="5" customFormat="1" ht="18" customHeight="1">
      <c r="A27" s="9" t="s">
        <v>30</v>
      </c>
      <c r="B27" s="13">
        <f>7+9+12+29+3+11+15+58+39+40+69+6+30+9+22+55+43+106+50+174+22+7+140+132+202+90+58+2+65+66+18+24+32+145+11+2+18+1+10+18+45+1+10+48+3+1+4+49+11+14+6+100+29+30+63+39+69+39</f>
        <v>2411</v>
      </c>
      <c r="C27" s="9">
        <f>June!C27+B27</f>
        <v>27239</v>
      </c>
      <c r="D27" s="15">
        <f>2+3+7+7+1+7+7+7+7+1+1+1+4+1+1+3+1+3+2+3+1+2+1+4+16+3+1</f>
        <v>97</v>
      </c>
      <c r="E27" s="9">
        <f>June!E27+D27</f>
        <v>1447</v>
      </c>
      <c r="F27" s="17">
        <f>66+3+7+28+6+52+11+2+132+121+57+30+60+12+16+1+13+10+5+12+12+12+31+8+13+5+3+134+78+38+106</f>
        <v>1084</v>
      </c>
      <c r="G27" s="9">
        <f>June!G27+F27</f>
        <v>15033</v>
      </c>
      <c r="H27" s="19"/>
      <c r="I27" s="9">
        <f>June!I27+H27</f>
        <v>0</v>
      </c>
    </row>
    <row r="28" spans="1:9" s="5" customFormat="1" ht="18" customHeight="1">
      <c r="A28" s="9" t="s">
        <v>31</v>
      </c>
      <c r="B28" s="13">
        <f>115+96+67+1258+110+97+21+72</f>
        <v>1836</v>
      </c>
      <c r="C28" s="9">
        <f>June!C28+B28</f>
        <v>3240</v>
      </c>
      <c r="D28" s="15">
        <v>2</v>
      </c>
      <c r="E28" s="9">
        <f>June!E28+D28</f>
        <v>142</v>
      </c>
      <c r="F28" s="17"/>
      <c r="G28" s="9">
        <f>June!G28+F28</f>
        <v>0</v>
      </c>
      <c r="H28" s="19"/>
      <c r="I28" s="9">
        <f>June!I28+H28</f>
        <v>0</v>
      </c>
    </row>
    <row r="29" spans="1:9" s="5" customFormat="1" ht="18" customHeight="1">
      <c r="A29" s="9" t="s">
        <v>32</v>
      </c>
      <c r="B29" s="13">
        <f>85+392+65+60+80+160+192+240+136+153+77+51+156+36+75+66+206+60+112+60+73+84+55+60+51+46+63+37+66+104+78+124+66+70+70+126+146+41+117+53+60+60+62+154+81+103+148+151+48+91+42+49+92+386+81+82+94+120+368+62+105+72+122+143+82+119+89+108+72+64+4+61+65+104+62+75+9+130+120+55+40+39+72+86+80+23+28+30+25+5+56+33+48+132+81+74+124+65+60+106+12+84+21+100+25+93+5+60+27+61+61+112+89+217+75+7+76+117+121+261+32+244+118+497+97+81+50+106+241+210+85+31+68+41+141+108+65+33+100+87+78+95+68+60+68+25+10+252+145+65+64+64+64+60+61+235+57+187+63+66+26+85+68+80+22+145+65</f>
        <v>15531</v>
      </c>
      <c r="C29" s="9">
        <f>June!C29+B29</f>
        <v>93348</v>
      </c>
      <c r="D29" s="15">
        <f>1+2+3+40+1+1+13+4+1+1+5+4+1+43+40+5</f>
        <v>165</v>
      </c>
      <c r="E29" s="9">
        <f>June!E29+D29</f>
        <v>4843</v>
      </c>
      <c r="F29" s="17">
        <f>15+22+13</f>
        <v>50</v>
      </c>
      <c r="G29" s="9">
        <f>June!G29+F29</f>
        <v>737</v>
      </c>
      <c r="H29" s="19"/>
      <c r="I29" s="9">
        <f>June!I29+H29</f>
        <v>277</v>
      </c>
    </row>
    <row r="30" spans="1:9" s="5" customFormat="1" ht="18" customHeight="1">
      <c r="A30" s="9" t="s">
        <v>33</v>
      </c>
      <c r="B30" s="13">
        <f>123+59+130</f>
        <v>312</v>
      </c>
      <c r="C30" s="9">
        <f>June!C30+B30</f>
        <v>18752</v>
      </c>
      <c r="D30" s="15"/>
      <c r="E30" s="9">
        <f>June!E30+D30</f>
        <v>3984</v>
      </c>
      <c r="F30" s="17"/>
      <c r="G30" s="9">
        <f>June!G30+F30</f>
        <v>0</v>
      </c>
      <c r="H30" s="19"/>
      <c r="I30" s="9">
        <f>June!I30+H30</f>
        <v>0</v>
      </c>
    </row>
    <row r="31" spans="1:9" s="5" customFormat="1" ht="18" customHeight="1">
      <c r="A31" s="9" t="s">
        <v>34</v>
      </c>
      <c r="B31" s="13">
        <f>96+16+64+62+33+173+145+80+199+111+40+133+249+58+64+86+188+62+126+68+229+16+47</f>
        <v>2345</v>
      </c>
      <c r="C31" s="9">
        <f>June!C31+B31</f>
        <v>24493</v>
      </c>
      <c r="D31" s="15">
        <f>35+35+34+41+24+1+74+138+40+50+3+9+1+95+96+29+51+102+30+94+25+39+10+52+2+1+1</f>
        <v>1112</v>
      </c>
      <c r="E31" s="9">
        <f>June!E31+D31</f>
        <v>5468</v>
      </c>
      <c r="F31" s="17">
        <f>1+40+12+40+40+91</f>
        <v>224</v>
      </c>
      <c r="G31" s="9">
        <f>June!G31+F31</f>
        <v>1800</v>
      </c>
      <c r="H31" s="19">
        <f>30</f>
        <v>30</v>
      </c>
      <c r="I31" s="9">
        <f>June!I31+H31</f>
        <v>30</v>
      </c>
    </row>
    <row r="32" spans="1:9" s="5" customFormat="1" ht="18" customHeight="1">
      <c r="A32" s="9" t="s">
        <v>35</v>
      </c>
      <c r="B32" s="13"/>
      <c r="C32" s="9">
        <f>June!C32+B32</f>
        <v>0</v>
      </c>
      <c r="D32" s="15"/>
      <c r="E32" s="9">
        <f>June!E32+D32</f>
        <v>0</v>
      </c>
      <c r="F32" s="17"/>
      <c r="G32" s="9">
        <f>June!G32+F32</f>
        <v>0</v>
      </c>
      <c r="H32" s="19"/>
      <c r="I32" s="9">
        <f>June!I32+H32</f>
        <v>0</v>
      </c>
    </row>
    <row r="33" spans="1:9" s="5" customFormat="1" ht="18" customHeight="1">
      <c r="A33" s="9" t="s">
        <v>36</v>
      </c>
      <c r="B33" s="13"/>
      <c r="C33" s="9">
        <f>June!C33+B33</f>
        <v>0</v>
      </c>
      <c r="D33" s="15"/>
      <c r="E33" s="9">
        <f>June!E33+D33</f>
        <v>0</v>
      </c>
      <c r="F33" s="17"/>
      <c r="G33" s="9">
        <f>June!G33+F33</f>
        <v>0</v>
      </c>
      <c r="H33" s="19"/>
      <c r="I33" s="9">
        <f>June!I33+H33</f>
        <v>0</v>
      </c>
    </row>
    <row r="34" spans="1:9" s="5" customFormat="1" ht="18" customHeight="1">
      <c r="A34" s="9" t="s">
        <v>37</v>
      </c>
      <c r="B34" s="13"/>
      <c r="C34" s="9">
        <f>June!C34+B34</f>
        <v>0</v>
      </c>
      <c r="D34" s="15"/>
      <c r="E34" s="9">
        <f>June!E34+D34</f>
        <v>0</v>
      </c>
      <c r="F34" s="17"/>
      <c r="G34" s="9">
        <f>June!G34+F34</f>
        <v>0</v>
      </c>
      <c r="H34" s="19"/>
      <c r="I34" s="9">
        <f>June!I34+H34</f>
        <v>0</v>
      </c>
    </row>
    <row r="35" spans="1:9" s="5" customFormat="1" ht="18" customHeight="1">
      <c r="A35" s="9" t="s">
        <v>38</v>
      </c>
      <c r="B35" s="13">
        <v>89</v>
      </c>
      <c r="C35" s="9">
        <f>June!C35+B35</f>
        <v>326</v>
      </c>
      <c r="D35" s="15"/>
      <c r="E35" s="9">
        <f>June!E35+D35</f>
        <v>0</v>
      </c>
      <c r="F35" s="17">
        <v>269</v>
      </c>
      <c r="G35" s="9">
        <f>June!G35+F35</f>
        <v>415</v>
      </c>
      <c r="H35" s="19"/>
      <c r="I35" s="9">
        <f>June!I35+H35</f>
        <v>0</v>
      </c>
    </row>
    <row r="36" spans="1:9" s="5" customFormat="1" ht="18" customHeight="1">
      <c r="A36" s="9" t="s">
        <v>39</v>
      </c>
      <c r="B36" s="13"/>
      <c r="C36" s="9">
        <f>June!C36+B36</f>
        <v>0</v>
      </c>
      <c r="D36" s="15"/>
      <c r="E36" s="9">
        <f>June!E36+D36</f>
        <v>5</v>
      </c>
      <c r="F36" s="17"/>
      <c r="G36" s="9">
        <f>June!G36+F36</f>
        <v>267</v>
      </c>
      <c r="H36" s="19"/>
      <c r="I36" s="9">
        <f>June!I36+H36</f>
        <v>0</v>
      </c>
    </row>
    <row r="37" spans="1:9" s="5" customFormat="1" ht="18" customHeight="1">
      <c r="A37" s="9" t="s">
        <v>40</v>
      </c>
      <c r="B37" s="13"/>
      <c r="C37" s="9">
        <f>June!C37+B37</f>
        <v>376</v>
      </c>
      <c r="D37" s="15"/>
      <c r="E37" s="9">
        <f>June!E37+D37</f>
        <v>16</v>
      </c>
      <c r="F37" s="17"/>
      <c r="G37" s="9">
        <f>June!G37+F37</f>
        <v>11</v>
      </c>
      <c r="H37" s="19"/>
      <c r="I37" s="9">
        <f>June!I37+H37</f>
        <v>0</v>
      </c>
    </row>
    <row r="38" spans="1:9" s="5" customFormat="1" ht="18" customHeight="1">
      <c r="A38" s="9" t="s">
        <v>41</v>
      </c>
      <c r="B38" s="13">
        <f>180+170+245+142+44+26</f>
        <v>807</v>
      </c>
      <c r="C38" s="9">
        <f>June!C38+B38</f>
        <v>36394</v>
      </c>
      <c r="D38" s="15">
        <f>1+60+4</f>
        <v>65</v>
      </c>
      <c r="E38" s="9">
        <f>June!E38+D38</f>
        <v>731</v>
      </c>
      <c r="F38" s="17">
        <f>1+1</f>
        <v>2</v>
      </c>
      <c r="G38" s="9">
        <f>June!G38+F38</f>
        <v>122</v>
      </c>
      <c r="H38" s="19"/>
      <c r="I38" s="9">
        <f>June!I38+H38</f>
        <v>0</v>
      </c>
    </row>
    <row r="39" spans="1:9" s="5" customFormat="1" ht="18" customHeight="1">
      <c r="A39" s="9" t="s">
        <v>42</v>
      </c>
      <c r="B39" s="13">
        <f>12+12+12+12+12+12+12+12+12+12+12+12+6+12+95+95+266</f>
        <v>618</v>
      </c>
      <c r="C39" s="9">
        <f>June!C39+B39</f>
        <v>2432</v>
      </c>
      <c r="D39" s="15">
        <f>1+1</f>
        <v>2</v>
      </c>
      <c r="E39" s="9">
        <f>June!E39+D39</f>
        <v>38</v>
      </c>
      <c r="F39" s="17">
        <v>84</v>
      </c>
      <c r="G39" s="9">
        <f>June!G39+F39</f>
        <v>1862</v>
      </c>
      <c r="H39" s="19"/>
      <c r="I39" s="9">
        <f>June!I39+H39</f>
        <v>0</v>
      </c>
    </row>
    <row r="40" spans="1:9" s="5" customFormat="1" ht="18" customHeight="1">
      <c r="A40" s="9" t="s">
        <v>43</v>
      </c>
      <c r="B40" s="13">
        <f>62+165</f>
        <v>227</v>
      </c>
      <c r="C40" s="9">
        <f>June!C40+B40</f>
        <v>3606</v>
      </c>
      <c r="D40" s="15"/>
      <c r="E40" s="9">
        <f>June!E40+D40</f>
        <v>192</v>
      </c>
      <c r="F40" s="17"/>
      <c r="G40" s="9">
        <f>June!G40+F40</f>
        <v>9</v>
      </c>
      <c r="H40" s="19"/>
      <c r="I40" s="9">
        <f>June!I40+H40</f>
        <v>0</v>
      </c>
    </row>
    <row r="41" spans="1:9" s="5" customFormat="1" ht="18" customHeight="1">
      <c r="A41" s="9" t="s">
        <v>44</v>
      </c>
      <c r="B41" s="13">
        <f>3</f>
        <v>3</v>
      </c>
      <c r="C41" s="9">
        <f>June!C41+B41</f>
        <v>763</v>
      </c>
      <c r="D41" s="15"/>
      <c r="E41" s="9">
        <f>June!E41+D41</f>
        <v>85</v>
      </c>
      <c r="F41" s="17">
        <f>68</f>
        <v>68</v>
      </c>
      <c r="G41" s="9">
        <f>June!G41+F41</f>
        <v>68</v>
      </c>
      <c r="H41" s="19"/>
      <c r="I41" s="9">
        <f>June!I41+H41</f>
        <v>0</v>
      </c>
    </row>
    <row r="42" spans="1:9" s="5" customFormat="1" ht="18" customHeight="1">
      <c r="A42" s="9" t="s">
        <v>45</v>
      </c>
      <c r="B42" s="13">
        <f>60+60+60+60</f>
        <v>240</v>
      </c>
      <c r="C42" s="9">
        <f>June!C42+B42</f>
        <v>807</v>
      </c>
      <c r="D42" s="15"/>
      <c r="E42" s="9">
        <f>June!E42+D42</f>
        <v>242</v>
      </c>
      <c r="F42" s="17">
        <f>25+15+9+3+12+15+15</f>
        <v>94</v>
      </c>
      <c r="G42" s="9">
        <f>June!G42+F42</f>
        <v>1060</v>
      </c>
      <c r="H42" s="19"/>
      <c r="I42" s="9">
        <f>June!I42+H42</f>
        <v>0</v>
      </c>
    </row>
    <row r="43" spans="1:9" s="5" customFormat="1" ht="18" customHeight="1">
      <c r="A43" s="9" t="s">
        <v>46</v>
      </c>
      <c r="B43" s="13"/>
      <c r="C43" s="9">
        <f>June!C43+B43</f>
        <v>0</v>
      </c>
      <c r="D43" s="15"/>
      <c r="E43" s="9">
        <f>June!E43+D43</f>
        <v>0</v>
      </c>
      <c r="F43" s="17"/>
      <c r="G43" s="9">
        <f>June!G43+F43</f>
        <v>0</v>
      </c>
      <c r="H43" s="19"/>
      <c r="I43" s="9">
        <f>June!I43+H43</f>
        <v>0</v>
      </c>
    </row>
    <row r="44" spans="1:9" s="5" customFormat="1" ht="18" customHeight="1">
      <c r="A44" s="9" t="s">
        <v>47</v>
      </c>
      <c r="B44" s="13">
        <f>91+75+88+95+98+79+90+79</f>
        <v>695</v>
      </c>
      <c r="C44" s="9">
        <f>June!C44+B44</f>
        <v>5225</v>
      </c>
      <c r="D44" s="15"/>
      <c r="E44" s="9">
        <f>June!E44+D44</f>
        <v>0</v>
      </c>
      <c r="F44" s="17"/>
      <c r="G44" s="9">
        <f>June!G44+F44</f>
        <v>0</v>
      </c>
      <c r="H44" s="19"/>
      <c r="I44" s="9">
        <f>June!I44+H44</f>
        <v>0</v>
      </c>
    </row>
    <row r="45" spans="1:9" s="5" customFormat="1" ht="18" customHeight="1">
      <c r="A45" s="9" t="s">
        <v>48</v>
      </c>
      <c r="B45" s="13">
        <f>274+59+135+170+44+50+300+552+1+1+12+32+86+3+92+35+1+18+4+273+39+13+19+1+119+55+11+17+29+9+6+5+12+9+4+9+87+18+3+5+14+16+18+33+11+17+31+52+17+5+2+54+60+49+33+29+42+26+200+56+46+6+15+24+43+16+5+72+64+61+63+321+37+157+46+128+51+67+34+38+55+17+241+84+4+22+13+4+12+26+13+37+265+7+2+6+16+1+20+69+198+240+150+55+63+30+189+120+48</f>
        <v>6678</v>
      </c>
      <c r="C45" s="9">
        <f>June!C45+B45</f>
        <v>146377</v>
      </c>
      <c r="D45" s="15">
        <f>2+1+1+1+1+6+2+4+4+13+18+6+4+2+2+2+10+6+2+11+27+12+4+2+43</f>
        <v>186</v>
      </c>
      <c r="E45" s="9">
        <f>June!E45+D45</f>
        <v>9806</v>
      </c>
      <c r="F45" s="17">
        <f>63+60</f>
        <v>123</v>
      </c>
      <c r="G45" s="9">
        <f>June!G45+F45</f>
        <v>281</v>
      </c>
      <c r="H45" s="19"/>
      <c r="I45" s="9">
        <f>June!I45+H45</f>
        <v>0</v>
      </c>
    </row>
    <row r="46" spans="1:9" s="5" customFormat="1" ht="18" customHeight="1">
      <c r="A46" s="9" t="s">
        <v>49</v>
      </c>
      <c r="B46" s="13">
        <f>57+145+41+39+51+16+58+53+53+48+27+75+64+90+54+121+60+96+62+129+79+53+117+54+120+60+63+93+85+60</f>
        <v>2123</v>
      </c>
      <c r="C46" s="9">
        <f>June!C46+B46</f>
        <v>8207</v>
      </c>
      <c r="D46" s="15"/>
      <c r="E46" s="9">
        <f>June!E46+D46</f>
        <v>267</v>
      </c>
      <c r="F46" s="17"/>
      <c r="G46" s="9">
        <f>June!G46+F46</f>
        <v>81</v>
      </c>
      <c r="H46" s="19"/>
      <c r="I46" s="9">
        <f>June!I46+H46</f>
        <v>0</v>
      </c>
    </row>
    <row r="47" spans="1:9" s="5" customFormat="1" ht="18" customHeight="1">
      <c r="A47" s="9" t="s">
        <v>50</v>
      </c>
      <c r="B47" s="13">
        <f>48+75+80+68+49+47+49+48+66+116+268+120+39+65+14+3+49+98+12+44+242+102+221+210+95+212+122+193+174+154</f>
        <v>3083</v>
      </c>
      <c r="C47" s="9">
        <f>June!C47+B47</f>
        <v>7720</v>
      </c>
      <c r="D47" s="15">
        <f>49+1+1+2+60+14+14+30+30+30+17+1+150+127</f>
        <v>526</v>
      </c>
      <c r="E47" s="9">
        <f>June!E47+D47</f>
        <v>850</v>
      </c>
      <c r="F47" s="17">
        <v>300</v>
      </c>
      <c r="G47" s="9">
        <f>June!G47+F47</f>
        <v>552</v>
      </c>
      <c r="H47" s="19"/>
      <c r="I47" s="9">
        <f>June!I47+H47</f>
        <v>0</v>
      </c>
    </row>
    <row r="48" spans="1:9" s="5" customFormat="1" ht="18" customHeight="1">
      <c r="A48" s="9" t="s">
        <v>51</v>
      </c>
      <c r="B48" s="13"/>
      <c r="C48" s="9">
        <f>June!C48+B48</f>
        <v>4</v>
      </c>
      <c r="D48" s="15">
        <f>1</f>
        <v>1</v>
      </c>
      <c r="E48" s="9">
        <f>June!E48+D48</f>
        <v>6</v>
      </c>
      <c r="F48" s="17">
        <f>44</f>
        <v>44</v>
      </c>
      <c r="G48" s="9">
        <f>June!G48+F48</f>
        <v>238</v>
      </c>
      <c r="H48" s="19"/>
      <c r="I48" s="9">
        <f>June!I48+H48</f>
        <v>0</v>
      </c>
    </row>
    <row r="49" spans="1:9" s="5" customFormat="1" ht="18" customHeight="1">
      <c r="A49" s="9" t="s">
        <v>52</v>
      </c>
      <c r="B49" s="13"/>
      <c r="C49" s="9">
        <f>June!C49+B49</f>
        <v>0</v>
      </c>
      <c r="D49" s="15"/>
      <c r="E49" s="9">
        <f>June!E49+D49</f>
        <v>0</v>
      </c>
      <c r="F49" s="17">
        <f>1+1</f>
        <v>2</v>
      </c>
      <c r="G49" s="9">
        <f>June!G49+F49</f>
        <v>123</v>
      </c>
      <c r="H49" s="19"/>
      <c r="I49" s="9">
        <f>June!I49+H49</f>
        <v>0</v>
      </c>
    </row>
    <row r="50" spans="1:9" s="5" customFormat="1" ht="18" customHeight="1">
      <c r="A50" s="9" t="s">
        <v>53</v>
      </c>
      <c r="B50" s="13">
        <f>75+56+61+240+116+55+53+63+65+58+81</f>
        <v>923</v>
      </c>
      <c r="C50" s="9">
        <f>June!C50+B50</f>
        <v>6798</v>
      </c>
      <c r="D50" s="15"/>
      <c r="E50" s="9">
        <f>June!E50+D50</f>
        <v>62</v>
      </c>
      <c r="F50" s="17"/>
      <c r="G50" s="9">
        <f>June!G50+F50</f>
        <v>0</v>
      </c>
      <c r="H50" s="19"/>
      <c r="I50" s="9">
        <f>June!I50+H50</f>
        <v>0</v>
      </c>
    </row>
    <row r="51" spans="1:9" s="5" customFormat="1" ht="18" customHeight="1">
      <c r="A51" s="9" t="s">
        <v>54</v>
      </c>
      <c r="B51" s="13">
        <v>160</v>
      </c>
      <c r="C51" s="9">
        <f>June!C51+B51</f>
        <v>1928</v>
      </c>
      <c r="D51" s="15">
        <f>10</f>
        <v>10</v>
      </c>
      <c r="E51" s="9">
        <f>June!E51+D51</f>
        <v>17</v>
      </c>
      <c r="F51" s="17">
        <f>52</f>
        <v>52</v>
      </c>
      <c r="G51" s="9">
        <f>June!G51+F51</f>
        <v>338</v>
      </c>
      <c r="H51" s="19"/>
      <c r="I51" s="9">
        <f>June!I51+H51</f>
        <v>0</v>
      </c>
    </row>
    <row r="52" spans="1:9" s="5" customFormat="1" ht="18" customHeight="1">
      <c r="A52" s="9" t="s">
        <v>55</v>
      </c>
      <c r="B52" s="13">
        <f>52+57+57+61+52+52+57+65+65+64+69+175+50+65+50+90+150+51+60+65+53+53+92+61+55+81+16+21+6</f>
        <v>1845</v>
      </c>
      <c r="C52" s="9">
        <f>June!C52+B52</f>
        <v>3868</v>
      </c>
      <c r="D52" s="15"/>
      <c r="E52" s="9">
        <f>June!E52+D52</f>
        <v>63</v>
      </c>
      <c r="F52" s="17"/>
      <c r="G52" s="9">
        <f>June!G52+F52</f>
        <v>0</v>
      </c>
      <c r="H52" s="19"/>
      <c r="I52" s="9">
        <f>June!I52+H52</f>
        <v>0</v>
      </c>
    </row>
    <row r="53" spans="1:9" s="5" customFormat="1" ht="18" customHeight="1">
      <c r="A53" s="9" t="s">
        <v>56</v>
      </c>
      <c r="B53" s="13">
        <f>72+50+160+23+26+12+38+2+1+92+8+7+61+16+4+1+3+2+30+83+47+72+300+220+31+22+23+33+66+50+3+16+10+11+150+20+38+124+288+10+116+25+6+4+34+1+5+40+2+19+1+262</f>
        <v>2740</v>
      </c>
      <c r="C53" s="9">
        <f>June!C53+B53</f>
        <v>22336</v>
      </c>
      <c r="D53" s="15">
        <f>1+2+12+12+3+1+1+1+1+1</f>
        <v>35</v>
      </c>
      <c r="E53" s="9">
        <f>June!E53+D53</f>
        <v>1134</v>
      </c>
      <c r="F53" s="17">
        <f>80+4+30+15+3+19+12+39+7+6+21+6+6+53+35+43+12+18+18+14+1+38+2+2+30+80+11</f>
        <v>605</v>
      </c>
      <c r="G53" s="9">
        <f>June!G53+F53</f>
        <v>6852</v>
      </c>
      <c r="H53" s="19"/>
      <c r="I53" s="9">
        <f>June!I53+H53</f>
        <v>0</v>
      </c>
    </row>
    <row r="54" spans="1:9" s="5" customFormat="1" ht="18" customHeight="1" thickBot="1">
      <c r="A54" s="10" t="s">
        <v>57</v>
      </c>
      <c r="B54" s="13"/>
      <c r="C54" s="9">
        <f>June!C54+B54</f>
        <v>5855</v>
      </c>
      <c r="D54" s="16">
        <f>46+68+31</f>
        <v>145</v>
      </c>
      <c r="E54" s="9">
        <f>June!E54+D54</f>
        <v>1475</v>
      </c>
      <c r="F54" s="17"/>
      <c r="G54" s="9">
        <f>June!G54+F54</f>
        <v>0</v>
      </c>
      <c r="H54" s="19"/>
      <c r="I54" s="9">
        <f>June!I54+H54</f>
        <v>0</v>
      </c>
    </row>
    <row r="55" spans="1:9" s="5" customFormat="1" ht="18" customHeight="1" thickBot="1" thickTop="1">
      <c r="A55" s="11" t="s">
        <v>58</v>
      </c>
      <c r="B55" s="11">
        <f>SUM(B5:B54)</f>
        <v>62258</v>
      </c>
      <c r="C55" s="11"/>
      <c r="D55" s="11">
        <f>SUM(D5:D54)</f>
        <v>2763</v>
      </c>
      <c r="E55" s="11"/>
      <c r="F55" s="11">
        <f>SUM(F5:F54)</f>
        <v>5698</v>
      </c>
      <c r="G55" s="11"/>
      <c r="H55" s="11">
        <f>SUM(H5:H54)</f>
        <v>30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June!C57+B55</f>
        <v>536995</v>
      </c>
      <c r="D57" s="11"/>
      <c r="E57" s="11">
        <f>June!E57+D55</f>
        <v>36468</v>
      </c>
      <c r="F57" s="11"/>
      <c r="G57" s="11">
        <f>June!G57+F55</f>
        <v>37674</v>
      </c>
      <c r="H57" s="11"/>
      <c r="I57" s="11">
        <f>June!I57+H55</f>
        <v>451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June!E62+D60</f>
        <v>2482</v>
      </c>
      <c r="G62" s="4">
        <f>June!G62+F60</f>
        <v>13410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70</v>
      </c>
      <c r="H1" s="2" t="s">
        <v>75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July!C5+B5</f>
        <v>742</v>
      </c>
      <c r="D5" s="15"/>
      <c r="E5" s="9">
        <f>July!E5+D5</f>
        <v>1147</v>
      </c>
      <c r="F5" s="17"/>
      <c r="G5" s="9">
        <f>July!G5+F5</f>
        <v>116</v>
      </c>
      <c r="H5" s="19"/>
      <c r="I5" s="9">
        <f>July!I5+H5</f>
        <v>0</v>
      </c>
    </row>
    <row r="6" spans="1:9" s="5" customFormat="1" ht="18" customHeight="1">
      <c r="A6" s="9" t="s">
        <v>9</v>
      </c>
      <c r="B6" s="13"/>
      <c r="C6" s="9">
        <f>July!C6+B6</f>
        <v>0</v>
      </c>
      <c r="D6" s="15"/>
      <c r="E6" s="9">
        <f>July!E6+D6</f>
        <v>0</v>
      </c>
      <c r="F6" s="17"/>
      <c r="G6" s="9">
        <f>July!G6+F6</f>
        <v>0</v>
      </c>
      <c r="H6" s="19"/>
      <c r="I6" s="9">
        <f>July!I6+H6</f>
        <v>0</v>
      </c>
    </row>
    <row r="7" spans="1:9" s="5" customFormat="1" ht="18" customHeight="1">
      <c r="A7" s="9" t="s">
        <v>10</v>
      </c>
      <c r="B7" s="13"/>
      <c r="C7" s="9">
        <f>July!C7+B7</f>
        <v>198</v>
      </c>
      <c r="D7" s="15"/>
      <c r="E7" s="9">
        <f>July!E7+D7</f>
        <v>0</v>
      </c>
      <c r="F7" s="17"/>
      <c r="G7" s="9">
        <f>July!G7+F7</f>
        <v>156</v>
      </c>
      <c r="H7" s="19"/>
      <c r="I7" s="9">
        <f>July!I7+H7</f>
        <v>0</v>
      </c>
    </row>
    <row r="8" spans="1:9" s="5" customFormat="1" ht="18" customHeight="1">
      <c r="A8" s="9" t="s">
        <v>11</v>
      </c>
      <c r="B8" s="13"/>
      <c r="C8" s="9">
        <f>July!C8+B8</f>
        <v>5939</v>
      </c>
      <c r="D8" s="15"/>
      <c r="E8" s="9">
        <f>July!E8+D8</f>
        <v>17</v>
      </c>
      <c r="F8" s="17"/>
      <c r="G8" s="9">
        <f>July!G8+F8</f>
        <v>10</v>
      </c>
      <c r="H8" s="19"/>
      <c r="I8" s="9">
        <f>July!I8+H8</f>
        <v>0</v>
      </c>
    </row>
    <row r="9" spans="1:9" s="5" customFormat="1" ht="18" customHeight="1">
      <c r="A9" s="9" t="s">
        <v>12</v>
      </c>
      <c r="B9" s="13"/>
      <c r="C9" s="9">
        <f>July!C9+B9</f>
        <v>617</v>
      </c>
      <c r="D9" s="15"/>
      <c r="E9" s="9">
        <f>July!E9+D9</f>
        <v>270</v>
      </c>
      <c r="F9" s="17"/>
      <c r="G9" s="9">
        <f>July!G9+F9</f>
        <v>1108</v>
      </c>
      <c r="H9" s="19"/>
      <c r="I9" s="9">
        <f>July!I9+H9</f>
        <v>144</v>
      </c>
    </row>
    <row r="10" spans="1:9" s="5" customFormat="1" ht="18" customHeight="1">
      <c r="A10" s="9" t="s">
        <v>13</v>
      </c>
      <c r="B10" s="13"/>
      <c r="C10" s="9">
        <f>July!C10+B10</f>
        <v>385</v>
      </c>
      <c r="D10" s="15"/>
      <c r="E10" s="9">
        <f>July!E10+D10</f>
        <v>149</v>
      </c>
      <c r="F10" s="17"/>
      <c r="G10" s="9">
        <f>July!G10+F10</f>
        <v>600</v>
      </c>
      <c r="H10" s="19"/>
      <c r="I10" s="9">
        <f>July!I10+H10</f>
        <v>0</v>
      </c>
    </row>
    <row r="11" spans="1:9" s="5" customFormat="1" ht="18" customHeight="1">
      <c r="A11" s="9" t="s">
        <v>14</v>
      </c>
      <c r="B11" s="13"/>
      <c r="C11" s="9">
        <f>July!C11+B11</f>
        <v>1554</v>
      </c>
      <c r="D11" s="15"/>
      <c r="E11" s="9">
        <f>July!E11+D11</f>
        <v>573</v>
      </c>
      <c r="F11" s="17"/>
      <c r="G11" s="9">
        <f>July!G11+F11</f>
        <v>783</v>
      </c>
      <c r="H11" s="19"/>
      <c r="I11" s="9">
        <f>July!I11+H11</f>
        <v>0</v>
      </c>
    </row>
    <row r="12" spans="1:9" s="5" customFormat="1" ht="18" customHeight="1">
      <c r="A12" s="9" t="s">
        <v>15</v>
      </c>
      <c r="B12" s="13"/>
      <c r="C12" s="9">
        <f>July!C12+B12</f>
        <v>0</v>
      </c>
      <c r="D12" s="15"/>
      <c r="E12" s="9">
        <f>July!E12+D12</f>
        <v>0</v>
      </c>
      <c r="F12" s="17"/>
      <c r="G12" s="9">
        <f>July!G12+F12</f>
        <v>0</v>
      </c>
      <c r="H12" s="19"/>
      <c r="I12" s="9">
        <f>July!I12+H12</f>
        <v>0</v>
      </c>
    </row>
    <row r="13" spans="1:9" s="5" customFormat="1" ht="18" customHeight="1">
      <c r="A13" s="9" t="s">
        <v>16</v>
      </c>
      <c r="B13" s="13"/>
      <c r="C13" s="9">
        <f>July!C13+B13</f>
        <v>0</v>
      </c>
      <c r="D13" s="15"/>
      <c r="E13" s="9">
        <f>July!E13+D13</f>
        <v>0</v>
      </c>
      <c r="F13" s="17"/>
      <c r="G13" s="9">
        <f>July!G13+F13</f>
        <v>0</v>
      </c>
      <c r="H13" s="19"/>
      <c r="I13" s="9">
        <f>July!I13+H13</f>
        <v>0</v>
      </c>
    </row>
    <row r="14" spans="1:9" s="5" customFormat="1" ht="18" customHeight="1">
      <c r="A14" s="9" t="s">
        <v>17</v>
      </c>
      <c r="B14" s="13"/>
      <c r="C14" s="9">
        <f>July!C14+B14</f>
        <v>772</v>
      </c>
      <c r="D14" s="15"/>
      <c r="E14" s="9">
        <f>July!E14+D14</f>
        <v>3</v>
      </c>
      <c r="F14" s="17"/>
      <c r="G14" s="9">
        <f>July!G14+F14</f>
        <v>0</v>
      </c>
      <c r="H14" s="19"/>
      <c r="I14" s="9">
        <f>July!I14+H14</f>
        <v>0</v>
      </c>
    </row>
    <row r="15" spans="1:9" s="5" customFormat="1" ht="18" customHeight="1">
      <c r="A15" s="9" t="s">
        <v>18</v>
      </c>
      <c r="B15" s="13"/>
      <c r="C15" s="9">
        <f>July!C15+B15</f>
        <v>2190</v>
      </c>
      <c r="D15" s="15"/>
      <c r="E15" s="9">
        <f>July!E15+D15</f>
        <v>128</v>
      </c>
      <c r="F15" s="17"/>
      <c r="G15" s="9">
        <f>July!G15+F15</f>
        <v>0</v>
      </c>
      <c r="H15" s="19"/>
      <c r="I15" s="9">
        <f>July!I15+H15</f>
        <v>0</v>
      </c>
    </row>
    <row r="16" spans="1:9" s="5" customFormat="1" ht="18" customHeight="1">
      <c r="A16" s="9" t="s">
        <v>19</v>
      </c>
      <c r="B16" s="13"/>
      <c r="C16" s="9">
        <f>July!C16+B16</f>
        <v>0</v>
      </c>
      <c r="D16" s="15"/>
      <c r="E16" s="9">
        <f>July!E16+D16</f>
        <v>0</v>
      </c>
      <c r="F16" s="17"/>
      <c r="G16" s="9">
        <f>July!G16+F16</f>
        <v>0</v>
      </c>
      <c r="H16" s="19"/>
      <c r="I16" s="9">
        <f>July!I16+H16</f>
        <v>0</v>
      </c>
    </row>
    <row r="17" spans="1:9" s="5" customFormat="1" ht="18" customHeight="1">
      <c r="A17" s="9" t="s">
        <v>20</v>
      </c>
      <c r="B17" s="13"/>
      <c r="C17" s="9">
        <f>July!C17+B17</f>
        <v>3932</v>
      </c>
      <c r="D17" s="15"/>
      <c r="E17" s="9">
        <f>July!E17+D17</f>
        <v>863</v>
      </c>
      <c r="F17" s="17"/>
      <c r="G17" s="9">
        <f>July!G17+F17</f>
        <v>32</v>
      </c>
      <c r="H17" s="19"/>
      <c r="I17" s="9">
        <f>July!I17+H17</f>
        <v>0</v>
      </c>
    </row>
    <row r="18" spans="1:9" s="5" customFormat="1" ht="18" customHeight="1">
      <c r="A18" s="9" t="s">
        <v>21</v>
      </c>
      <c r="B18" s="13"/>
      <c r="C18" s="9">
        <f>July!C18+B18</f>
        <v>3031</v>
      </c>
      <c r="D18" s="15"/>
      <c r="E18" s="9">
        <f>July!E18+D18</f>
        <v>369</v>
      </c>
      <c r="F18" s="17"/>
      <c r="G18" s="9">
        <f>July!G18+F18</f>
        <v>759</v>
      </c>
      <c r="H18" s="19"/>
      <c r="I18" s="9">
        <f>July!I18+H18</f>
        <v>0</v>
      </c>
    </row>
    <row r="19" spans="1:9" s="5" customFormat="1" ht="18" customHeight="1">
      <c r="A19" s="9" t="s">
        <v>22</v>
      </c>
      <c r="B19" s="13"/>
      <c r="C19" s="9">
        <f>July!C19+B19</f>
        <v>5062</v>
      </c>
      <c r="D19" s="15"/>
      <c r="E19" s="9">
        <f>July!E19+D19</f>
        <v>354</v>
      </c>
      <c r="F19" s="17"/>
      <c r="G19" s="9">
        <f>July!G19+F19</f>
        <v>3360</v>
      </c>
      <c r="H19" s="19"/>
      <c r="I19" s="9">
        <f>July!I19+H19</f>
        <v>0</v>
      </c>
    </row>
    <row r="20" spans="1:9" s="5" customFormat="1" ht="18" customHeight="1">
      <c r="A20" s="9" t="s">
        <v>23</v>
      </c>
      <c r="B20" s="13"/>
      <c r="C20" s="9">
        <f>July!C20+B20</f>
        <v>14951</v>
      </c>
      <c r="D20" s="15"/>
      <c r="E20" s="9">
        <f>July!E20+D20</f>
        <v>1629</v>
      </c>
      <c r="F20" s="17"/>
      <c r="G20" s="9">
        <f>July!G20+F20</f>
        <v>738</v>
      </c>
      <c r="H20" s="19"/>
      <c r="I20" s="9">
        <f>July!I20+H20</f>
        <v>0</v>
      </c>
    </row>
    <row r="21" spans="1:9" s="5" customFormat="1" ht="18" customHeight="1">
      <c r="A21" s="9" t="s">
        <v>24</v>
      </c>
      <c r="B21" s="13"/>
      <c r="C21" s="9">
        <f>July!C21+B21</f>
        <v>73185</v>
      </c>
      <c r="D21" s="15"/>
      <c r="E21" s="9">
        <f>July!E21+D21</f>
        <v>86</v>
      </c>
      <c r="F21" s="17"/>
      <c r="G21" s="9">
        <f>July!G21+F21</f>
        <v>110</v>
      </c>
      <c r="H21" s="19"/>
      <c r="I21" s="9">
        <f>July!I21+H21</f>
        <v>0</v>
      </c>
    </row>
    <row r="22" spans="1:9" s="5" customFormat="1" ht="18" customHeight="1">
      <c r="A22" s="9" t="s">
        <v>25</v>
      </c>
      <c r="B22" s="13"/>
      <c r="C22" s="9">
        <f>July!C22+B22</f>
        <v>0</v>
      </c>
      <c r="D22" s="15"/>
      <c r="E22" s="9">
        <f>July!E22+D22</f>
        <v>0</v>
      </c>
      <c r="F22" s="17"/>
      <c r="G22" s="9">
        <f>July!G22+F22</f>
        <v>0</v>
      </c>
      <c r="H22" s="19"/>
      <c r="I22" s="9">
        <f>July!I22+H22</f>
        <v>0</v>
      </c>
    </row>
    <row r="23" spans="1:9" s="5" customFormat="1" ht="18" customHeight="1">
      <c r="A23" s="9" t="s">
        <v>26</v>
      </c>
      <c r="B23" s="13"/>
      <c r="C23" s="9">
        <f>July!C23+B23</f>
        <v>0</v>
      </c>
      <c r="D23" s="15"/>
      <c r="E23" s="9">
        <f>July!E23+D23</f>
        <v>0</v>
      </c>
      <c r="F23" s="17"/>
      <c r="G23" s="9">
        <f>July!G23+F23</f>
        <v>0</v>
      </c>
      <c r="H23" s="19"/>
      <c r="I23" s="9">
        <f>July!I23+H23</f>
        <v>0</v>
      </c>
    </row>
    <row r="24" spans="1:9" s="5" customFormat="1" ht="18" customHeight="1">
      <c r="A24" s="9" t="s">
        <v>27</v>
      </c>
      <c r="B24" s="13"/>
      <c r="C24" s="9">
        <f>July!C24+B24</f>
        <v>0</v>
      </c>
      <c r="D24" s="15"/>
      <c r="E24" s="9">
        <f>July!E24+D24</f>
        <v>2</v>
      </c>
      <c r="F24" s="17"/>
      <c r="G24" s="9">
        <f>July!G24+F24</f>
        <v>17</v>
      </c>
      <c r="H24" s="19"/>
      <c r="I24" s="9">
        <f>July!I24+H24</f>
        <v>0</v>
      </c>
    </row>
    <row r="25" spans="1:9" s="5" customFormat="1" ht="18" customHeight="1">
      <c r="A25" s="9" t="s">
        <v>28</v>
      </c>
      <c r="B25" s="13"/>
      <c r="C25" s="9">
        <f>July!C25+B25</f>
        <v>0</v>
      </c>
      <c r="D25" s="15"/>
      <c r="E25" s="9">
        <f>July!E25+D25</f>
        <v>0</v>
      </c>
      <c r="F25" s="17"/>
      <c r="G25" s="9">
        <f>July!G25+F25</f>
        <v>0</v>
      </c>
      <c r="H25" s="19"/>
      <c r="I25" s="9">
        <f>July!I25+H25</f>
        <v>0</v>
      </c>
    </row>
    <row r="26" spans="1:9" s="5" customFormat="1" ht="18" customHeight="1">
      <c r="A26" s="9" t="s">
        <v>29</v>
      </c>
      <c r="B26" s="13"/>
      <c r="C26" s="9">
        <f>July!C26+B26</f>
        <v>4343</v>
      </c>
      <c r="D26" s="15"/>
      <c r="E26" s="9">
        <f>July!E26+D26</f>
        <v>5</v>
      </c>
      <c r="F26" s="17"/>
      <c r="G26" s="9">
        <f>July!G26+F26</f>
        <v>36</v>
      </c>
      <c r="H26" s="19"/>
      <c r="I26" s="9">
        <f>July!I26+H26</f>
        <v>0</v>
      </c>
    </row>
    <row r="27" spans="1:9" s="5" customFormat="1" ht="18" customHeight="1">
      <c r="A27" s="9" t="s">
        <v>30</v>
      </c>
      <c r="B27" s="13"/>
      <c r="C27" s="9">
        <f>July!C27+B27</f>
        <v>27239</v>
      </c>
      <c r="D27" s="15"/>
      <c r="E27" s="9">
        <f>July!E27+D27</f>
        <v>1447</v>
      </c>
      <c r="F27" s="17"/>
      <c r="G27" s="9">
        <f>July!G27+F27</f>
        <v>15033</v>
      </c>
      <c r="H27" s="19"/>
      <c r="I27" s="9">
        <f>July!I27+H27</f>
        <v>0</v>
      </c>
    </row>
    <row r="28" spans="1:9" s="5" customFormat="1" ht="18" customHeight="1">
      <c r="A28" s="9" t="s">
        <v>31</v>
      </c>
      <c r="B28" s="13"/>
      <c r="C28" s="9">
        <f>July!C28+B28</f>
        <v>3240</v>
      </c>
      <c r="D28" s="15"/>
      <c r="E28" s="9">
        <f>July!E28+D28</f>
        <v>142</v>
      </c>
      <c r="F28" s="17"/>
      <c r="G28" s="9">
        <f>July!G28+F28</f>
        <v>0</v>
      </c>
      <c r="H28" s="19"/>
      <c r="I28" s="9">
        <f>July!I28+H28</f>
        <v>0</v>
      </c>
    </row>
    <row r="29" spans="1:9" s="5" customFormat="1" ht="18" customHeight="1">
      <c r="A29" s="9" t="s">
        <v>32</v>
      </c>
      <c r="B29" s="13"/>
      <c r="C29" s="9">
        <f>July!C29+B29</f>
        <v>93348</v>
      </c>
      <c r="D29" s="15"/>
      <c r="E29" s="9">
        <f>July!E29+D29</f>
        <v>4843</v>
      </c>
      <c r="F29" s="17"/>
      <c r="G29" s="9">
        <f>July!G29+F29</f>
        <v>737</v>
      </c>
      <c r="H29" s="19"/>
      <c r="I29" s="9">
        <f>July!I29+H29</f>
        <v>277</v>
      </c>
    </row>
    <row r="30" spans="1:9" s="5" customFormat="1" ht="18" customHeight="1">
      <c r="A30" s="9" t="s">
        <v>33</v>
      </c>
      <c r="B30" s="13"/>
      <c r="C30" s="9">
        <f>July!C30+B30</f>
        <v>18752</v>
      </c>
      <c r="D30" s="15"/>
      <c r="E30" s="9">
        <f>July!E30+D30</f>
        <v>3984</v>
      </c>
      <c r="F30" s="17"/>
      <c r="G30" s="9">
        <f>July!G30+F30</f>
        <v>0</v>
      </c>
      <c r="H30" s="19"/>
      <c r="I30" s="9">
        <f>July!I30+H30</f>
        <v>0</v>
      </c>
    </row>
    <row r="31" spans="1:9" s="5" customFormat="1" ht="18" customHeight="1">
      <c r="A31" s="9" t="s">
        <v>34</v>
      </c>
      <c r="B31" s="13"/>
      <c r="C31" s="9">
        <f>July!C31+B31</f>
        <v>24493</v>
      </c>
      <c r="D31" s="15"/>
      <c r="E31" s="9">
        <f>July!E31+D31</f>
        <v>5468</v>
      </c>
      <c r="F31" s="17"/>
      <c r="G31" s="9">
        <f>July!G31+F31</f>
        <v>1800</v>
      </c>
      <c r="H31" s="19"/>
      <c r="I31" s="9">
        <f>July!I31+H31</f>
        <v>30</v>
      </c>
    </row>
    <row r="32" spans="1:9" s="5" customFormat="1" ht="18" customHeight="1">
      <c r="A32" s="9" t="s">
        <v>35</v>
      </c>
      <c r="B32" s="13"/>
      <c r="C32" s="9">
        <f>July!C32+B32</f>
        <v>0</v>
      </c>
      <c r="D32" s="15"/>
      <c r="E32" s="9">
        <f>July!E32+D32</f>
        <v>0</v>
      </c>
      <c r="F32" s="17"/>
      <c r="G32" s="9">
        <f>July!G32+F32</f>
        <v>0</v>
      </c>
      <c r="H32" s="19"/>
      <c r="I32" s="9">
        <f>July!I32+H32</f>
        <v>0</v>
      </c>
    </row>
    <row r="33" spans="1:9" s="5" customFormat="1" ht="18" customHeight="1">
      <c r="A33" s="9" t="s">
        <v>36</v>
      </c>
      <c r="B33" s="13"/>
      <c r="C33" s="9">
        <f>July!C33+B33</f>
        <v>0</v>
      </c>
      <c r="D33" s="15"/>
      <c r="E33" s="9">
        <f>July!E33+D33</f>
        <v>0</v>
      </c>
      <c r="F33" s="17"/>
      <c r="G33" s="9">
        <f>July!G33+F33</f>
        <v>0</v>
      </c>
      <c r="H33" s="19"/>
      <c r="I33" s="9">
        <f>July!I33+H33</f>
        <v>0</v>
      </c>
    </row>
    <row r="34" spans="1:9" s="5" customFormat="1" ht="18" customHeight="1">
      <c r="A34" s="9" t="s">
        <v>37</v>
      </c>
      <c r="B34" s="13"/>
      <c r="C34" s="9">
        <f>July!C34+B34</f>
        <v>0</v>
      </c>
      <c r="D34" s="15"/>
      <c r="E34" s="9">
        <f>July!E34+D34</f>
        <v>0</v>
      </c>
      <c r="F34" s="17"/>
      <c r="G34" s="9">
        <f>July!G34+F34</f>
        <v>0</v>
      </c>
      <c r="H34" s="19"/>
      <c r="I34" s="9">
        <f>July!I34+H34</f>
        <v>0</v>
      </c>
    </row>
    <row r="35" spans="1:9" s="5" customFormat="1" ht="18" customHeight="1">
      <c r="A35" s="9" t="s">
        <v>38</v>
      </c>
      <c r="B35" s="13"/>
      <c r="C35" s="9">
        <f>July!C35+B35</f>
        <v>326</v>
      </c>
      <c r="D35" s="15"/>
      <c r="E35" s="9">
        <f>July!E35+D35</f>
        <v>0</v>
      </c>
      <c r="F35" s="17"/>
      <c r="G35" s="9">
        <f>July!G35+F35</f>
        <v>415</v>
      </c>
      <c r="H35" s="19"/>
      <c r="I35" s="9">
        <f>July!I35+H35</f>
        <v>0</v>
      </c>
    </row>
    <row r="36" spans="1:9" s="5" customFormat="1" ht="18" customHeight="1">
      <c r="A36" s="9" t="s">
        <v>39</v>
      </c>
      <c r="B36" s="13"/>
      <c r="C36" s="9">
        <f>July!C36+B36</f>
        <v>0</v>
      </c>
      <c r="D36" s="15"/>
      <c r="E36" s="9">
        <f>July!E36+D36</f>
        <v>5</v>
      </c>
      <c r="F36" s="17"/>
      <c r="G36" s="9">
        <f>July!G36+F36</f>
        <v>267</v>
      </c>
      <c r="H36" s="19"/>
      <c r="I36" s="9">
        <f>July!I36+H36</f>
        <v>0</v>
      </c>
    </row>
    <row r="37" spans="1:9" s="5" customFormat="1" ht="18" customHeight="1">
      <c r="A37" s="9" t="s">
        <v>40</v>
      </c>
      <c r="B37" s="13"/>
      <c r="C37" s="9">
        <f>July!C37+B37</f>
        <v>376</v>
      </c>
      <c r="D37" s="15"/>
      <c r="E37" s="9">
        <f>July!E37+D37</f>
        <v>16</v>
      </c>
      <c r="F37" s="17"/>
      <c r="G37" s="9">
        <f>July!G37+F37</f>
        <v>11</v>
      </c>
      <c r="H37" s="19"/>
      <c r="I37" s="9">
        <f>July!I37+H37</f>
        <v>0</v>
      </c>
    </row>
    <row r="38" spans="1:9" s="5" customFormat="1" ht="18" customHeight="1">
      <c r="A38" s="9" t="s">
        <v>41</v>
      </c>
      <c r="B38" s="13"/>
      <c r="C38" s="9">
        <f>July!C38+B38</f>
        <v>36394</v>
      </c>
      <c r="D38" s="15"/>
      <c r="E38" s="9">
        <f>July!E38+D38</f>
        <v>731</v>
      </c>
      <c r="F38" s="17"/>
      <c r="G38" s="9">
        <f>July!G38+F38</f>
        <v>122</v>
      </c>
      <c r="H38" s="19"/>
      <c r="I38" s="9">
        <f>July!I38+H38</f>
        <v>0</v>
      </c>
    </row>
    <row r="39" spans="1:9" s="5" customFormat="1" ht="18" customHeight="1">
      <c r="A39" s="9" t="s">
        <v>42</v>
      </c>
      <c r="B39" s="13"/>
      <c r="C39" s="9">
        <f>July!C39+B39</f>
        <v>2432</v>
      </c>
      <c r="D39" s="15"/>
      <c r="E39" s="9">
        <f>July!E39+D39</f>
        <v>38</v>
      </c>
      <c r="F39" s="17"/>
      <c r="G39" s="9">
        <f>July!G39+F39</f>
        <v>1862</v>
      </c>
      <c r="H39" s="19"/>
      <c r="I39" s="9">
        <f>July!I39+H39</f>
        <v>0</v>
      </c>
    </row>
    <row r="40" spans="1:9" s="5" customFormat="1" ht="18" customHeight="1">
      <c r="A40" s="9" t="s">
        <v>43</v>
      </c>
      <c r="B40" s="13"/>
      <c r="C40" s="9">
        <f>July!C40+B40</f>
        <v>3606</v>
      </c>
      <c r="D40" s="15"/>
      <c r="E40" s="9">
        <f>July!E40+D40</f>
        <v>192</v>
      </c>
      <c r="F40" s="17"/>
      <c r="G40" s="9">
        <f>July!G40+F40</f>
        <v>9</v>
      </c>
      <c r="H40" s="19"/>
      <c r="I40" s="9">
        <f>July!I40+H40</f>
        <v>0</v>
      </c>
    </row>
    <row r="41" spans="1:9" s="5" customFormat="1" ht="18" customHeight="1">
      <c r="A41" s="9" t="s">
        <v>44</v>
      </c>
      <c r="B41" s="13"/>
      <c r="C41" s="9">
        <f>July!C41+B41</f>
        <v>763</v>
      </c>
      <c r="D41" s="15"/>
      <c r="E41" s="9">
        <f>July!E41+D41</f>
        <v>85</v>
      </c>
      <c r="F41" s="17"/>
      <c r="G41" s="9">
        <f>July!G41+F41</f>
        <v>68</v>
      </c>
      <c r="H41" s="19"/>
      <c r="I41" s="9">
        <f>July!I41+H41</f>
        <v>0</v>
      </c>
    </row>
    <row r="42" spans="1:9" s="5" customFormat="1" ht="18" customHeight="1">
      <c r="A42" s="9" t="s">
        <v>45</v>
      </c>
      <c r="B42" s="13"/>
      <c r="C42" s="9">
        <f>July!C42+B42</f>
        <v>807</v>
      </c>
      <c r="D42" s="15"/>
      <c r="E42" s="9">
        <f>July!E42+D42</f>
        <v>242</v>
      </c>
      <c r="F42" s="17"/>
      <c r="G42" s="9">
        <f>July!G42+F42</f>
        <v>1060</v>
      </c>
      <c r="H42" s="19"/>
      <c r="I42" s="9">
        <f>July!I42+H42</f>
        <v>0</v>
      </c>
    </row>
    <row r="43" spans="1:9" s="5" customFormat="1" ht="18" customHeight="1">
      <c r="A43" s="9" t="s">
        <v>46</v>
      </c>
      <c r="B43" s="13"/>
      <c r="C43" s="9">
        <f>July!C43+B43</f>
        <v>0</v>
      </c>
      <c r="D43" s="15"/>
      <c r="E43" s="9">
        <f>July!E43+D43</f>
        <v>0</v>
      </c>
      <c r="F43" s="17"/>
      <c r="G43" s="9">
        <f>July!G43+F43</f>
        <v>0</v>
      </c>
      <c r="H43" s="19"/>
      <c r="I43" s="9">
        <f>July!I43+H43</f>
        <v>0</v>
      </c>
    </row>
    <row r="44" spans="1:9" s="5" customFormat="1" ht="18" customHeight="1">
      <c r="A44" s="9" t="s">
        <v>47</v>
      </c>
      <c r="B44" s="13"/>
      <c r="C44" s="9">
        <f>July!C44+B44</f>
        <v>5225</v>
      </c>
      <c r="D44" s="15"/>
      <c r="E44" s="9">
        <f>July!E44+D44</f>
        <v>0</v>
      </c>
      <c r="F44" s="17"/>
      <c r="G44" s="9">
        <f>July!G44+F44</f>
        <v>0</v>
      </c>
      <c r="H44" s="19"/>
      <c r="I44" s="9">
        <f>July!I44+H44</f>
        <v>0</v>
      </c>
    </row>
    <row r="45" spans="1:9" s="5" customFormat="1" ht="18" customHeight="1">
      <c r="A45" s="9" t="s">
        <v>48</v>
      </c>
      <c r="B45" s="13"/>
      <c r="C45" s="9">
        <f>July!C45+B45</f>
        <v>146377</v>
      </c>
      <c r="D45" s="15"/>
      <c r="E45" s="9">
        <f>July!E45+D45</f>
        <v>9806</v>
      </c>
      <c r="F45" s="17"/>
      <c r="G45" s="9">
        <f>July!G45+F45</f>
        <v>281</v>
      </c>
      <c r="H45" s="19"/>
      <c r="I45" s="9">
        <f>July!I45+H45</f>
        <v>0</v>
      </c>
    </row>
    <row r="46" spans="1:9" s="5" customFormat="1" ht="18" customHeight="1">
      <c r="A46" s="9" t="s">
        <v>49</v>
      </c>
      <c r="B46" s="13"/>
      <c r="C46" s="9">
        <f>July!C46+B46</f>
        <v>8207</v>
      </c>
      <c r="D46" s="15"/>
      <c r="E46" s="9">
        <f>July!E46+D46</f>
        <v>267</v>
      </c>
      <c r="F46" s="17"/>
      <c r="G46" s="9">
        <f>July!G46+F46</f>
        <v>81</v>
      </c>
      <c r="H46" s="19"/>
      <c r="I46" s="9">
        <f>July!I46+H46</f>
        <v>0</v>
      </c>
    </row>
    <row r="47" spans="1:9" s="5" customFormat="1" ht="18" customHeight="1">
      <c r="A47" s="9" t="s">
        <v>50</v>
      </c>
      <c r="B47" s="13"/>
      <c r="C47" s="9">
        <f>July!C47+B47</f>
        <v>7720</v>
      </c>
      <c r="D47" s="15"/>
      <c r="E47" s="9">
        <f>July!E47+D47</f>
        <v>850</v>
      </c>
      <c r="F47" s="17"/>
      <c r="G47" s="9">
        <f>July!G47+F47</f>
        <v>552</v>
      </c>
      <c r="H47" s="19"/>
      <c r="I47" s="9">
        <f>July!I47+H47</f>
        <v>0</v>
      </c>
    </row>
    <row r="48" spans="1:9" s="5" customFormat="1" ht="18" customHeight="1">
      <c r="A48" s="9" t="s">
        <v>51</v>
      </c>
      <c r="B48" s="13"/>
      <c r="C48" s="9">
        <f>July!C48+B48</f>
        <v>4</v>
      </c>
      <c r="D48" s="15"/>
      <c r="E48" s="9">
        <f>July!E48+D48</f>
        <v>6</v>
      </c>
      <c r="F48" s="17"/>
      <c r="G48" s="9">
        <f>July!G48+F48</f>
        <v>238</v>
      </c>
      <c r="H48" s="19"/>
      <c r="I48" s="9">
        <f>July!I48+H48</f>
        <v>0</v>
      </c>
    </row>
    <row r="49" spans="1:9" s="5" customFormat="1" ht="18" customHeight="1">
      <c r="A49" s="9" t="s">
        <v>52</v>
      </c>
      <c r="B49" s="13"/>
      <c r="C49" s="9">
        <f>July!C49+B49</f>
        <v>0</v>
      </c>
      <c r="D49" s="15"/>
      <c r="E49" s="9">
        <f>July!E49+D49</f>
        <v>0</v>
      </c>
      <c r="F49" s="17"/>
      <c r="G49" s="9">
        <f>July!G49+F49</f>
        <v>123</v>
      </c>
      <c r="H49" s="19"/>
      <c r="I49" s="9">
        <f>July!I49+H49</f>
        <v>0</v>
      </c>
    </row>
    <row r="50" spans="1:9" s="5" customFormat="1" ht="18" customHeight="1">
      <c r="A50" s="9" t="s">
        <v>53</v>
      </c>
      <c r="B50" s="13"/>
      <c r="C50" s="9">
        <f>July!C50+B50</f>
        <v>6798</v>
      </c>
      <c r="D50" s="15"/>
      <c r="E50" s="9">
        <f>July!E50+D50</f>
        <v>62</v>
      </c>
      <c r="F50" s="17"/>
      <c r="G50" s="9">
        <f>July!G50+F50</f>
        <v>0</v>
      </c>
      <c r="H50" s="19"/>
      <c r="I50" s="9">
        <f>July!I50+H50</f>
        <v>0</v>
      </c>
    </row>
    <row r="51" spans="1:9" s="5" customFormat="1" ht="18" customHeight="1">
      <c r="A51" s="9" t="s">
        <v>54</v>
      </c>
      <c r="B51" s="13"/>
      <c r="C51" s="9">
        <f>July!C51+B51</f>
        <v>1928</v>
      </c>
      <c r="D51" s="15"/>
      <c r="E51" s="9">
        <f>July!E51+D51</f>
        <v>17</v>
      </c>
      <c r="F51" s="17"/>
      <c r="G51" s="9">
        <f>July!G51+F51</f>
        <v>338</v>
      </c>
      <c r="H51" s="19"/>
      <c r="I51" s="9">
        <f>July!I51+H51</f>
        <v>0</v>
      </c>
    </row>
    <row r="52" spans="1:9" s="5" customFormat="1" ht="18" customHeight="1">
      <c r="A52" s="9" t="s">
        <v>55</v>
      </c>
      <c r="B52" s="13"/>
      <c r="C52" s="9">
        <f>July!C52+B52</f>
        <v>3868</v>
      </c>
      <c r="D52" s="15"/>
      <c r="E52" s="9">
        <f>July!E52+D52</f>
        <v>63</v>
      </c>
      <c r="F52" s="17"/>
      <c r="G52" s="9">
        <f>July!G52+F52</f>
        <v>0</v>
      </c>
      <c r="H52" s="19"/>
      <c r="I52" s="9">
        <f>July!I52+H52</f>
        <v>0</v>
      </c>
    </row>
    <row r="53" spans="1:9" s="5" customFormat="1" ht="18" customHeight="1">
      <c r="A53" s="9" t="s">
        <v>56</v>
      </c>
      <c r="B53" s="13"/>
      <c r="C53" s="9">
        <f>July!C53+B53</f>
        <v>22336</v>
      </c>
      <c r="D53" s="15"/>
      <c r="E53" s="9">
        <f>July!E53+D53</f>
        <v>1134</v>
      </c>
      <c r="F53" s="17"/>
      <c r="G53" s="9">
        <f>July!G53+F53</f>
        <v>6852</v>
      </c>
      <c r="H53" s="19"/>
      <c r="I53" s="9">
        <f>July!I53+H53</f>
        <v>0</v>
      </c>
    </row>
    <row r="54" spans="1:9" s="5" customFormat="1" ht="18" customHeight="1" thickBot="1">
      <c r="A54" s="10" t="s">
        <v>57</v>
      </c>
      <c r="B54" s="13"/>
      <c r="C54" s="9">
        <f>July!C54+B54</f>
        <v>5855</v>
      </c>
      <c r="D54" s="16"/>
      <c r="E54" s="9">
        <f>July!E54+D54</f>
        <v>1475</v>
      </c>
      <c r="F54" s="17"/>
      <c r="G54" s="9">
        <f>July!G54+F54</f>
        <v>0</v>
      </c>
      <c r="H54" s="19"/>
      <c r="I54" s="9">
        <f>July!I54+H54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July!C57+B55</f>
        <v>536995</v>
      </c>
      <c r="D57" s="11"/>
      <c r="E57" s="11">
        <f>July!E57+D55</f>
        <v>36468</v>
      </c>
      <c r="F57" s="11"/>
      <c r="G57" s="11">
        <f>July!G57+F55</f>
        <v>37674</v>
      </c>
      <c r="H57" s="11"/>
      <c r="I57" s="11">
        <f>July!I57+H55</f>
        <v>451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July!E62+D60</f>
        <v>2482</v>
      </c>
      <c r="G62" s="4">
        <f>July!G62+F60</f>
        <v>13410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H1" sqref="H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71</v>
      </c>
      <c r="H1" s="2" t="s">
        <v>75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August!C5+B5</f>
        <v>742</v>
      </c>
      <c r="D5" s="15"/>
      <c r="E5" s="9">
        <f>August!E5+D5</f>
        <v>1147</v>
      </c>
      <c r="F5" s="17"/>
      <c r="G5" s="9">
        <f>August!G5+F5</f>
        <v>116</v>
      </c>
      <c r="H5" s="19"/>
      <c r="I5" s="9">
        <f>August!I5+H5</f>
        <v>0</v>
      </c>
    </row>
    <row r="6" spans="1:9" s="5" customFormat="1" ht="18" customHeight="1">
      <c r="A6" s="9" t="s">
        <v>9</v>
      </c>
      <c r="B6" s="13"/>
      <c r="C6" s="9">
        <f>August!C6+B6</f>
        <v>0</v>
      </c>
      <c r="D6" s="15"/>
      <c r="E6" s="9">
        <f>August!E6+D6</f>
        <v>0</v>
      </c>
      <c r="F6" s="17"/>
      <c r="G6" s="9">
        <f>August!G6+F6</f>
        <v>0</v>
      </c>
      <c r="H6" s="19"/>
      <c r="I6" s="9">
        <f>August!I6+H6</f>
        <v>0</v>
      </c>
    </row>
    <row r="7" spans="1:9" s="5" customFormat="1" ht="18" customHeight="1">
      <c r="A7" s="9" t="s">
        <v>10</v>
      </c>
      <c r="B7" s="13"/>
      <c r="C7" s="9">
        <f>August!C7+B7</f>
        <v>198</v>
      </c>
      <c r="D7" s="15"/>
      <c r="E7" s="9">
        <f>August!E7+D7</f>
        <v>0</v>
      </c>
      <c r="F7" s="17"/>
      <c r="G7" s="9">
        <f>August!G7+F7</f>
        <v>156</v>
      </c>
      <c r="H7" s="19"/>
      <c r="I7" s="9">
        <f>August!I7+H7</f>
        <v>0</v>
      </c>
    </row>
    <row r="8" spans="1:9" s="5" customFormat="1" ht="18" customHeight="1">
      <c r="A8" s="9" t="s">
        <v>11</v>
      </c>
      <c r="B8" s="13"/>
      <c r="C8" s="9">
        <f>August!C8+B8</f>
        <v>5939</v>
      </c>
      <c r="D8" s="15"/>
      <c r="E8" s="9">
        <f>August!E8+D8</f>
        <v>17</v>
      </c>
      <c r="F8" s="17"/>
      <c r="G8" s="9">
        <f>August!G8+F8</f>
        <v>10</v>
      </c>
      <c r="H8" s="19"/>
      <c r="I8" s="9">
        <f>August!I8+H8</f>
        <v>0</v>
      </c>
    </row>
    <row r="9" spans="1:9" s="5" customFormat="1" ht="18" customHeight="1">
      <c r="A9" s="9" t="s">
        <v>12</v>
      </c>
      <c r="B9" s="13"/>
      <c r="C9" s="9">
        <f>August!C9+B9</f>
        <v>617</v>
      </c>
      <c r="D9" s="15"/>
      <c r="E9" s="9">
        <f>August!E9+D9</f>
        <v>270</v>
      </c>
      <c r="F9" s="17"/>
      <c r="G9" s="9">
        <f>August!G9+F9</f>
        <v>1108</v>
      </c>
      <c r="H9" s="19"/>
      <c r="I9" s="9">
        <f>August!I9+H9</f>
        <v>144</v>
      </c>
    </row>
    <row r="10" spans="1:9" s="5" customFormat="1" ht="18" customHeight="1">
      <c r="A10" s="9" t="s">
        <v>13</v>
      </c>
      <c r="B10" s="13"/>
      <c r="C10" s="9">
        <f>August!C10+B10</f>
        <v>385</v>
      </c>
      <c r="D10" s="15"/>
      <c r="E10" s="9">
        <f>August!E10+D10</f>
        <v>149</v>
      </c>
      <c r="F10" s="17"/>
      <c r="G10" s="9">
        <f>August!G10+F10</f>
        <v>600</v>
      </c>
      <c r="H10" s="19"/>
      <c r="I10" s="9">
        <f>August!I10+H10</f>
        <v>0</v>
      </c>
    </row>
    <row r="11" spans="1:9" s="5" customFormat="1" ht="18" customHeight="1">
      <c r="A11" s="9" t="s">
        <v>14</v>
      </c>
      <c r="B11" s="13"/>
      <c r="C11" s="9">
        <f>August!C11+B11</f>
        <v>1554</v>
      </c>
      <c r="D11" s="15"/>
      <c r="E11" s="9">
        <f>August!E11+D11</f>
        <v>573</v>
      </c>
      <c r="F11" s="17"/>
      <c r="G11" s="9">
        <f>August!G11+F11</f>
        <v>783</v>
      </c>
      <c r="H11" s="19"/>
      <c r="I11" s="9">
        <f>August!I11+H11</f>
        <v>0</v>
      </c>
    </row>
    <row r="12" spans="1:9" s="5" customFormat="1" ht="18" customHeight="1">
      <c r="A12" s="9" t="s">
        <v>15</v>
      </c>
      <c r="B12" s="13"/>
      <c r="C12" s="9">
        <f>August!C12+B12</f>
        <v>0</v>
      </c>
      <c r="D12" s="15"/>
      <c r="E12" s="9">
        <f>August!E12+D12</f>
        <v>0</v>
      </c>
      <c r="F12" s="17"/>
      <c r="G12" s="9">
        <f>August!G12+F12</f>
        <v>0</v>
      </c>
      <c r="H12" s="19"/>
      <c r="I12" s="9">
        <f>August!I12+H12</f>
        <v>0</v>
      </c>
    </row>
    <row r="13" spans="1:9" s="5" customFormat="1" ht="18" customHeight="1">
      <c r="A13" s="9" t="s">
        <v>16</v>
      </c>
      <c r="B13" s="13"/>
      <c r="C13" s="9">
        <f>August!C13+B13</f>
        <v>0</v>
      </c>
      <c r="D13" s="15"/>
      <c r="E13" s="9">
        <f>August!E13+D13</f>
        <v>0</v>
      </c>
      <c r="F13" s="17"/>
      <c r="G13" s="9">
        <f>August!G13+F13</f>
        <v>0</v>
      </c>
      <c r="H13" s="19"/>
      <c r="I13" s="9">
        <f>August!I13+H13</f>
        <v>0</v>
      </c>
    </row>
    <row r="14" spans="1:9" s="5" customFormat="1" ht="18" customHeight="1">
      <c r="A14" s="9" t="s">
        <v>17</v>
      </c>
      <c r="B14" s="13"/>
      <c r="C14" s="9">
        <f>August!C14+B14</f>
        <v>772</v>
      </c>
      <c r="D14" s="15"/>
      <c r="E14" s="9">
        <f>August!E14+D14</f>
        <v>3</v>
      </c>
      <c r="F14" s="17"/>
      <c r="G14" s="9">
        <f>August!G14+F14</f>
        <v>0</v>
      </c>
      <c r="H14" s="19"/>
      <c r="I14" s="9">
        <f>August!I14+H14</f>
        <v>0</v>
      </c>
    </row>
    <row r="15" spans="1:9" s="5" customFormat="1" ht="18" customHeight="1">
      <c r="A15" s="9" t="s">
        <v>18</v>
      </c>
      <c r="B15" s="13"/>
      <c r="C15" s="9">
        <f>August!C15+B15</f>
        <v>2190</v>
      </c>
      <c r="D15" s="15"/>
      <c r="E15" s="9">
        <f>August!E15+D15</f>
        <v>128</v>
      </c>
      <c r="F15" s="17"/>
      <c r="G15" s="9">
        <f>August!G15+F15</f>
        <v>0</v>
      </c>
      <c r="H15" s="19"/>
      <c r="I15" s="9">
        <f>August!I15+H15</f>
        <v>0</v>
      </c>
    </row>
    <row r="16" spans="1:9" s="5" customFormat="1" ht="18" customHeight="1">
      <c r="A16" s="9" t="s">
        <v>19</v>
      </c>
      <c r="B16" s="13"/>
      <c r="C16" s="9">
        <f>August!C16+B16</f>
        <v>0</v>
      </c>
      <c r="D16" s="15"/>
      <c r="E16" s="9">
        <f>August!E16+D16</f>
        <v>0</v>
      </c>
      <c r="F16" s="17"/>
      <c r="G16" s="9">
        <f>August!G16+F16</f>
        <v>0</v>
      </c>
      <c r="H16" s="19"/>
      <c r="I16" s="9">
        <f>August!I16+H16</f>
        <v>0</v>
      </c>
    </row>
    <row r="17" spans="1:9" s="5" customFormat="1" ht="18" customHeight="1">
      <c r="A17" s="9" t="s">
        <v>20</v>
      </c>
      <c r="B17" s="13"/>
      <c r="C17" s="9">
        <f>August!C17+B17</f>
        <v>3932</v>
      </c>
      <c r="D17" s="15"/>
      <c r="E17" s="9">
        <f>August!E17+D17</f>
        <v>863</v>
      </c>
      <c r="F17" s="17"/>
      <c r="G17" s="9">
        <f>August!G17+F17</f>
        <v>32</v>
      </c>
      <c r="H17" s="19"/>
      <c r="I17" s="9">
        <f>August!I17+H17</f>
        <v>0</v>
      </c>
    </row>
    <row r="18" spans="1:9" s="5" customFormat="1" ht="18" customHeight="1">
      <c r="A18" s="9" t="s">
        <v>21</v>
      </c>
      <c r="B18" s="13"/>
      <c r="C18" s="9">
        <f>August!C18+B18</f>
        <v>3031</v>
      </c>
      <c r="D18" s="15"/>
      <c r="E18" s="9">
        <f>August!E18+D18</f>
        <v>369</v>
      </c>
      <c r="F18" s="17"/>
      <c r="G18" s="9">
        <f>August!G18+F18</f>
        <v>759</v>
      </c>
      <c r="H18" s="19"/>
      <c r="I18" s="9">
        <f>August!I18+H18</f>
        <v>0</v>
      </c>
    </row>
    <row r="19" spans="1:9" s="5" customFormat="1" ht="18" customHeight="1">
      <c r="A19" s="9" t="s">
        <v>22</v>
      </c>
      <c r="B19" s="13"/>
      <c r="C19" s="9">
        <f>August!C19+B19</f>
        <v>5062</v>
      </c>
      <c r="D19" s="15"/>
      <c r="E19" s="9">
        <f>August!E19+D19</f>
        <v>354</v>
      </c>
      <c r="F19" s="17"/>
      <c r="G19" s="9">
        <f>August!G19+F19</f>
        <v>3360</v>
      </c>
      <c r="H19" s="19"/>
      <c r="I19" s="9">
        <f>August!I19+H19</f>
        <v>0</v>
      </c>
    </row>
    <row r="20" spans="1:9" s="5" customFormat="1" ht="18" customHeight="1">
      <c r="A20" s="9" t="s">
        <v>23</v>
      </c>
      <c r="B20" s="13"/>
      <c r="C20" s="9">
        <f>August!C20+B20</f>
        <v>14951</v>
      </c>
      <c r="D20" s="15"/>
      <c r="E20" s="9">
        <f>August!E20+D20</f>
        <v>1629</v>
      </c>
      <c r="F20" s="17"/>
      <c r="G20" s="9">
        <f>August!G20+F20</f>
        <v>738</v>
      </c>
      <c r="H20" s="19"/>
      <c r="I20" s="9">
        <f>August!I20+H20</f>
        <v>0</v>
      </c>
    </row>
    <row r="21" spans="1:9" s="5" customFormat="1" ht="18" customHeight="1">
      <c r="A21" s="9" t="s">
        <v>24</v>
      </c>
      <c r="B21" s="13"/>
      <c r="C21" s="9">
        <f>August!C21+B21</f>
        <v>73185</v>
      </c>
      <c r="D21" s="15"/>
      <c r="E21" s="9">
        <f>August!E21+D21</f>
        <v>86</v>
      </c>
      <c r="F21" s="17"/>
      <c r="G21" s="9">
        <f>August!G21+F21</f>
        <v>110</v>
      </c>
      <c r="H21" s="19"/>
      <c r="I21" s="9">
        <f>August!I21+H21</f>
        <v>0</v>
      </c>
    </row>
    <row r="22" spans="1:9" s="5" customFormat="1" ht="18" customHeight="1">
      <c r="A22" s="9" t="s">
        <v>25</v>
      </c>
      <c r="B22" s="13"/>
      <c r="C22" s="9">
        <f>August!C22+B22</f>
        <v>0</v>
      </c>
      <c r="D22" s="15"/>
      <c r="E22" s="9">
        <f>August!E22+D22</f>
        <v>0</v>
      </c>
      <c r="F22" s="17"/>
      <c r="G22" s="9">
        <f>August!G22+F22</f>
        <v>0</v>
      </c>
      <c r="H22" s="19"/>
      <c r="I22" s="9">
        <f>August!I22+H22</f>
        <v>0</v>
      </c>
    </row>
    <row r="23" spans="1:9" s="5" customFormat="1" ht="18" customHeight="1">
      <c r="A23" s="9" t="s">
        <v>26</v>
      </c>
      <c r="B23" s="13"/>
      <c r="C23" s="9">
        <f>August!C23+B23</f>
        <v>0</v>
      </c>
      <c r="D23" s="15"/>
      <c r="E23" s="9">
        <f>August!E23+D23</f>
        <v>0</v>
      </c>
      <c r="F23" s="17"/>
      <c r="G23" s="9">
        <f>August!G23+F23</f>
        <v>0</v>
      </c>
      <c r="H23" s="19"/>
      <c r="I23" s="9">
        <f>August!I23+H23</f>
        <v>0</v>
      </c>
    </row>
    <row r="24" spans="1:9" s="5" customFormat="1" ht="18" customHeight="1">
      <c r="A24" s="9" t="s">
        <v>27</v>
      </c>
      <c r="B24" s="13"/>
      <c r="C24" s="9">
        <f>August!C24+B24</f>
        <v>0</v>
      </c>
      <c r="D24" s="15"/>
      <c r="E24" s="9">
        <f>August!E24+D24</f>
        <v>2</v>
      </c>
      <c r="F24" s="17"/>
      <c r="G24" s="9">
        <f>August!G24+F24</f>
        <v>17</v>
      </c>
      <c r="H24" s="19"/>
      <c r="I24" s="9">
        <f>August!I24+H24</f>
        <v>0</v>
      </c>
    </row>
    <row r="25" spans="1:9" s="5" customFormat="1" ht="18" customHeight="1">
      <c r="A25" s="9" t="s">
        <v>28</v>
      </c>
      <c r="B25" s="13"/>
      <c r="C25" s="9">
        <f>August!C25+B25</f>
        <v>0</v>
      </c>
      <c r="D25" s="15"/>
      <c r="E25" s="9">
        <f>August!E25+D25</f>
        <v>0</v>
      </c>
      <c r="F25" s="17"/>
      <c r="G25" s="9">
        <f>August!G25+F25</f>
        <v>0</v>
      </c>
      <c r="H25" s="19"/>
      <c r="I25" s="9">
        <f>August!I25+H25</f>
        <v>0</v>
      </c>
    </row>
    <row r="26" spans="1:9" s="5" customFormat="1" ht="18" customHeight="1">
      <c r="A26" s="9" t="s">
        <v>29</v>
      </c>
      <c r="B26" s="13"/>
      <c r="C26" s="9">
        <f>August!C26+B26</f>
        <v>4343</v>
      </c>
      <c r="D26" s="15"/>
      <c r="E26" s="9">
        <f>August!E26+D26</f>
        <v>5</v>
      </c>
      <c r="F26" s="17"/>
      <c r="G26" s="9">
        <f>August!G26+F26</f>
        <v>36</v>
      </c>
      <c r="H26" s="19"/>
      <c r="I26" s="9">
        <f>August!I26+H26</f>
        <v>0</v>
      </c>
    </row>
    <row r="27" spans="1:9" s="5" customFormat="1" ht="18" customHeight="1">
      <c r="A27" s="9" t="s">
        <v>30</v>
      </c>
      <c r="B27" s="13"/>
      <c r="C27" s="9">
        <f>August!C27+B27</f>
        <v>27239</v>
      </c>
      <c r="D27" s="15"/>
      <c r="E27" s="9">
        <f>August!E27+D27</f>
        <v>1447</v>
      </c>
      <c r="F27" s="17"/>
      <c r="G27" s="9">
        <f>August!G27+F27</f>
        <v>15033</v>
      </c>
      <c r="H27" s="19"/>
      <c r="I27" s="9">
        <f>August!I27+H27</f>
        <v>0</v>
      </c>
    </row>
    <row r="28" spans="1:9" s="5" customFormat="1" ht="18" customHeight="1">
      <c r="A28" s="9" t="s">
        <v>31</v>
      </c>
      <c r="B28" s="13"/>
      <c r="C28" s="9">
        <f>August!C28+B28</f>
        <v>3240</v>
      </c>
      <c r="D28" s="15"/>
      <c r="E28" s="9">
        <f>August!E28+D28</f>
        <v>142</v>
      </c>
      <c r="F28" s="17"/>
      <c r="G28" s="9">
        <f>August!G28+F28</f>
        <v>0</v>
      </c>
      <c r="H28" s="19"/>
      <c r="I28" s="9">
        <f>August!I28+H28</f>
        <v>0</v>
      </c>
    </row>
    <row r="29" spans="1:9" s="5" customFormat="1" ht="18" customHeight="1">
      <c r="A29" s="9" t="s">
        <v>32</v>
      </c>
      <c r="B29" s="13"/>
      <c r="C29" s="9">
        <f>August!C29+B29</f>
        <v>93348</v>
      </c>
      <c r="D29" s="15"/>
      <c r="E29" s="9">
        <f>August!E29+D29</f>
        <v>4843</v>
      </c>
      <c r="F29" s="17"/>
      <c r="G29" s="9">
        <f>August!G29+F29</f>
        <v>737</v>
      </c>
      <c r="H29" s="19"/>
      <c r="I29" s="9">
        <f>August!I29+H29</f>
        <v>277</v>
      </c>
    </row>
    <row r="30" spans="1:9" s="5" customFormat="1" ht="18" customHeight="1">
      <c r="A30" s="9" t="s">
        <v>33</v>
      </c>
      <c r="B30" s="13"/>
      <c r="C30" s="9">
        <f>August!C30+B30</f>
        <v>18752</v>
      </c>
      <c r="D30" s="15"/>
      <c r="E30" s="9">
        <f>August!E30+D30</f>
        <v>3984</v>
      </c>
      <c r="F30" s="17"/>
      <c r="G30" s="9">
        <f>August!G30+F30</f>
        <v>0</v>
      </c>
      <c r="H30" s="19"/>
      <c r="I30" s="9">
        <f>August!I30+H30</f>
        <v>0</v>
      </c>
    </row>
    <row r="31" spans="1:9" s="5" customFormat="1" ht="18" customHeight="1">
      <c r="A31" s="9" t="s">
        <v>34</v>
      </c>
      <c r="B31" s="13"/>
      <c r="C31" s="9">
        <f>August!C31+B31</f>
        <v>24493</v>
      </c>
      <c r="D31" s="15"/>
      <c r="E31" s="9">
        <f>August!E31+D31</f>
        <v>5468</v>
      </c>
      <c r="F31" s="17"/>
      <c r="G31" s="9">
        <f>August!G31+F31</f>
        <v>1800</v>
      </c>
      <c r="H31" s="19"/>
      <c r="I31" s="9">
        <f>August!I31+H31</f>
        <v>30</v>
      </c>
    </row>
    <row r="32" spans="1:9" s="5" customFormat="1" ht="18" customHeight="1">
      <c r="A32" s="9" t="s">
        <v>35</v>
      </c>
      <c r="B32" s="13"/>
      <c r="C32" s="9">
        <f>August!C32+B32</f>
        <v>0</v>
      </c>
      <c r="D32" s="15"/>
      <c r="E32" s="9">
        <f>August!E32+D32</f>
        <v>0</v>
      </c>
      <c r="F32" s="17"/>
      <c r="G32" s="9">
        <f>August!G32+F32</f>
        <v>0</v>
      </c>
      <c r="H32" s="19"/>
      <c r="I32" s="9">
        <f>August!I32+H32</f>
        <v>0</v>
      </c>
    </row>
    <row r="33" spans="1:9" s="5" customFormat="1" ht="18" customHeight="1">
      <c r="A33" s="9" t="s">
        <v>36</v>
      </c>
      <c r="B33" s="13"/>
      <c r="C33" s="9">
        <f>August!C33+B33</f>
        <v>0</v>
      </c>
      <c r="D33" s="15"/>
      <c r="E33" s="9">
        <f>August!E33+D33</f>
        <v>0</v>
      </c>
      <c r="F33" s="17"/>
      <c r="G33" s="9">
        <f>August!G33+F33</f>
        <v>0</v>
      </c>
      <c r="H33" s="19"/>
      <c r="I33" s="9">
        <f>August!I33+H33</f>
        <v>0</v>
      </c>
    </row>
    <row r="34" spans="1:9" s="5" customFormat="1" ht="18" customHeight="1">
      <c r="A34" s="9" t="s">
        <v>37</v>
      </c>
      <c r="B34" s="13"/>
      <c r="C34" s="9">
        <f>August!C34+B34</f>
        <v>0</v>
      </c>
      <c r="D34" s="15"/>
      <c r="E34" s="9">
        <f>August!E34+D34</f>
        <v>0</v>
      </c>
      <c r="F34" s="17"/>
      <c r="G34" s="9">
        <f>August!G34+F34</f>
        <v>0</v>
      </c>
      <c r="H34" s="19"/>
      <c r="I34" s="9">
        <f>August!I34+H34</f>
        <v>0</v>
      </c>
    </row>
    <row r="35" spans="1:9" s="5" customFormat="1" ht="18" customHeight="1">
      <c r="A35" s="9" t="s">
        <v>38</v>
      </c>
      <c r="B35" s="13"/>
      <c r="C35" s="9">
        <f>August!C35+B35</f>
        <v>326</v>
      </c>
      <c r="D35" s="15"/>
      <c r="E35" s="9">
        <f>August!E35+D35</f>
        <v>0</v>
      </c>
      <c r="F35" s="17"/>
      <c r="G35" s="9">
        <f>August!G35+F35</f>
        <v>415</v>
      </c>
      <c r="H35" s="19"/>
      <c r="I35" s="9">
        <f>August!I35+H35</f>
        <v>0</v>
      </c>
    </row>
    <row r="36" spans="1:9" s="5" customFormat="1" ht="18" customHeight="1">
      <c r="A36" s="9" t="s">
        <v>39</v>
      </c>
      <c r="B36" s="13"/>
      <c r="C36" s="9">
        <f>August!C36+B36</f>
        <v>0</v>
      </c>
      <c r="D36" s="15"/>
      <c r="E36" s="9">
        <f>August!E36+D36</f>
        <v>5</v>
      </c>
      <c r="F36" s="17"/>
      <c r="G36" s="9">
        <f>August!G36+F36</f>
        <v>267</v>
      </c>
      <c r="H36" s="19"/>
      <c r="I36" s="9">
        <f>August!I36+H36</f>
        <v>0</v>
      </c>
    </row>
    <row r="37" spans="1:9" s="5" customFormat="1" ht="18" customHeight="1">
      <c r="A37" s="9" t="s">
        <v>40</v>
      </c>
      <c r="B37" s="13"/>
      <c r="C37" s="9">
        <f>August!C37+B37</f>
        <v>376</v>
      </c>
      <c r="D37" s="15"/>
      <c r="E37" s="9">
        <f>August!E37+D37</f>
        <v>16</v>
      </c>
      <c r="F37" s="17"/>
      <c r="G37" s="9">
        <f>August!G37+F37</f>
        <v>11</v>
      </c>
      <c r="H37" s="19"/>
      <c r="I37" s="9">
        <f>August!I37+H37</f>
        <v>0</v>
      </c>
    </row>
    <row r="38" spans="1:9" s="5" customFormat="1" ht="18" customHeight="1">
      <c r="A38" s="9" t="s">
        <v>41</v>
      </c>
      <c r="B38" s="13"/>
      <c r="C38" s="9">
        <f>August!C38+B38</f>
        <v>36394</v>
      </c>
      <c r="D38" s="15"/>
      <c r="E38" s="9">
        <f>August!E38+D38</f>
        <v>731</v>
      </c>
      <c r="F38" s="17"/>
      <c r="G38" s="9">
        <f>August!G38+F38</f>
        <v>122</v>
      </c>
      <c r="H38" s="19"/>
      <c r="I38" s="9">
        <f>August!I38+H38</f>
        <v>0</v>
      </c>
    </row>
    <row r="39" spans="1:9" s="5" customFormat="1" ht="18" customHeight="1">
      <c r="A39" s="9" t="s">
        <v>42</v>
      </c>
      <c r="B39" s="13"/>
      <c r="C39" s="9">
        <f>August!C39+B39</f>
        <v>2432</v>
      </c>
      <c r="D39" s="15"/>
      <c r="E39" s="9">
        <f>August!E39+D39</f>
        <v>38</v>
      </c>
      <c r="F39" s="17"/>
      <c r="G39" s="9">
        <f>August!G39+F39</f>
        <v>1862</v>
      </c>
      <c r="H39" s="19"/>
      <c r="I39" s="9">
        <f>August!I39+H39</f>
        <v>0</v>
      </c>
    </row>
    <row r="40" spans="1:9" s="5" customFormat="1" ht="18" customHeight="1">
      <c r="A40" s="9" t="s">
        <v>43</v>
      </c>
      <c r="B40" s="13"/>
      <c r="C40" s="9">
        <f>August!C40+B40</f>
        <v>3606</v>
      </c>
      <c r="D40" s="15"/>
      <c r="E40" s="9">
        <f>August!E40+D40</f>
        <v>192</v>
      </c>
      <c r="F40" s="17"/>
      <c r="G40" s="9">
        <f>August!G40+F40</f>
        <v>9</v>
      </c>
      <c r="H40" s="19"/>
      <c r="I40" s="9">
        <f>August!I40+H40</f>
        <v>0</v>
      </c>
    </row>
    <row r="41" spans="1:9" s="5" customFormat="1" ht="18" customHeight="1">
      <c r="A41" s="9" t="s">
        <v>44</v>
      </c>
      <c r="B41" s="13"/>
      <c r="C41" s="9">
        <f>August!C41+B41</f>
        <v>763</v>
      </c>
      <c r="D41" s="15"/>
      <c r="E41" s="9">
        <f>August!E41+D41</f>
        <v>85</v>
      </c>
      <c r="F41" s="17"/>
      <c r="G41" s="9">
        <f>August!G41+F41</f>
        <v>68</v>
      </c>
      <c r="H41" s="19"/>
      <c r="I41" s="9">
        <f>August!I41+H41</f>
        <v>0</v>
      </c>
    </row>
    <row r="42" spans="1:9" s="5" customFormat="1" ht="18" customHeight="1">
      <c r="A42" s="9" t="s">
        <v>45</v>
      </c>
      <c r="B42" s="13"/>
      <c r="C42" s="9">
        <f>August!C42+B42</f>
        <v>807</v>
      </c>
      <c r="D42" s="15"/>
      <c r="E42" s="9">
        <f>August!E42+D42</f>
        <v>242</v>
      </c>
      <c r="F42" s="17"/>
      <c r="G42" s="9">
        <f>August!G42+F42</f>
        <v>1060</v>
      </c>
      <c r="H42" s="19"/>
      <c r="I42" s="9">
        <f>August!I42+H42</f>
        <v>0</v>
      </c>
    </row>
    <row r="43" spans="1:9" s="5" customFormat="1" ht="18" customHeight="1">
      <c r="A43" s="9" t="s">
        <v>46</v>
      </c>
      <c r="B43" s="13"/>
      <c r="C43" s="9">
        <f>August!C43+B43</f>
        <v>0</v>
      </c>
      <c r="D43" s="15"/>
      <c r="E43" s="9">
        <f>August!E43+D43</f>
        <v>0</v>
      </c>
      <c r="F43" s="17"/>
      <c r="G43" s="9">
        <f>August!G43+F43</f>
        <v>0</v>
      </c>
      <c r="H43" s="19"/>
      <c r="I43" s="9">
        <f>August!I43+H43</f>
        <v>0</v>
      </c>
    </row>
    <row r="44" spans="1:9" s="5" customFormat="1" ht="18" customHeight="1">
      <c r="A44" s="9" t="s">
        <v>47</v>
      </c>
      <c r="B44" s="13"/>
      <c r="C44" s="9">
        <f>August!C44+B44</f>
        <v>5225</v>
      </c>
      <c r="D44" s="15"/>
      <c r="E44" s="9">
        <f>August!E44+D44</f>
        <v>0</v>
      </c>
      <c r="F44" s="17"/>
      <c r="G44" s="9">
        <f>August!G44+F44</f>
        <v>0</v>
      </c>
      <c r="H44" s="19"/>
      <c r="I44" s="9">
        <f>August!I44+H44</f>
        <v>0</v>
      </c>
    </row>
    <row r="45" spans="1:9" s="5" customFormat="1" ht="18" customHeight="1">
      <c r="A45" s="9" t="s">
        <v>48</v>
      </c>
      <c r="B45" s="13"/>
      <c r="C45" s="9">
        <f>August!C45+B45</f>
        <v>146377</v>
      </c>
      <c r="D45" s="15"/>
      <c r="E45" s="9">
        <f>August!E45+D45</f>
        <v>9806</v>
      </c>
      <c r="F45" s="17"/>
      <c r="G45" s="9">
        <f>August!G45+F45</f>
        <v>281</v>
      </c>
      <c r="H45" s="19"/>
      <c r="I45" s="9">
        <f>August!I45+H45</f>
        <v>0</v>
      </c>
    </row>
    <row r="46" spans="1:9" s="5" customFormat="1" ht="18" customHeight="1">
      <c r="A46" s="9" t="s">
        <v>49</v>
      </c>
      <c r="B46" s="13"/>
      <c r="C46" s="9">
        <f>August!C46+B46</f>
        <v>8207</v>
      </c>
      <c r="D46" s="15"/>
      <c r="E46" s="9">
        <f>August!E46+D46</f>
        <v>267</v>
      </c>
      <c r="F46" s="17"/>
      <c r="G46" s="9">
        <f>August!G46+F46</f>
        <v>81</v>
      </c>
      <c r="H46" s="19"/>
      <c r="I46" s="9">
        <f>August!I46+H46</f>
        <v>0</v>
      </c>
    </row>
    <row r="47" spans="1:9" s="5" customFormat="1" ht="18" customHeight="1">
      <c r="A47" s="9" t="s">
        <v>50</v>
      </c>
      <c r="B47" s="13"/>
      <c r="C47" s="9">
        <f>August!C47+B47</f>
        <v>7720</v>
      </c>
      <c r="D47" s="15"/>
      <c r="E47" s="9">
        <f>August!E47+D47</f>
        <v>850</v>
      </c>
      <c r="F47" s="17"/>
      <c r="G47" s="9">
        <f>August!G47+F47</f>
        <v>552</v>
      </c>
      <c r="H47" s="19"/>
      <c r="I47" s="9">
        <f>August!I47+H47</f>
        <v>0</v>
      </c>
    </row>
    <row r="48" spans="1:9" s="5" customFormat="1" ht="18" customHeight="1">
      <c r="A48" s="9" t="s">
        <v>51</v>
      </c>
      <c r="B48" s="13"/>
      <c r="C48" s="9">
        <f>August!C48+B48</f>
        <v>4</v>
      </c>
      <c r="D48" s="15"/>
      <c r="E48" s="9">
        <f>August!E48+D48</f>
        <v>6</v>
      </c>
      <c r="F48" s="17"/>
      <c r="G48" s="9">
        <f>August!G48+F48</f>
        <v>238</v>
      </c>
      <c r="H48" s="19"/>
      <c r="I48" s="9">
        <f>August!I48+H48</f>
        <v>0</v>
      </c>
    </row>
    <row r="49" spans="1:9" s="5" customFormat="1" ht="18" customHeight="1">
      <c r="A49" s="9" t="s">
        <v>52</v>
      </c>
      <c r="B49" s="13"/>
      <c r="C49" s="9">
        <f>August!C49+B49</f>
        <v>0</v>
      </c>
      <c r="D49" s="15"/>
      <c r="E49" s="9">
        <f>August!E49+D49</f>
        <v>0</v>
      </c>
      <c r="F49" s="17"/>
      <c r="G49" s="9">
        <f>August!G49+F49</f>
        <v>123</v>
      </c>
      <c r="H49" s="19"/>
      <c r="I49" s="9">
        <f>August!I49+H49</f>
        <v>0</v>
      </c>
    </row>
    <row r="50" spans="1:9" s="5" customFormat="1" ht="18" customHeight="1">
      <c r="A50" s="9" t="s">
        <v>53</v>
      </c>
      <c r="B50" s="13"/>
      <c r="C50" s="9">
        <f>August!C50+B50</f>
        <v>6798</v>
      </c>
      <c r="D50" s="15"/>
      <c r="E50" s="9">
        <f>August!E50+D50</f>
        <v>62</v>
      </c>
      <c r="F50" s="17"/>
      <c r="G50" s="9">
        <f>August!G50+F50</f>
        <v>0</v>
      </c>
      <c r="H50" s="19"/>
      <c r="I50" s="9">
        <f>August!I50+H50</f>
        <v>0</v>
      </c>
    </row>
    <row r="51" spans="1:9" s="5" customFormat="1" ht="18" customHeight="1">
      <c r="A51" s="9" t="s">
        <v>54</v>
      </c>
      <c r="B51" s="13"/>
      <c r="C51" s="9">
        <f>August!C51+B51</f>
        <v>1928</v>
      </c>
      <c r="D51" s="15"/>
      <c r="E51" s="9">
        <f>August!E51+D51</f>
        <v>17</v>
      </c>
      <c r="F51" s="17"/>
      <c r="G51" s="9">
        <f>August!G51+F51</f>
        <v>338</v>
      </c>
      <c r="H51" s="19"/>
      <c r="I51" s="9">
        <f>August!I51+H51</f>
        <v>0</v>
      </c>
    </row>
    <row r="52" spans="1:9" s="5" customFormat="1" ht="18" customHeight="1">
      <c r="A52" s="9" t="s">
        <v>55</v>
      </c>
      <c r="B52" s="13"/>
      <c r="C52" s="9">
        <f>August!C52+B52</f>
        <v>3868</v>
      </c>
      <c r="D52" s="15"/>
      <c r="E52" s="9">
        <f>August!E52+D52</f>
        <v>63</v>
      </c>
      <c r="F52" s="17"/>
      <c r="G52" s="9">
        <f>August!G52+F52</f>
        <v>0</v>
      </c>
      <c r="H52" s="19"/>
      <c r="I52" s="9">
        <f>August!I52+H52</f>
        <v>0</v>
      </c>
    </row>
    <row r="53" spans="1:9" s="5" customFormat="1" ht="18" customHeight="1">
      <c r="A53" s="9" t="s">
        <v>56</v>
      </c>
      <c r="B53" s="13"/>
      <c r="C53" s="9">
        <f>August!C53+B53</f>
        <v>22336</v>
      </c>
      <c r="D53" s="15"/>
      <c r="E53" s="9">
        <f>August!E53+D53</f>
        <v>1134</v>
      </c>
      <c r="F53" s="17"/>
      <c r="G53" s="9">
        <f>August!G53+F53</f>
        <v>6852</v>
      </c>
      <c r="H53" s="19"/>
      <c r="I53" s="9">
        <f>August!I53+H53</f>
        <v>0</v>
      </c>
    </row>
    <row r="54" spans="1:9" s="5" customFormat="1" ht="18" customHeight="1" thickBot="1">
      <c r="A54" s="10" t="s">
        <v>57</v>
      </c>
      <c r="B54" s="13"/>
      <c r="C54" s="9">
        <f>August!C54+B54</f>
        <v>5855</v>
      </c>
      <c r="D54" s="16"/>
      <c r="E54" s="9">
        <f>August!E54+D54</f>
        <v>1475</v>
      </c>
      <c r="F54" s="17"/>
      <c r="G54" s="9">
        <f>August!G54+F54</f>
        <v>0</v>
      </c>
      <c r="H54" s="19"/>
      <c r="I54" s="9">
        <f>August!I54+H54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August!C57+B55</f>
        <v>536995</v>
      </c>
      <c r="D57" s="11"/>
      <c r="E57" s="11">
        <f>August!E57+D55</f>
        <v>36468</v>
      </c>
      <c r="F57" s="11"/>
      <c r="G57" s="11">
        <f>August!G57+F55</f>
        <v>37674</v>
      </c>
      <c r="H57" s="11"/>
      <c r="I57" s="11">
        <f>August!I57+H55</f>
        <v>451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August!E62+D60</f>
        <v>2482</v>
      </c>
      <c r="G62" s="4">
        <f>August!G62+F60</f>
        <v>13410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Karla Crawford</cp:lastModifiedBy>
  <cp:lastPrinted>2011-01-10T22:07:14Z</cp:lastPrinted>
  <dcterms:created xsi:type="dcterms:W3CDTF">2010-10-14T14:44:24Z</dcterms:created>
  <dcterms:modified xsi:type="dcterms:W3CDTF">2011-08-18T21:06:01Z</dcterms:modified>
  <cp:category/>
  <cp:version/>
  <cp:contentType/>
  <cp:contentStatus/>
</cp:coreProperties>
</file>