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838" firstSheet="8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'April'!$A$1:$P$62</definedName>
    <definedName name="_xlnm.Print_Area" localSheetId="7">'August'!$A$1:$P$62</definedName>
    <definedName name="_xlnm.Print_Area" localSheetId="11">'December'!$A$1:$P$62</definedName>
    <definedName name="_xlnm.Print_Area" localSheetId="1">'February'!$A$1:$P$62</definedName>
    <definedName name="_xlnm.Print_Area" localSheetId="0">'January'!$A$1:$P$62</definedName>
    <definedName name="_xlnm.Print_Area" localSheetId="6">'July'!$A$1:$P$62</definedName>
    <definedName name="_xlnm.Print_Area" localSheetId="5">'June'!$A$1:$P$62</definedName>
    <definedName name="_xlnm.Print_Area" localSheetId="2">'March'!$A$1:$P$70</definedName>
    <definedName name="_xlnm.Print_Area" localSheetId="4">'May'!$A$1:$P$62</definedName>
    <definedName name="_xlnm.Print_Area" localSheetId="10">'November'!$A$1:$P$62</definedName>
    <definedName name="_xlnm.Print_Area" localSheetId="9">'October'!$A$1:$P$62</definedName>
    <definedName name="_xlnm.Print_Area" localSheetId="8">'September'!$A$1:$P$62</definedName>
  </definedNames>
  <calcPr fullCalcOnLoad="1"/>
</workbook>
</file>

<file path=xl/sharedStrings.xml><?xml version="1.0" encoding="utf-8"?>
<sst xmlns="http://schemas.openxmlformats.org/spreadsheetml/2006/main" count="1045" uniqueCount="85">
  <si>
    <t>Imported Cattle and Other Livestock: IOWA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</si>
  <si>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</si>
  <si>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</si>
  <si>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</si>
  <si>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</si>
  <si>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</si>
  <si>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</si>
  <si>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</si>
  <si>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</si>
  <si>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COLORADO</t>
  </si>
  <si>
    <t>CANADA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</si>
  <si>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</si>
  <si>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</si>
  <si>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</si>
  <si>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</si>
  <si>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</si>
  <si>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</si>
  <si>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</si>
  <si>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</si>
  <si>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</si>
  <si>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</si>
  <si>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</si>
  <si>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</si>
  <si>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</si>
  <si>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</si>
  <si>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</si>
  <si>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</si>
  <si>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</si>
  <si>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</si>
  <si>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</si>
  <si>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</si>
  <si>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</si>
  <si>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</si>
  <si>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</si>
  <si>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</si>
  <si>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</si>
  <si>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</si>
  <si>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</si>
  <si>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</si>
  <si>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</si>
  <si>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</si>
  <si>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</si>
  <si>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</si>
  <si>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</si>
  <si>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</si>
  <si>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</si>
  <si>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</si>
  <si>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</si>
  <si>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</si>
  <si>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</si>
  <si>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</si>
  <si>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</si>
  <si>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>TOTALS (MONTH)</t>
  </si>
  <si>
    <t>TOTALS (YTD)</t>
  </si>
  <si>
    <t>STRAWS</t>
  </si>
  <si>
    <t>FEEDER CATTLE</t>
  </si>
  <si>
    <t>CERVIDAE</t>
  </si>
  <si>
    <t>MISC</t>
  </si>
  <si>
    <t>BEEF CATTLE</t>
  </si>
  <si>
    <t>DAIRY CATTLE</t>
  </si>
  <si>
    <t>HORSES</t>
  </si>
  <si>
    <t>SHEEP</t>
  </si>
  <si>
    <t>GOATS</t>
  </si>
  <si>
    <t>SLAUGHTER CATTLE</t>
  </si>
  <si>
    <t>SLAUGHTER SHEEP</t>
  </si>
  <si>
    <t>xxx</t>
  </si>
  <si>
    <t>STRAWS (YTD):</t>
  </si>
  <si>
    <t>WISCONSIN</t>
  </si>
  <si>
    <t>MASSACHUSETTS</t>
  </si>
  <si>
    <t>STRAWS (YTD)</t>
  </si>
  <si>
    <t>January, 2010</t>
  </si>
  <si>
    <t>Karla Crawford</t>
  </si>
  <si>
    <t>February, 2010</t>
  </si>
  <si>
    <t>March, 2010</t>
  </si>
  <si>
    <t>April, 2010</t>
  </si>
  <si>
    <t>May, 2010</t>
  </si>
  <si>
    <t>June, 2010</t>
  </si>
  <si>
    <t>July, 2010</t>
  </si>
  <si>
    <t>August, 2010</t>
  </si>
  <si>
    <t>September, 2010</t>
  </si>
  <si>
    <t>October, 2010</t>
  </si>
  <si>
    <t>November, 2010</t>
  </si>
  <si>
    <t>December, 2010</t>
  </si>
  <si>
    <t>XXX</t>
  </si>
  <si>
    <t>Washington DC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</si>
</sst>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5">
    <font>
      <sz val="12"/>
      <name val="Times New Roman"/>
      <family val="0"/>
    </font>
    <font>
      <sz val="8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5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24" borderId="0" xfId="0" applyNumberFormat="1" applyFont="1" applyFill="1" applyAlignment="1">
      <alignment/>
    </xf>
    <xf numFmtId="3" fontId="5" fillId="24" borderId="11" xfId="0" applyNumberFormat="1" applyFont="1" applyFill="1" applyBorder="1" applyAlignment="1">
      <alignment horizontal="center"/>
    </xf>
    <xf numFmtId="3" fontId="4" fillId="24" borderId="11" xfId="0" applyNumberFormat="1" applyFon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25" borderId="11" xfId="0" applyNumberFormat="1" applyFont="1" applyFill="1" applyBorder="1" applyAlignment="1">
      <alignment horizontal="center"/>
    </xf>
    <xf numFmtId="3" fontId="4" fillId="25" borderId="11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5" fillId="25" borderId="10" xfId="0" applyNumberFormat="1" applyFont="1" applyFill="1" applyBorder="1" applyAlignment="1">
      <alignment/>
    </xf>
    <xf numFmtId="3" fontId="4" fillId="25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3" fontId="5" fillId="3" borderId="11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3" fillId="3" borderId="0" xfId="0" applyNumberFormat="1" applyFont="1" applyFill="1" applyAlignment="1">
      <alignment/>
    </xf>
    <xf numFmtId="3" fontId="4" fillId="24" borderId="11" xfId="0" applyNumberFormat="1" applyFont="1" applyFill="1" applyBorder="1" applyAlignment="1">
      <alignment horizontal="right"/>
    </xf>
    <xf numFmtId="3" fontId="4" fillId="24" borderId="12" xfId="0" applyNumberFormat="1" applyFont="1" applyFill="1" applyBorder="1" applyAlignment="1">
      <alignment horizontal="right"/>
    </xf>
    <xf numFmtId="3" fontId="7" fillId="24" borderId="10" xfId="0" applyNumberFormat="1" applyFont="1" applyFill="1" applyBorder="1" applyAlignment="1">
      <alignment/>
    </xf>
    <xf numFmtId="3" fontId="4" fillId="24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8" borderId="11" xfId="0" applyNumberFormat="1" applyFont="1" applyFill="1" applyBorder="1" applyAlignment="1">
      <alignment/>
    </xf>
    <xf numFmtId="3" fontId="4" fillId="8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5" borderId="11" xfId="0" applyNumberFormat="1" applyFont="1" applyFill="1" applyBorder="1" applyAlignment="1">
      <alignment/>
    </xf>
    <xf numFmtId="3" fontId="4" fillId="5" borderId="12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3" fontId="4" fillId="25" borderId="11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horizontal="center"/>
    </xf>
    <xf numFmtId="3" fontId="5" fillId="24" borderId="14" xfId="0" applyNumberFormat="1" applyFont="1" applyFill="1" applyBorder="1" applyAlignment="1">
      <alignment horizontal="center"/>
    </xf>
    <xf numFmtId="3" fontId="5" fillId="24" borderId="15" xfId="0" applyNumberFormat="1" applyFont="1" applyFill="1" applyBorder="1" applyAlignment="1">
      <alignment horizontal="center"/>
    </xf>
    <xf numFmtId="3" fontId="5" fillId="24" borderId="17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3" fontId="5" fillId="25" borderId="14" xfId="0" applyNumberFormat="1" applyFont="1" applyFill="1" applyBorder="1" applyAlignment="1">
      <alignment horizontal="center"/>
    </xf>
    <xf numFmtId="3" fontId="5" fillId="25" borderId="17" xfId="0" applyNumberFormat="1" applyFont="1" applyFill="1" applyBorder="1" applyAlignment="1">
      <alignment horizontal="center"/>
    </xf>
    <xf numFmtId="3" fontId="5" fillId="8" borderId="14" xfId="0" applyNumberFormat="1" applyFont="1" applyFill="1" applyBorder="1" applyAlignment="1">
      <alignment horizontal="center"/>
    </xf>
    <xf numFmtId="3" fontId="5" fillId="8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219075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143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38100</xdr:rowOff>
    </xdr:from>
    <xdr:to>
      <xdr:col>4</xdr:col>
      <xdr:colOff>9525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38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7</xdr:col>
      <xdr:colOff>9525</xdr:colOff>
      <xdr:row>2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9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219075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5143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38100</xdr:rowOff>
    </xdr:from>
    <xdr:to>
      <xdr:col>4</xdr:col>
      <xdr:colOff>9525</xdr:colOff>
      <xdr:row>2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3457575" y="38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7</xdr:col>
      <xdr:colOff>9525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9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6" name="Line 1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0" name="Line 20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7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861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006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965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197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4861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4006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0965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971550"/>
          <a:ext cx="1197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34861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006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100965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7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861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006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965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197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4861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4006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0965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971550"/>
          <a:ext cx="1197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34861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006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100965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8" name="Line 26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9" name="Line 27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0" name="Line 28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44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2197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561975</xdr:colOff>
      <xdr:row>1</xdr:row>
      <xdr:rowOff>200025</xdr:rowOff>
    </xdr:from>
    <xdr:to>
      <xdr:col>13</xdr:col>
      <xdr:colOff>561975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8215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1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242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346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89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099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244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20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16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2870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10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12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70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3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f>62</f>
        <v>62</v>
      </c>
      <c r="C5" s="2">
        <f aca="true" t="shared" si="0" ref="C5:C54">B5</f>
        <v>62</v>
      </c>
      <c r="D5" s="2"/>
      <c r="E5" s="2"/>
      <c r="F5" s="2"/>
      <c r="G5" s="2">
        <f aca="true" t="shared" si="1" ref="G5:G54">F5</f>
        <v>0</v>
      </c>
      <c r="H5" s="2"/>
      <c r="I5" s="2">
        <f aca="true" t="shared" si="2" ref="I5:I54">H5</f>
        <v>0</v>
      </c>
      <c r="J5" s="2"/>
      <c r="K5" s="2"/>
      <c r="L5" s="2">
        <f aca="true" t="shared" si="3" ref="L5:L54">K5</f>
        <v>0</v>
      </c>
      <c r="M5" s="2"/>
      <c r="N5" s="2">
        <f aca="true" t="shared" si="4" ref="N5:N54">M5</f>
        <v>0</v>
      </c>
      <c r="O5" s="2"/>
      <c r="P5" s="2"/>
    </row>
    <row r="6" spans="1:16" ht="18" customHeight="1">
      <c r="A6" s="2" t="s">
        <v>5</v>
      </c>
      <c r="B6" s="2"/>
      <c r="C6" s="2">
        <f t="shared" si="0"/>
        <v>0</v>
      </c>
      <c r="D6" s="2"/>
      <c r="E6" s="2" t="s">
        <v>65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>
        <f t="shared" si="3"/>
        <v>0</v>
      </c>
      <c r="M6" s="2"/>
      <c r="N6" s="2">
        <f t="shared" si="4"/>
        <v>0</v>
      </c>
      <c r="O6" s="2"/>
      <c r="P6" s="2"/>
    </row>
    <row r="7" spans="1:16" ht="18" customHeight="1">
      <c r="A7" s="2" t="s">
        <v>6</v>
      </c>
      <c r="B7" s="2"/>
      <c r="C7" s="2">
        <f t="shared" si="0"/>
        <v>0</v>
      </c>
      <c r="D7" s="2"/>
      <c r="E7" s="2"/>
      <c r="F7" s="2">
        <v>1</v>
      </c>
      <c r="G7" s="2">
        <f t="shared" si="1"/>
        <v>1</v>
      </c>
      <c r="H7" s="2">
        <v>190</v>
      </c>
      <c r="I7" s="2">
        <f t="shared" si="2"/>
        <v>190</v>
      </c>
      <c r="J7" s="2"/>
      <c r="K7" s="2"/>
      <c r="L7" s="2">
        <f t="shared" si="3"/>
        <v>0</v>
      </c>
      <c r="M7" s="2"/>
      <c r="N7" s="2">
        <f t="shared" si="4"/>
        <v>0</v>
      </c>
      <c r="O7" s="2"/>
      <c r="P7" s="2"/>
    </row>
    <row r="8" spans="1:16" ht="18" customHeight="1">
      <c r="A8" s="2" t="s">
        <v>7</v>
      </c>
      <c r="B8" s="2">
        <v>184</v>
      </c>
      <c r="C8" s="2">
        <f t="shared" si="0"/>
        <v>184</v>
      </c>
      <c r="D8" s="2"/>
      <c r="E8" s="2"/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>
        <f t="shared" si="3"/>
        <v>0</v>
      </c>
      <c r="M8" s="2"/>
      <c r="N8" s="2">
        <f t="shared" si="4"/>
        <v>0</v>
      </c>
      <c r="O8" s="2"/>
      <c r="P8" s="2"/>
    </row>
    <row r="9" spans="1:16" ht="18" customHeight="1">
      <c r="A9" s="2" t="s">
        <v>8</v>
      </c>
      <c r="B9" s="2">
        <v>764</v>
      </c>
      <c r="C9" s="2">
        <f t="shared" si="0"/>
        <v>764</v>
      </c>
      <c r="D9" s="2"/>
      <c r="E9" s="2"/>
      <c r="F9" s="2">
        <v>5</v>
      </c>
      <c r="G9" s="2">
        <f t="shared" si="1"/>
        <v>5</v>
      </c>
      <c r="H9" s="2"/>
      <c r="I9" s="2">
        <f t="shared" si="2"/>
        <v>0</v>
      </c>
      <c r="J9" s="2">
        <v>1</v>
      </c>
      <c r="K9" s="2"/>
      <c r="L9" s="2">
        <f t="shared" si="3"/>
        <v>0</v>
      </c>
      <c r="M9" s="2"/>
      <c r="N9" s="2">
        <f t="shared" si="4"/>
        <v>0</v>
      </c>
      <c r="O9" s="2"/>
      <c r="P9" s="2"/>
    </row>
    <row r="10" spans="1:16" ht="18" customHeight="1">
      <c r="A10" s="2" t="s">
        <v>10</v>
      </c>
      <c r="B10" s="2">
        <v>78</v>
      </c>
      <c r="C10" s="2">
        <f t="shared" si="0"/>
        <v>78</v>
      </c>
      <c r="D10" s="2"/>
      <c r="E10" s="2" t="s">
        <v>65</v>
      </c>
      <c r="F10" s="2">
        <v>101</v>
      </c>
      <c r="G10" s="2">
        <f t="shared" si="1"/>
        <v>101</v>
      </c>
      <c r="H10" s="2"/>
      <c r="I10" s="2">
        <f t="shared" si="2"/>
        <v>0</v>
      </c>
      <c r="J10" s="2"/>
      <c r="K10" s="2"/>
      <c r="L10" s="2">
        <f t="shared" si="3"/>
        <v>0</v>
      </c>
      <c r="M10" s="2"/>
      <c r="N10" s="2">
        <f t="shared" si="4"/>
        <v>0</v>
      </c>
      <c r="O10" s="2"/>
      <c r="P10" s="2"/>
    </row>
    <row r="11" spans="1:16" ht="18" customHeight="1">
      <c r="A11" s="2" t="s">
        <v>9</v>
      </c>
      <c r="B11" s="2">
        <v>515</v>
      </c>
      <c r="C11" s="2">
        <f t="shared" si="0"/>
        <v>515</v>
      </c>
      <c r="D11" s="2"/>
      <c r="E11" s="2"/>
      <c r="F11" s="2">
        <v>14</v>
      </c>
      <c r="G11" s="2">
        <f t="shared" si="1"/>
        <v>14</v>
      </c>
      <c r="H11" s="2">
        <v>83</v>
      </c>
      <c r="I11" s="2">
        <f t="shared" si="2"/>
        <v>83</v>
      </c>
      <c r="J11" s="2">
        <v>1</v>
      </c>
      <c r="K11" s="2">
        <v>4</v>
      </c>
      <c r="L11" s="2">
        <f t="shared" si="3"/>
        <v>4</v>
      </c>
      <c r="M11" s="2"/>
      <c r="N11" s="2">
        <f t="shared" si="4"/>
        <v>0</v>
      </c>
      <c r="O11" s="2"/>
      <c r="P11" s="2"/>
    </row>
    <row r="12" spans="1:16" ht="18" customHeight="1">
      <c r="A12" s="2" t="s">
        <v>11</v>
      </c>
      <c r="B12" s="2"/>
      <c r="C12" s="2">
        <f t="shared" si="0"/>
        <v>0</v>
      </c>
      <c r="D12" s="2"/>
      <c r="E12" s="2" t="s">
        <v>65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>
        <f t="shared" si="3"/>
        <v>0</v>
      </c>
      <c r="M12" s="2"/>
      <c r="N12" s="2">
        <f t="shared" si="4"/>
        <v>0</v>
      </c>
      <c r="O12" s="2"/>
      <c r="P12" s="2"/>
    </row>
    <row r="13" spans="1:16" ht="18" customHeight="1">
      <c r="A13" s="2" t="s">
        <v>12</v>
      </c>
      <c r="B13" s="2"/>
      <c r="C13" s="2">
        <f t="shared" si="0"/>
        <v>0</v>
      </c>
      <c r="D13" s="2"/>
      <c r="E13" s="2"/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>
        <f t="shared" si="3"/>
        <v>0</v>
      </c>
      <c r="M13" s="2"/>
      <c r="N13" s="2">
        <f t="shared" si="4"/>
        <v>0</v>
      </c>
      <c r="O13" s="2"/>
      <c r="P13" s="2"/>
    </row>
    <row r="14" spans="1:16" ht="18" customHeight="1">
      <c r="A14" s="2" t="s">
        <v>13</v>
      </c>
      <c r="B14" s="2"/>
      <c r="C14" s="2">
        <f t="shared" si="0"/>
        <v>0</v>
      </c>
      <c r="D14" s="2"/>
      <c r="E14" s="2"/>
      <c r="F14" s="2"/>
      <c r="G14" s="2">
        <f t="shared" si="1"/>
        <v>0</v>
      </c>
      <c r="H14" s="2"/>
      <c r="I14" s="2">
        <f t="shared" si="2"/>
        <v>0</v>
      </c>
      <c r="J14" s="2">
        <v>2</v>
      </c>
      <c r="K14" s="2"/>
      <c r="L14" s="2">
        <f t="shared" si="3"/>
        <v>0</v>
      </c>
      <c r="M14" s="2"/>
      <c r="N14" s="2">
        <f t="shared" si="4"/>
        <v>0</v>
      </c>
      <c r="O14" s="2"/>
      <c r="P14" s="2"/>
    </row>
    <row r="15" spans="1:16" ht="18" customHeight="1">
      <c r="A15" s="2" t="s">
        <v>14</v>
      </c>
      <c r="B15" s="2">
        <v>73</v>
      </c>
      <c r="C15" s="2">
        <f t="shared" si="0"/>
        <v>73</v>
      </c>
      <c r="D15" s="2"/>
      <c r="E15" s="2"/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>
        <f t="shared" si="3"/>
        <v>0</v>
      </c>
      <c r="M15" s="2"/>
      <c r="N15" s="2">
        <f t="shared" si="4"/>
        <v>0</v>
      </c>
      <c r="O15" s="2"/>
      <c r="P15" s="2"/>
    </row>
    <row r="16" spans="1:16" ht="18" customHeight="1">
      <c r="A16" s="2" t="s">
        <v>15</v>
      </c>
      <c r="B16" s="2"/>
      <c r="C16" s="2">
        <f t="shared" si="0"/>
        <v>0</v>
      </c>
      <c r="D16" s="2"/>
      <c r="E16" s="2"/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>
        <f t="shared" si="3"/>
        <v>0</v>
      </c>
      <c r="M16" s="2"/>
      <c r="N16" s="2">
        <f t="shared" si="4"/>
        <v>0</v>
      </c>
      <c r="O16" s="2"/>
      <c r="P16" s="2"/>
    </row>
    <row r="17" spans="1:16" ht="18" customHeight="1">
      <c r="A17" s="2" t="s">
        <v>16</v>
      </c>
      <c r="B17" s="2">
        <v>3063</v>
      </c>
      <c r="C17" s="2">
        <f>B17</f>
        <v>3063</v>
      </c>
      <c r="D17" s="2"/>
      <c r="E17" s="2"/>
      <c r="F17" s="2">
        <v>128</v>
      </c>
      <c r="G17" s="2">
        <f t="shared" si="1"/>
        <v>128</v>
      </c>
      <c r="H17" s="2"/>
      <c r="I17" s="2">
        <f t="shared" si="2"/>
        <v>0</v>
      </c>
      <c r="J17" s="2">
        <v>1</v>
      </c>
      <c r="K17" s="2"/>
      <c r="L17" s="2">
        <f t="shared" si="3"/>
        <v>0</v>
      </c>
      <c r="M17" s="2"/>
      <c r="N17" s="2">
        <f t="shared" si="4"/>
        <v>0</v>
      </c>
      <c r="O17" s="2"/>
      <c r="P17" s="2"/>
    </row>
    <row r="18" spans="1:16" ht="18" customHeight="1">
      <c r="A18" s="2" t="s">
        <v>17</v>
      </c>
      <c r="B18" s="2">
        <v>372</v>
      </c>
      <c r="C18" s="2">
        <f>B18</f>
        <v>372</v>
      </c>
      <c r="D18" s="2"/>
      <c r="E18" s="2" t="s">
        <v>65</v>
      </c>
      <c r="F18" s="2">
        <v>13</v>
      </c>
      <c r="G18" s="2">
        <f t="shared" si="1"/>
        <v>13</v>
      </c>
      <c r="H18" s="2"/>
      <c r="I18" s="2">
        <f t="shared" si="2"/>
        <v>0</v>
      </c>
      <c r="J18" s="2">
        <v>13</v>
      </c>
      <c r="K18" s="2"/>
      <c r="L18" s="2">
        <f t="shared" si="3"/>
        <v>0</v>
      </c>
      <c r="M18" s="2"/>
      <c r="N18" s="2">
        <f t="shared" si="4"/>
        <v>0</v>
      </c>
      <c r="O18" s="2"/>
      <c r="P18" s="2"/>
    </row>
    <row r="19" spans="1:16" ht="18" customHeight="1">
      <c r="A19" s="2" t="s">
        <v>18</v>
      </c>
      <c r="B19" s="2">
        <v>264</v>
      </c>
      <c r="C19" s="2">
        <f>B19</f>
        <v>264</v>
      </c>
      <c r="D19" s="2"/>
      <c r="E19" s="2"/>
      <c r="F19" s="2"/>
      <c r="G19" s="2">
        <f t="shared" si="1"/>
        <v>0</v>
      </c>
      <c r="H19" s="2">
        <v>186</v>
      </c>
      <c r="I19" s="2">
        <f t="shared" si="2"/>
        <v>186</v>
      </c>
      <c r="J19" s="2"/>
      <c r="K19" s="2"/>
      <c r="L19" s="2">
        <f t="shared" si="3"/>
        <v>0</v>
      </c>
      <c r="M19" s="2"/>
      <c r="N19" s="2">
        <f t="shared" si="4"/>
        <v>0</v>
      </c>
      <c r="O19" s="2"/>
      <c r="P19" s="2"/>
    </row>
    <row r="20" spans="1:16" ht="18" customHeight="1">
      <c r="A20" s="2" t="s">
        <v>19</v>
      </c>
      <c r="B20" s="2">
        <v>2021</v>
      </c>
      <c r="C20" s="2">
        <f>B20</f>
        <v>2021</v>
      </c>
      <c r="D20" s="2"/>
      <c r="E20" s="2"/>
      <c r="F20" s="2">
        <v>65</v>
      </c>
      <c r="G20" s="2">
        <f t="shared" si="1"/>
        <v>65</v>
      </c>
      <c r="H20" s="2"/>
      <c r="I20" s="2">
        <f t="shared" si="2"/>
        <v>0</v>
      </c>
      <c r="J20" s="2"/>
      <c r="K20" s="2"/>
      <c r="L20" s="2">
        <f t="shared" si="3"/>
        <v>0</v>
      </c>
      <c r="M20" s="2"/>
      <c r="N20" s="2">
        <f t="shared" si="4"/>
        <v>0</v>
      </c>
      <c r="O20" s="2"/>
      <c r="P20" s="2"/>
    </row>
    <row r="21" spans="1:16" ht="18" customHeight="1">
      <c r="A21" s="2" t="s">
        <v>20</v>
      </c>
      <c r="B21" s="2">
        <v>4273</v>
      </c>
      <c r="C21" s="2">
        <f t="shared" si="0"/>
        <v>4273</v>
      </c>
      <c r="D21" s="2"/>
      <c r="E21" s="2"/>
      <c r="F21" s="2"/>
      <c r="G21" s="2">
        <f t="shared" si="1"/>
        <v>0</v>
      </c>
      <c r="H21" s="2"/>
      <c r="I21" s="2">
        <f t="shared" si="2"/>
        <v>0</v>
      </c>
      <c r="J21" s="2">
        <v>2</v>
      </c>
      <c r="K21" s="2"/>
      <c r="L21" s="2">
        <f t="shared" si="3"/>
        <v>0</v>
      </c>
      <c r="M21" s="2"/>
      <c r="N21" s="2">
        <f t="shared" si="4"/>
        <v>0</v>
      </c>
      <c r="O21" s="2"/>
      <c r="P21" s="2"/>
    </row>
    <row r="22" spans="1:16" ht="18" customHeight="1">
      <c r="A22" s="2" t="s">
        <v>21</v>
      </c>
      <c r="B22" s="2"/>
      <c r="C22" s="2">
        <f t="shared" si="0"/>
        <v>0</v>
      </c>
      <c r="D22" s="2"/>
      <c r="E22" s="2"/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>
        <f t="shared" si="3"/>
        <v>0</v>
      </c>
      <c r="M22" s="2"/>
      <c r="N22" s="2">
        <f t="shared" si="4"/>
        <v>0</v>
      </c>
      <c r="O22" s="2"/>
      <c r="P22" s="2"/>
    </row>
    <row r="23" spans="1:16" ht="18" customHeight="1">
      <c r="A23" s="2" t="s">
        <v>22</v>
      </c>
      <c r="B23" s="2"/>
      <c r="C23" s="2">
        <f t="shared" si="0"/>
        <v>0</v>
      </c>
      <c r="D23" s="2"/>
      <c r="E23" s="2"/>
      <c r="F23" s="2"/>
      <c r="G23" s="2">
        <f t="shared" si="1"/>
        <v>0</v>
      </c>
      <c r="H23" s="2"/>
      <c r="I23" s="2">
        <f t="shared" si="2"/>
        <v>0</v>
      </c>
      <c r="J23" s="2">
        <v>1</v>
      </c>
      <c r="K23" s="2"/>
      <c r="L23" s="2">
        <f t="shared" si="3"/>
        <v>0</v>
      </c>
      <c r="M23" s="2"/>
      <c r="N23" s="2">
        <f t="shared" si="4"/>
        <v>0</v>
      </c>
      <c r="O23" s="2"/>
      <c r="P23" s="2"/>
    </row>
    <row r="24" spans="1:16" ht="18" customHeight="1">
      <c r="A24" s="2" t="s">
        <v>23</v>
      </c>
      <c r="B24" s="2"/>
      <c r="C24" s="2">
        <f t="shared" si="0"/>
        <v>0</v>
      </c>
      <c r="D24" s="2"/>
      <c r="E24" s="2"/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>
        <f t="shared" si="3"/>
        <v>0</v>
      </c>
      <c r="M24" s="2"/>
      <c r="N24" s="2">
        <f t="shared" si="4"/>
        <v>0</v>
      </c>
      <c r="O24" s="2"/>
      <c r="P24" s="2"/>
    </row>
    <row r="25" spans="1:16" ht="18" customHeight="1">
      <c r="A25" s="2" t="s">
        <v>68</v>
      </c>
      <c r="B25" s="2"/>
      <c r="C25" s="2">
        <f t="shared" si="0"/>
        <v>0</v>
      </c>
      <c r="D25" s="2"/>
      <c r="E25" s="2"/>
      <c r="F25" s="2">
        <v>17</v>
      </c>
      <c r="G25" s="2">
        <f t="shared" si="1"/>
        <v>17</v>
      </c>
      <c r="H25" s="2"/>
      <c r="I25" s="2">
        <f t="shared" si="2"/>
        <v>0</v>
      </c>
      <c r="J25" s="2"/>
      <c r="K25" s="2"/>
      <c r="L25" s="2">
        <f t="shared" si="3"/>
        <v>0</v>
      </c>
      <c r="M25" s="2"/>
      <c r="N25" s="2">
        <f t="shared" si="4"/>
        <v>0</v>
      </c>
      <c r="O25" s="2"/>
      <c r="P25" s="2"/>
    </row>
    <row r="26" spans="1:16" ht="18" customHeight="1">
      <c r="A26" s="2" t="s">
        <v>24</v>
      </c>
      <c r="B26" s="2"/>
      <c r="C26" s="2">
        <f t="shared" si="0"/>
        <v>0</v>
      </c>
      <c r="D26" s="2"/>
      <c r="E26" s="2"/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>
        <f t="shared" si="3"/>
        <v>0</v>
      </c>
      <c r="M26" s="2"/>
      <c r="N26" s="2">
        <f t="shared" si="4"/>
        <v>0</v>
      </c>
      <c r="O26" s="2"/>
      <c r="P26" s="2"/>
    </row>
    <row r="27" spans="1:16" ht="18" customHeight="1">
      <c r="A27" s="2" t="s">
        <v>25</v>
      </c>
      <c r="B27" s="2">
        <v>2024</v>
      </c>
      <c r="C27" s="2">
        <f t="shared" si="0"/>
        <v>2024</v>
      </c>
      <c r="D27" s="2"/>
      <c r="E27" s="2"/>
      <c r="F27" s="2">
        <v>49</v>
      </c>
      <c r="G27" s="2">
        <f t="shared" si="1"/>
        <v>49</v>
      </c>
      <c r="H27" s="2">
        <v>249</v>
      </c>
      <c r="I27" s="2">
        <f t="shared" si="2"/>
        <v>249</v>
      </c>
      <c r="J27" s="2">
        <v>2</v>
      </c>
      <c r="K27" s="2">
        <v>57</v>
      </c>
      <c r="L27" s="2">
        <f t="shared" si="3"/>
        <v>57</v>
      </c>
      <c r="M27" s="2"/>
      <c r="N27" s="2">
        <f t="shared" si="4"/>
        <v>0</v>
      </c>
      <c r="O27" s="2"/>
      <c r="P27" s="2"/>
    </row>
    <row r="28" spans="1:16" ht="18" customHeight="1">
      <c r="A28" s="2" t="s">
        <v>26</v>
      </c>
      <c r="B28" s="2">
        <v>385</v>
      </c>
      <c r="C28" s="2">
        <f t="shared" si="0"/>
        <v>385</v>
      </c>
      <c r="D28" s="2"/>
      <c r="E28" s="2"/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>
        <f t="shared" si="3"/>
        <v>0</v>
      </c>
      <c r="M28" s="2"/>
      <c r="N28" s="2">
        <f t="shared" si="4"/>
        <v>0</v>
      </c>
      <c r="O28" s="2"/>
      <c r="P28" s="2"/>
    </row>
    <row r="29" spans="1:16" ht="18" customHeight="1">
      <c r="A29" s="2" t="s">
        <v>27</v>
      </c>
      <c r="B29" s="2"/>
      <c r="C29" s="2">
        <f t="shared" si="0"/>
        <v>0</v>
      </c>
      <c r="D29" s="2"/>
      <c r="E29" s="2"/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>
        <f t="shared" si="3"/>
        <v>0</v>
      </c>
      <c r="M29" s="2"/>
      <c r="N29" s="2">
        <f t="shared" si="4"/>
        <v>0</v>
      </c>
      <c r="O29" s="2"/>
      <c r="P29" s="2"/>
    </row>
    <row r="30" spans="1:16" ht="18" customHeight="1">
      <c r="A30" s="2" t="s">
        <v>28</v>
      </c>
      <c r="B30" s="2">
        <v>7241</v>
      </c>
      <c r="C30" s="2">
        <f t="shared" si="0"/>
        <v>7241</v>
      </c>
      <c r="D30" s="2"/>
      <c r="E30" s="2"/>
      <c r="F30" s="2">
        <v>210</v>
      </c>
      <c r="G30" s="2">
        <f t="shared" si="1"/>
        <v>210</v>
      </c>
      <c r="H30" s="2"/>
      <c r="I30" s="2">
        <f t="shared" si="2"/>
        <v>0</v>
      </c>
      <c r="J30" s="2">
        <v>4</v>
      </c>
      <c r="K30" s="2"/>
      <c r="L30" s="2">
        <f t="shared" si="3"/>
        <v>0</v>
      </c>
      <c r="M30" s="2"/>
      <c r="N30" s="2">
        <f t="shared" si="4"/>
        <v>0</v>
      </c>
      <c r="O30" s="2"/>
      <c r="P30" s="2"/>
    </row>
    <row r="31" spans="1:16" ht="18" customHeight="1">
      <c r="A31" s="2" t="s">
        <v>29</v>
      </c>
      <c r="B31" s="2">
        <v>2653</v>
      </c>
      <c r="C31" s="2">
        <f t="shared" si="0"/>
        <v>2653</v>
      </c>
      <c r="D31" s="2"/>
      <c r="E31" s="2"/>
      <c r="F31" s="2">
        <v>243</v>
      </c>
      <c r="G31" s="2">
        <f t="shared" si="1"/>
        <v>243</v>
      </c>
      <c r="H31" s="2"/>
      <c r="I31" s="2">
        <f t="shared" si="2"/>
        <v>0</v>
      </c>
      <c r="J31" s="2">
        <v>4</v>
      </c>
      <c r="K31" s="2">
        <v>53</v>
      </c>
      <c r="L31" s="2">
        <f t="shared" si="3"/>
        <v>53</v>
      </c>
      <c r="M31" s="2">
        <v>48</v>
      </c>
      <c r="N31" s="2">
        <f t="shared" si="4"/>
        <v>48</v>
      </c>
      <c r="O31" s="2"/>
      <c r="P31" s="2"/>
    </row>
    <row r="32" spans="1:16" ht="18" customHeight="1">
      <c r="A32" s="2" t="s">
        <v>30</v>
      </c>
      <c r="B32" s="2"/>
      <c r="C32" s="2">
        <f t="shared" si="0"/>
        <v>0</v>
      </c>
      <c r="D32" s="2"/>
      <c r="E32" s="2"/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>
        <f t="shared" si="3"/>
        <v>0</v>
      </c>
      <c r="M32" s="2"/>
      <c r="N32" s="2">
        <f t="shared" si="4"/>
        <v>0</v>
      </c>
      <c r="O32" s="2"/>
      <c r="P32" s="2"/>
    </row>
    <row r="33" spans="1:16" ht="18" customHeight="1">
      <c r="A33" s="2" t="s">
        <v>31</v>
      </c>
      <c r="B33" s="2"/>
      <c r="C33" s="2">
        <f t="shared" si="0"/>
        <v>0</v>
      </c>
      <c r="D33" s="2"/>
      <c r="E33" s="2"/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>
        <f t="shared" si="3"/>
        <v>0</v>
      </c>
      <c r="M33" s="2"/>
      <c r="N33" s="2">
        <f t="shared" si="4"/>
        <v>0</v>
      </c>
      <c r="O33" s="2"/>
      <c r="P33" s="2"/>
    </row>
    <row r="34" spans="1:16" ht="18" customHeight="1">
      <c r="A34" s="2" t="s">
        <v>32</v>
      </c>
      <c r="B34" s="2"/>
      <c r="C34" s="2">
        <f t="shared" si="0"/>
        <v>0</v>
      </c>
      <c r="D34" s="2"/>
      <c r="E34" s="2"/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>
        <f t="shared" si="3"/>
        <v>0</v>
      </c>
      <c r="M34" s="2"/>
      <c r="N34" s="2">
        <f t="shared" si="4"/>
        <v>0</v>
      </c>
      <c r="O34" s="2"/>
      <c r="P34" s="2"/>
    </row>
    <row r="35" spans="1:16" ht="18" customHeight="1">
      <c r="A35" s="2" t="s">
        <v>33</v>
      </c>
      <c r="B35" s="2">
        <v>756</v>
      </c>
      <c r="C35" s="2">
        <f t="shared" si="0"/>
        <v>756</v>
      </c>
      <c r="D35" s="2"/>
      <c r="E35" s="2"/>
      <c r="F35" s="2">
        <v>4</v>
      </c>
      <c r="G35" s="2">
        <f t="shared" si="1"/>
        <v>4</v>
      </c>
      <c r="H35" s="2"/>
      <c r="I35" s="2">
        <f t="shared" si="2"/>
        <v>0</v>
      </c>
      <c r="J35" s="2"/>
      <c r="K35" s="2"/>
      <c r="L35" s="2">
        <f t="shared" si="3"/>
        <v>0</v>
      </c>
      <c r="M35" s="2"/>
      <c r="N35" s="2">
        <f t="shared" si="4"/>
        <v>0</v>
      </c>
      <c r="O35" s="2"/>
      <c r="P35" s="2"/>
    </row>
    <row r="36" spans="1:16" ht="18" customHeight="1">
      <c r="A36" s="2" t="s">
        <v>34</v>
      </c>
      <c r="B36" s="2"/>
      <c r="C36" s="2">
        <f t="shared" si="0"/>
        <v>0</v>
      </c>
      <c r="D36" s="2"/>
      <c r="E36" s="2"/>
      <c r="F36" s="2"/>
      <c r="G36" s="2">
        <f t="shared" si="1"/>
        <v>0</v>
      </c>
      <c r="H36" s="2">
        <v>77</v>
      </c>
      <c r="I36" s="2">
        <f t="shared" si="2"/>
        <v>77</v>
      </c>
      <c r="J36" s="2"/>
      <c r="K36" s="2"/>
      <c r="L36" s="2">
        <f t="shared" si="3"/>
        <v>0</v>
      </c>
      <c r="M36" s="2"/>
      <c r="N36" s="2">
        <f t="shared" si="4"/>
        <v>0</v>
      </c>
      <c r="O36" s="2"/>
      <c r="P36" s="2"/>
    </row>
    <row r="37" spans="1:16" ht="18" customHeight="1">
      <c r="A37" s="2" t="s">
        <v>35</v>
      </c>
      <c r="B37" s="2"/>
      <c r="C37" s="2">
        <f t="shared" si="0"/>
        <v>0</v>
      </c>
      <c r="D37" s="2"/>
      <c r="E37" s="2"/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>
        <f t="shared" si="3"/>
        <v>0</v>
      </c>
      <c r="M37" s="2"/>
      <c r="N37" s="2">
        <f t="shared" si="4"/>
        <v>0</v>
      </c>
      <c r="O37" s="2"/>
      <c r="P37" s="2"/>
    </row>
    <row r="38" spans="1:16" ht="18" customHeight="1">
      <c r="A38" s="2" t="s">
        <v>36</v>
      </c>
      <c r="B38" s="2">
        <v>5669</v>
      </c>
      <c r="C38" s="2">
        <f t="shared" si="0"/>
        <v>5669</v>
      </c>
      <c r="D38" s="2"/>
      <c r="E38" s="2"/>
      <c r="F38" s="2">
        <v>141</v>
      </c>
      <c r="G38" s="2">
        <f t="shared" si="1"/>
        <v>141</v>
      </c>
      <c r="H38" s="2"/>
      <c r="I38" s="2">
        <f t="shared" si="2"/>
        <v>0</v>
      </c>
      <c r="J38" s="2">
        <v>2</v>
      </c>
      <c r="K38" s="2"/>
      <c r="L38" s="2">
        <f t="shared" si="3"/>
        <v>0</v>
      </c>
      <c r="M38" s="2"/>
      <c r="N38" s="2">
        <f t="shared" si="4"/>
        <v>0</v>
      </c>
      <c r="O38" s="2"/>
      <c r="P38" s="2"/>
    </row>
    <row r="39" spans="1:16" ht="18" customHeight="1">
      <c r="A39" s="2" t="s">
        <v>37</v>
      </c>
      <c r="B39" s="2">
        <v>642</v>
      </c>
      <c r="C39" s="2">
        <f t="shared" si="0"/>
        <v>642</v>
      </c>
      <c r="D39" s="2"/>
      <c r="E39" s="2" t="s">
        <v>65</v>
      </c>
      <c r="F39" s="2">
        <v>25</v>
      </c>
      <c r="G39" s="2">
        <f t="shared" si="1"/>
        <v>25</v>
      </c>
      <c r="H39" s="2">
        <v>1</v>
      </c>
      <c r="I39" s="2">
        <f t="shared" si="2"/>
        <v>1</v>
      </c>
      <c r="J39" s="2"/>
      <c r="K39" s="2"/>
      <c r="L39" s="2">
        <f t="shared" si="3"/>
        <v>0</v>
      </c>
      <c r="M39" s="2"/>
      <c r="N39" s="2">
        <f t="shared" si="4"/>
        <v>0</v>
      </c>
      <c r="O39" s="2"/>
      <c r="P39" s="2"/>
    </row>
    <row r="40" spans="1:16" ht="18" customHeight="1">
      <c r="A40" s="2" t="s">
        <v>38</v>
      </c>
      <c r="B40" s="2"/>
      <c r="C40" s="2">
        <f t="shared" si="0"/>
        <v>0</v>
      </c>
      <c r="D40" s="2"/>
      <c r="E40" s="2" t="s">
        <v>65</v>
      </c>
      <c r="F40" s="2">
        <v>3</v>
      </c>
      <c r="G40" s="2">
        <f t="shared" si="1"/>
        <v>3</v>
      </c>
      <c r="H40" s="2"/>
      <c r="I40" s="2">
        <f t="shared" si="2"/>
        <v>0</v>
      </c>
      <c r="J40" s="2">
        <v>1</v>
      </c>
      <c r="K40" s="2"/>
      <c r="L40" s="2">
        <f t="shared" si="3"/>
        <v>0</v>
      </c>
      <c r="M40" s="2"/>
      <c r="N40" s="2">
        <f t="shared" si="4"/>
        <v>0</v>
      </c>
      <c r="O40" s="2"/>
      <c r="P40" s="2"/>
    </row>
    <row r="41" spans="1:16" ht="18" customHeight="1">
      <c r="A41" s="2" t="s">
        <v>39</v>
      </c>
      <c r="B41" s="2">
        <v>271</v>
      </c>
      <c r="C41" s="2">
        <f t="shared" si="0"/>
        <v>271</v>
      </c>
      <c r="D41" s="2"/>
      <c r="E41" s="2"/>
      <c r="F41" s="2">
        <v>2</v>
      </c>
      <c r="G41" s="2">
        <f t="shared" si="1"/>
        <v>2</v>
      </c>
      <c r="H41" s="2"/>
      <c r="I41" s="2">
        <f t="shared" si="2"/>
        <v>0</v>
      </c>
      <c r="J41" s="2"/>
      <c r="K41" s="2"/>
      <c r="L41" s="2">
        <f t="shared" si="3"/>
        <v>0</v>
      </c>
      <c r="M41" s="2"/>
      <c r="N41" s="2">
        <f t="shared" si="4"/>
        <v>0</v>
      </c>
      <c r="O41" s="2"/>
      <c r="P41" s="2"/>
    </row>
    <row r="42" spans="1:16" ht="18" customHeight="1">
      <c r="A42" s="2" t="s">
        <v>40</v>
      </c>
      <c r="B42" s="2"/>
      <c r="C42" s="2">
        <f t="shared" si="0"/>
        <v>0</v>
      </c>
      <c r="D42" s="2">
        <v>2</v>
      </c>
      <c r="E42" s="2"/>
      <c r="F42" s="2">
        <v>12</v>
      </c>
      <c r="G42" s="2">
        <f t="shared" si="1"/>
        <v>12</v>
      </c>
      <c r="H42" s="2"/>
      <c r="I42" s="2">
        <f t="shared" si="2"/>
        <v>0</v>
      </c>
      <c r="J42" s="2"/>
      <c r="K42" s="2"/>
      <c r="L42" s="2">
        <f t="shared" si="3"/>
        <v>0</v>
      </c>
      <c r="M42" s="2"/>
      <c r="N42" s="2">
        <f t="shared" si="4"/>
        <v>0</v>
      </c>
      <c r="O42" s="2"/>
      <c r="P42" s="2"/>
    </row>
    <row r="43" spans="1:16" ht="18" customHeight="1">
      <c r="A43" s="2" t="s">
        <v>41</v>
      </c>
      <c r="B43" s="2"/>
      <c r="C43" s="2">
        <f t="shared" si="0"/>
        <v>0</v>
      </c>
      <c r="D43" s="2"/>
      <c r="E43" s="2"/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>
        <f t="shared" si="3"/>
        <v>0</v>
      </c>
      <c r="M43" s="2"/>
      <c r="N43" s="2">
        <f t="shared" si="4"/>
        <v>0</v>
      </c>
      <c r="O43" s="2"/>
      <c r="P43" s="2"/>
    </row>
    <row r="44" spans="1:16" ht="18" customHeight="1">
      <c r="A44" s="2" t="s">
        <v>42</v>
      </c>
      <c r="B44" s="2"/>
      <c r="C44" s="2">
        <f t="shared" si="0"/>
        <v>0</v>
      </c>
      <c r="D44" s="2"/>
      <c r="E44" s="2"/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>
        <f t="shared" si="3"/>
        <v>0</v>
      </c>
      <c r="M44" s="2"/>
      <c r="N44" s="2">
        <f t="shared" si="4"/>
        <v>0</v>
      </c>
      <c r="O44" s="2"/>
      <c r="P44" s="2"/>
    </row>
    <row r="45" spans="1:16" ht="18" customHeight="1">
      <c r="A45" s="2" t="s">
        <v>43</v>
      </c>
      <c r="B45" s="2">
        <v>16086</v>
      </c>
      <c r="C45" s="2">
        <f t="shared" si="0"/>
        <v>16086</v>
      </c>
      <c r="D45" s="2"/>
      <c r="E45" s="2"/>
      <c r="F45" s="2">
        <v>366</v>
      </c>
      <c r="G45" s="2">
        <f t="shared" si="1"/>
        <v>366</v>
      </c>
      <c r="H45" s="2">
        <v>45</v>
      </c>
      <c r="I45" s="2">
        <f t="shared" si="2"/>
        <v>45</v>
      </c>
      <c r="J45" s="2">
        <v>7</v>
      </c>
      <c r="K45" s="2">
        <v>1384</v>
      </c>
      <c r="L45" s="2">
        <f t="shared" si="3"/>
        <v>1384</v>
      </c>
      <c r="M45" s="2">
        <v>201</v>
      </c>
      <c r="N45" s="2">
        <f t="shared" si="4"/>
        <v>201</v>
      </c>
      <c r="O45" s="2">
        <v>2</v>
      </c>
      <c r="P45" s="2">
        <v>1618</v>
      </c>
    </row>
    <row r="46" spans="1:16" ht="18" customHeight="1">
      <c r="A46" s="2" t="s">
        <v>44</v>
      </c>
      <c r="B46" s="2">
        <v>599</v>
      </c>
      <c r="C46" s="2">
        <f t="shared" si="0"/>
        <v>599</v>
      </c>
      <c r="D46" s="2"/>
      <c r="E46" s="2"/>
      <c r="F46" s="2">
        <v>1</v>
      </c>
      <c r="G46" s="2">
        <f t="shared" si="1"/>
        <v>1</v>
      </c>
      <c r="H46" s="2"/>
      <c r="I46" s="2">
        <f t="shared" si="2"/>
        <v>0</v>
      </c>
      <c r="J46" s="2"/>
      <c r="K46" s="2"/>
      <c r="L46" s="2">
        <f t="shared" si="3"/>
        <v>0</v>
      </c>
      <c r="M46" s="2"/>
      <c r="N46" s="2">
        <f t="shared" si="4"/>
        <v>0</v>
      </c>
      <c r="O46" s="2"/>
      <c r="P46" s="2"/>
    </row>
    <row r="47" spans="1:16" ht="18" customHeight="1">
      <c r="A47" s="2" t="s">
        <v>45</v>
      </c>
      <c r="B47" s="2"/>
      <c r="C47" s="2">
        <f t="shared" si="0"/>
        <v>0</v>
      </c>
      <c r="D47" s="2"/>
      <c r="E47" s="2"/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>
        <f t="shared" si="3"/>
        <v>0</v>
      </c>
      <c r="M47" s="2"/>
      <c r="N47" s="2">
        <f t="shared" si="4"/>
        <v>0</v>
      </c>
      <c r="O47" s="2"/>
      <c r="P47" s="2"/>
    </row>
    <row r="48" spans="1:16" ht="18" customHeight="1">
      <c r="A48" s="2" t="s">
        <v>46</v>
      </c>
      <c r="B48" s="2"/>
      <c r="C48" s="2">
        <f t="shared" si="0"/>
        <v>0</v>
      </c>
      <c r="D48" s="2"/>
      <c r="E48" s="2"/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>
        <f t="shared" si="3"/>
        <v>0</v>
      </c>
      <c r="M48" s="2"/>
      <c r="N48" s="2">
        <f t="shared" si="4"/>
        <v>0</v>
      </c>
      <c r="O48" s="2"/>
      <c r="P48" s="2"/>
    </row>
    <row r="49" spans="1:16" ht="18" customHeight="1">
      <c r="A49" s="2" t="s">
        <v>47</v>
      </c>
      <c r="B49" s="2"/>
      <c r="C49" s="2">
        <f t="shared" si="0"/>
        <v>0</v>
      </c>
      <c r="D49" s="2"/>
      <c r="E49" s="2"/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>
        <f t="shared" si="3"/>
        <v>0</v>
      </c>
      <c r="M49" s="2"/>
      <c r="N49" s="2">
        <f t="shared" si="4"/>
        <v>0</v>
      </c>
      <c r="O49" s="2"/>
      <c r="P49" s="2"/>
    </row>
    <row r="50" spans="1:16" ht="18" customHeight="1">
      <c r="A50" s="2" t="s">
        <v>48</v>
      </c>
      <c r="B50" s="2">
        <v>64</v>
      </c>
      <c r="C50" s="2">
        <f t="shared" si="0"/>
        <v>64</v>
      </c>
      <c r="D50" s="2"/>
      <c r="E50" s="2"/>
      <c r="F50" s="2"/>
      <c r="G50" s="2">
        <f t="shared" si="1"/>
        <v>0</v>
      </c>
      <c r="H50" s="2"/>
      <c r="I50" s="2">
        <f t="shared" si="2"/>
        <v>0</v>
      </c>
      <c r="J50" s="2">
        <v>1</v>
      </c>
      <c r="K50" s="2"/>
      <c r="L50" s="2">
        <f t="shared" si="3"/>
        <v>0</v>
      </c>
      <c r="M50" s="2"/>
      <c r="N50" s="2">
        <f t="shared" si="4"/>
        <v>0</v>
      </c>
      <c r="O50" s="2"/>
      <c r="P50" s="2"/>
    </row>
    <row r="51" spans="1:16" ht="18" customHeight="1">
      <c r="A51" s="2" t="s">
        <v>49</v>
      </c>
      <c r="B51" s="2">
        <v>480</v>
      </c>
      <c r="C51" s="2">
        <f t="shared" si="0"/>
        <v>480</v>
      </c>
      <c r="D51" s="2"/>
      <c r="E51" s="2"/>
      <c r="F51" s="2"/>
      <c r="G51" s="2">
        <f t="shared" si="1"/>
        <v>0</v>
      </c>
      <c r="H51" s="2">
        <v>1</v>
      </c>
      <c r="I51" s="2">
        <f t="shared" si="2"/>
        <v>1</v>
      </c>
      <c r="J51" s="2"/>
      <c r="K51" s="2"/>
      <c r="L51" s="2">
        <f t="shared" si="3"/>
        <v>0</v>
      </c>
      <c r="M51" s="2"/>
      <c r="N51" s="2">
        <f t="shared" si="4"/>
        <v>0</v>
      </c>
      <c r="O51" s="2"/>
      <c r="P51" s="2"/>
    </row>
    <row r="52" spans="1:16" ht="18" customHeight="1">
      <c r="A52" s="2" t="s">
        <v>50</v>
      </c>
      <c r="B52" s="2">
        <v>963</v>
      </c>
      <c r="C52" s="2">
        <f t="shared" si="0"/>
        <v>963</v>
      </c>
      <c r="D52" s="2"/>
      <c r="E52" s="2"/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>
        <f t="shared" si="3"/>
        <v>0</v>
      </c>
      <c r="M52" s="2"/>
      <c r="N52" s="2">
        <f t="shared" si="4"/>
        <v>0</v>
      </c>
      <c r="O52" s="2"/>
      <c r="P52" s="2"/>
    </row>
    <row r="53" spans="1:16" ht="18" customHeight="1">
      <c r="A53" s="2" t="s">
        <v>67</v>
      </c>
      <c r="B53" s="2">
        <v>1914</v>
      </c>
      <c r="C53" s="2">
        <f t="shared" si="0"/>
        <v>1914</v>
      </c>
      <c r="D53" s="2"/>
      <c r="E53" s="2" t="s">
        <v>65</v>
      </c>
      <c r="F53" s="2">
        <v>25</v>
      </c>
      <c r="G53" s="2">
        <f t="shared" si="1"/>
        <v>25</v>
      </c>
      <c r="H53" s="2">
        <v>520</v>
      </c>
      <c r="I53" s="2">
        <f t="shared" si="2"/>
        <v>520</v>
      </c>
      <c r="J53" s="2">
        <v>23</v>
      </c>
      <c r="K53" s="2"/>
      <c r="L53" s="2">
        <f t="shared" si="3"/>
        <v>0</v>
      </c>
      <c r="M53" s="2"/>
      <c r="N53" s="2">
        <f t="shared" si="4"/>
        <v>0</v>
      </c>
      <c r="O53" s="2"/>
      <c r="P53" s="2"/>
    </row>
    <row r="54" spans="1:16" ht="18" customHeight="1" thickBot="1">
      <c r="A54" s="3" t="s">
        <v>51</v>
      </c>
      <c r="B54" s="3"/>
      <c r="C54" s="3">
        <f t="shared" si="0"/>
        <v>0</v>
      </c>
      <c r="D54" s="3"/>
      <c r="E54" s="3"/>
      <c r="F54" s="3">
        <v>154</v>
      </c>
      <c r="G54" s="3">
        <f t="shared" si="1"/>
        <v>154</v>
      </c>
      <c r="H54" s="3"/>
      <c r="I54" s="3">
        <f t="shared" si="2"/>
        <v>0</v>
      </c>
      <c r="J54" s="3"/>
      <c r="K54" s="3"/>
      <c r="L54" s="3">
        <f t="shared" si="3"/>
        <v>0</v>
      </c>
      <c r="M54" s="3"/>
      <c r="N54" s="3">
        <f t="shared" si="4"/>
        <v>0</v>
      </c>
      <c r="O54" s="3"/>
      <c r="P54" s="3"/>
    </row>
    <row r="55" spans="1:16" ht="18" customHeight="1" thickBot="1" thickTop="1">
      <c r="A55" s="1" t="s">
        <v>52</v>
      </c>
      <c r="B55" s="1">
        <f>SUM(B5:B54)</f>
        <v>51416</v>
      </c>
      <c r="C55" s="1"/>
      <c r="D55" s="1">
        <f>SUM(D5:D54)</f>
        <v>2</v>
      </c>
      <c r="E55" s="1">
        <f>SUM(E5:E54)</f>
        <v>0</v>
      </c>
      <c r="F55" s="1">
        <f>SUM(F5:F54)</f>
        <v>1579</v>
      </c>
      <c r="G55" s="1"/>
      <c r="H55" s="1">
        <f>SUM(H5:H54)</f>
        <v>1352</v>
      </c>
      <c r="I55" s="1"/>
      <c r="J55" s="1">
        <f>SUM(J5:J54)</f>
        <v>65</v>
      </c>
      <c r="K55" s="1">
        <f>SUM(K5:K54)</f>
        <v>1498</v>
      </c>
      <c r="L55" s="1"/>
      <c r="M55" s="1">
        <f>SUM(M5:M54)</f>
        <v>249</v>
      </c>
      <c r="N55" s="1"/>
      <c r="O55" s="1">
        <f>SUM(O5:O54)</f>
        <v>2</v>
      </c>
      <c r="P55" s="1">
        <f>SUM(P5:P54)</f>
        <v>1618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SUM(C5:C54)</f>
        <v>51416</v>
      </c>
      <c r="D57" s="1">
        <f>D55</f>
        <v>2</v>
      </c>
      <c r="E57" s="1">
        <f>E55</f>
        <v>0</v>
      </c>
      <c r="F57" s="1"/>
      <c r="G57" s="1">
        <f>SUM(G5:G54)</f>
        <v>1579</v>
      </c>
      <c r="H57" s="1"/>
      <c r="I57" s="1">
        <f>SUM(I5:I54)</f>
        <v>1352</v>
      </c>
      <c r="J57" s="1">
        <f>J55</f>
        <v>65</v>
      </c>
      <c r="K57" s="1"/>
      <c r="L57" s="1">
        <f>SUM(L5:L54)</f>
        <v>1498</v>
      </c>
      <c r="M57" s="1"/>
      <c r="N57" s="1">
        <f>SUM(N5:N54)</f>
        <v>249</v>
      </c>
      <c r="O57" s="1">
        <f>O55</f>
        <v>2</v>
      </c>
      <c r="P57" s="1">
        <f>P55</f>
        <v>1618</v>
      </c>
    </row>
    <row r="58" s="6" customFormat="1" ht="18" customHeight="1" thickTop="1"/>
    <row r="59" s="6" customFormat="1" ht="18" customHeight="1">
      <c r="A59" s="6" t="s">
        <v>54</v>
      </c>
    </row>
    <row r="60" spans="1:6" s="6" customFormat="1" ht="18" customHeight="1">
      <c r="A60" s="6" t="s">
        <v>10</v>
      </c>
      <c r="F60" s="6">
        <v>896</v>
      </c>
    </row>
    <row r="61" s="6" customFormat="1" ht="18" customHeight="1"/>
    <row r="62" spans="1:7" s="7" customFormat="1" ht="18" customHeight="1">
      <c r="A62" s="7" t="s">
        <v>66</v>
      </c>
      <c r="G62" s="7">
        <f>F60</f>
        <v>896</v>
      </c>
    </row>
    <row r="63" s="6" customFormat="1" ht="18" customHeight="1"/>
    <row r="64" s="6" customFormat="1" ht="18" customHeight="1"/>
    <row r="65" s="6" customFormat="1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7" sqref="C57"/>
    </sheetView>
  </sheetViews>
  <sheetFormatPr defaultColWidth="9.00390625" defaultRowHeight="15.75"/>
  <cols>
    <col min="1" max="1" width="18.125" style="5" customWidth="1"/>
    <col min="2" max="2" width="9.00390625" style="5" customWidth="1"/>
    <col min="3" max="3" width="9.375" style="5" bestFit="1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80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44">
        <f>66+72+82+110+77+65+71+76+71</f>
        <v>690</v>
      </c>
      <c r="C5" s="2">
        <f>September!C5+B5</f>
        <v>2462</v>
      </c>
      <c r="D5" s="2"/>
      <c r="E5" s="2"/>
      <c r="F5" s="47"/>
      <c r="G5" s="2">
        <f>September!G5+F5</f>
        <v>8</v>
      </c>
      <c r="H5" s="32"/>
      <c r="I5" s="2">
        <f>September!I5+H5</f>
        <v>60</v>
      </c>
      <c r="J5" s="2">
        <f>2+1+2+1+1</f>
        <v>7</v>
      </c>
      <c r="K5" s="49">
        <f>1</f>
        <v>1</v>
      </c>
      <c r="L5" s="2">
        <f>September!L5+K5</f>
        <v>1</v>
      </c>
      <c r="M5" s="49"/>
      <c r="N5" s="2">
        <f>September!N5+M5</f>
        <v>0</v>
      </c>
      <c r="O5" s="2"/>
      <c r="P5" s="2"/>
    </row>
    <row r="6" spans="1:16" ht="18" customHeight="1">
      <c r="A6" s="2" t="s">
        <v>5</v>
      </c>
      <c r="B6" s="44"/>
      <c r="C6" s="2">
        <f>September!C6+B6</f>
        <v>0</v>
      </c>
      <c r="D6" s="2"/>
      <c r="E6" s="2"/>
      <c r="F6" s="47"/>
      <c r="G6" s="2">
        <f>September!G6+F6</f>
        <v>0</v>
      </c>
      <c r="H6" s="32"/>
      <c r="I6" s="2">
        <f>September!I6+H6</f>
        <v>0</v>
      </c>
      <c r="J6" s="2"/>
      <c r="K6" s="49"/>
      <c r="L6" s="2">
        <f>September!L6+K6</f>
        <v>0</v>
      </c>
      <c r="M6" s="49"/>
      <c r="N6" s="2">
        <f>September!N6+M6</f>
        <v>0</v>
      </c>
      <c r="O6" s="2"/>
      <c r="P6" s="2"/>
    </row>
    <row r="7" spans="1:16" ht="18" customHeight="1">
      <c r="A7" s="2" t="s">
        <v>6</v>
      </c>
      <c r="B7" s="44">
        <f>197</f>
        <v>197</v>
      </c>
      <c r="C7" s="2">
        <f>September!C7+B7</f>
        <v>197</v>
      </c>
      <c r="D7" s="2"/>
      <c r="E7" s="2"/>
      <c r="F7" s="47"/>
      <c r="G7" s="2">
        <f>September!G7+F7</f>
        <v>33</v>
      </c>
      <c r="H7" s="32"/>
      <c r="I7" s="2">
        <f>September!I7+H7</f>
        <v>718</v>
      </c>
      <c r="J7" s="2">
        <f>1</f>
        <v>1</v>
      </c>
      <c r="K7" s="49"/>
      <c r="L7" s="2">
        <f>September!L7+K7</f>
        <v>1</v>
      </c>
      <c r="M7" s="49"/>
      <c r="N7" s="2">
        <f>September!N7+M7</f>
        <v>2</v>
      </c>
      <c r="O7" s="2"/>
      <c r="P7" s="2"/>
    </row>
    <row r="8" spans="1:16" ht="18" customHeight="1">
      <c r="A8" s="2" t="s">
        <v>7</v>
      </c>
      <c r="B8" s="44">
        <f>92+38+25+65+120+108</f>
        <v>448</v>
      </c>
      <c r="C8" s="2">
        <f>September!C8+B8</f>
        <v>5079</v>
      </c>
      <c r="D8" s="2"/>
      <c r="E8" s="2"/>
      <c r="F8" s="47"/>
      <c r="G8" s="2">
        <f>September!G8+F8</f>
        <v>42</v>
      </c>
      <c r="H8" s="32"/>
      <c r="I8" s="2">
        <f>September!I8+H8</f>
        <v>46</v>
      </c>
      <c r="J8" s="2"/>
      <c r="K8" s="49"/>
      <c r="L8" s="2">
        <f>September!L8+K8</f>
        <v>0</v>
      </c>
      <c r="M8" s="49"/>
      <c r="N8" s="2">
        <f>September!N8+M8</f>
        <v>0</v>
      </c>
      <c r="O8" s="2"/>
      <c r="P8" s="2"/>
    </row>
    <row r="9" spans="1:16" ht="18" customHeight="1">
      <c r="A9" s="2" t="s">
        <v>8</v>
      </c>
      <c r="B9" s="44">
        <f>62+90+48+24+60+145+80</f>
        <v>509</v>
      </c>
      <c r="C9" s="2">
        <f>September!C9+B9</f>
        <v>6143</v>
      </c>
      <c r="D9" s="2"/>
      <c r="E9" s="2"/>
      <c r="F9" s="47"/>
      <c r="G9" s="2">
        <f>September!G9+F9</f>
        <v>92</v>
      </c>
      <c r="H9" s="32">
        <f>36+2+3</f>
        <v>41</v>
      </c>
      <c r="I9" s="2">
        <f>September!I9+H9</f>
        <v>331</v>
      </c>
      <c r="J9" s="2">
        <f>1+1+3+1+1</f>
        <v>7</v>
      </c>
      <c r="K9" s="49"/>
      <c r="L9" s="2">
        <f>September!L9+K9</f>
        <v>13</v>
      </c>
      <c r="M9" s="49"/>
      <c r="N9" s="2">
        <f>September!N9+M9</f>
        <v>8</v>
      </c>
      <c r="O9" s="2"/>
      <c r="P9" s="2"/>
    </row>
    <row r="10" spans="1:16" ht="18" customHeight="1">
      <c r="A10" s="2" t="s">
        <v>10</v>
      </c>
      <c r="B10" s="44">
        <f>70+46+428+101</f>
        <v>645</v>
      </c>
      <c r="C10" s="2">
        <f>September!C10+B10</f>
        <v>5230</v>
      </c>
      <c r="D10" s="2"/>
      <c r="E10" s="2"/>
      <c r="F10" s="47">
        <f>22+13+20+26</f>
        <v>81</v>
      </c>
      <c r="G10" s="2">
        <f>September!G10+F10</f>
        <v>251</v>
      </c>
      <c r="H10" s="32"/>
      <c r="I10" s="2">
        <f>September!I10+H10</f>
        <v>94</v>
      </c>
      <c r="J10" s="2">
        <f>1+2+2</f>
        <v>5</v>
      </c>
      <c r="K10" s="49"/>
      <c r="L10" s="2">
        <f>September!L10+K10</f>
        <v>0</v>
      </c>
      <c r="M10" s="49"/>
      <c r="N10" s="2">
        <f>September!N10+M10</f>
        <v>0</v>
      </c>
      <c r="O10" s="2"/>
      <c r="P10" s="2"/>
    </row>
    <row r="11" spans="1:16" ht="18" customHeight="1">
      <c r="A11" s="2" t="s">
        <v>9</v>
      </c>
      <c r="B11" s="44">
        <f>65+141+74+100+75+240+22+61</f>
        <v>778</v>
      </c>
      <c r="C11" s="2">
        <f>September!C11+B11</f>
        <v>2776</v>
      </c>
      <c r="D11" s="2"/>
      <c r="E11" s="2" t="s">
        <v>65</v>
      </c>
      <c r="F11" s="47">
        <f>69</f>
        <v>69</v>
      </c>
      <c r="G11" s="2">
        <f>September!G11+F11</f>
        <v>415</v>
      </c>
      <c r="H11" s="32"/>
      <c r="I11" s="2">
        <f>September!I11+H11</f>
        <v>868</v>
      </c>
      <c r="J11" s="2">
        <f>2+4+1+3+9</f>
        <v>19</v>
      </c>
      <c r="K11" s="49"/>
      <c r="L11" s="2">
        <f>September!L11+K11</f>
        <v>4</v>
      </c>
      <c r="M11" s="49"/>
      <c r="N11" s="2">
        <f>September!N11+M11</f>
        <v>3</v>
      </c>
      <c r="O11" s="2"/>
      <c r="P11" s="2"/>
    </row>
    <row r="12" spans="1:16" ht="18" customHeight="1">
      <c r="A12" s="2" t="s">
        <v>11</v>
      </c>
      <c r="B12" s="44"/>
      <c r="C12" s="2">
        <f>September!C12+B12</f>
        <v>0</v>
      </c>
      <c r="D12" s="2"/>
      <c r="E12" s="2"/>
      <c r="F12" s="47"/>
      <c r="G12" s="2">
        <f>September!G12+F12</f>
        <v>0</v>
      </c>
      <c r="H12" s="32"/>
      <c r="I12" s="2">
        <f>September!I12+H12</f>
        <v>0</v>
      </c>
      <c r="J12" s="2">
        <f>4</f>
        <v>4</v>
      </c>
      <c r="K12" s="49"/>
      <c r="L12" s="2">
        <f>September!L12+K12</f>
        <v>0</v>
      </c>
      <c r="M12" s="49"/>
      <c r="N12" s="2">
        <f>September!N12+M12</f>
        <v>0</v>
      </c>
      <c r="O12" s="2"/>
      <c r="P12" s="2"/>
    </row>
    <row r="13" spans="1:16" ht="18" customHeight="1">
      <c r="A13" s="2" t="s">
        <v>12</v>
      </c>
      <c r="B13" s="44"/>
      <c r="C13" s="2">
        <f>September!C13+B13</f>
        <v>0</v>
      </c>
      <c r="D13" s="2"/>
      <c r="E13" s="2"/>
      <c r="F13" s="47"/>
      <c r="G13" s="2">
        <f>September!G13+F13</f>
        <v>0</v>
      </c>
      <c r="H13" s="32"/>
      <c r="I13" s="2">
        <f>September!I13+H13</f>
        <v>0</v>
      </c>
      <c r="J13" s="2"/>
      <c r="K13" s="49"/>
      <c r="L13" s="2">
        <f>September!L13+K13</f>
        <v>0</v>
      </c>
      <c r="M13" s="49"/>
      <c r="N13" s="2">
        <f>September!N13+M13</f>
        <v>0</v>
      </c>
      <c r="O13" s="2"/>
      <c r="P13" s="2"/>
    </row>
    <row r="14" spans="1:16" ht="18" customHeight="1">
      <c r="A14" s="2" t="s">
        <v>13</v>
      </c>
      <c r="B14" s="44">
        <f>50</f>
        <v>50</v>
      </c>
      <c r="C14" s="2">
        <f>September!C14+B14</f>
        <v>50</v>
      </c>
      <c r="D14" s="2"/>
      <c r="E14" s="2" t="s">
        <v>65</v>
      </c>
      <c r="F14" s="47"/>
      <c r="G14" s="2">
        <f>September!G14+F14</f>
        <v>43</v>
      </c>
      <c r="H14" s="32"/>
      <c r="I14" s="2">
        <f>September!I14+H14</f>
        <v>10</v>
      </c>
      <c r="J14" s="2">
        <f>1+1</f>
        <v>2</v>
      </c>
      <c r="K14" s="49"/>
      <c r="L14" s="2">
        <f>September!L14+K14</f>
        <v>0</v>
      </c>
      <c r="M14" s="49"/>
      <c r="N14" s="2">
        <f>September!N14+M14</f>
        <v>0</v>
      </c>
      <c r="O14" s="2"/>
      <c r="P14" s="2"/>
    </row>
    <row r="15" spans="1:16" ht="18" customHeight="1">
      <c r="A15" s="2" t="s">
        <v>14</v>
      </c>
      <c r="B15" s="44">
        <f>140+70+90+36+58+90+120+70+75+61+37+23+69+74+70</f>
        <v>1083</v>
      </c>
      <c r="C15" s="2">
        <f>September!C15+B15</f>
        <v>5179</v>
      </c>
      <c r="D15" s="2"/>
      <c r="E15" s="2"/>
      <c r="F15" s="47"/>
      <c r="G15" s="2">
        <f>September!G15+F15</f>
        <v>169</v>
      </c>
      <c r="H15" s="32"/>
      <c r="I15" s="2">
        <f>September!I15+H15</f>
        <v>2</v>
      </c>
      <c r="J15" s="2">
        <f>2+2</f>
        <v>4</v>
      </c>
      <c r="K15" s="49"/>
      <c r="L15" s="2">
        <f>September!L15+K15</f>
        <v>0</v>
      </c>
      <c r="M15" s="49"/>
      <c r="N15" s="2">
        <f>September!N15+M15</f>
        <v>0</v>
      </c>
      <c r="O15" s="2"/>
      <c r="P15" s="2"/>
    </row>
    <row r="16" spans="1:16" ht="18" customHeight="1">
      <c r="A16" s="2" t="s">
        <v>15</v>
      </c>
      <c r="B16" s="44"/>
      <c r="C16" s="2">
        <f>September!C16+B16</f>
        <v>0</v>
      </c>
      <c r="D16" s="2"/>
      <c r="E16" s="2"/>
      <c r="F16" s="47"/>
      <c r="G16" s="2">
        <f>September!G16+F16</f>
        <v>0</v>
      </c>
      <c r="H16" s="32"/>
      <c r="I16" s="2">
        <f>September!I16+H16</f>
        <v>0</v>
      </c>
      <c r="J16" s="2"/>
      <c r="K16" s="49"/>
      <c r="L16" s="2">
        <f>September!L16+K16</f>
        <v>0</v>
      </c>
      <c r="M16" s="49"/>
      <c r="N16" s="2">
        <f>September!N16+M16</f>
        <v>0</v>
      </c>
      <c r="O16" s="2"/>
      <c r="P16" s="2"/>
    </row>
    <row r="17" spans="1:16" ht="18" customHeight="1">
      <c r="A17" s="2" t="s">
        <v>16</v>
      </c>
      <c r="B17" s="44">
        <f>67+75+170+70+84+80+55+90+75+90+90</f>
        <v>946</v>
      </c>
      <c r="C17" s="2">
        <f>September!C17+B17</f>
        <v>10940</v>
      </c>
      <c r="D17" s="2"/>
      <c r="E17" s="2"/>
      <c r="F17" s="47">
        <f>3+1+1</f>
        <v>5</v>
      </c>
      <c r="G17" s="2">
        <f>September!G17+F17</f>
        <v>136</v>
      </c>
      <c r="H17" s="32"/>
      <c r="I17" s="2">
        <f>September!I17+H17</f>
        <v>172</v>
      </c>
      <c r="J17" s="2">
        <f>1</f>
        <v>1</v>
      </c>
      <c r="K17" s="49"/>
      <c r="L17" s="2">
        <f>September!L17+K17</f>
        <v>0</v>
      </c>
      <c r="M17" s="49"/>
      <c r="N17" s="2">
        <f>September!N17+M17</f>
        <v>0</v>
      </c>
      <c r="O17" s="2"/>
      <c r="P17" s="2"/>
    </row>
    <row r="18" spans="1:16" ht="18" customHeight="1">
      <c r="A18" s="2" t="s">
        <v>17</v>
      </c>
      <c r="B18" s="44">
        <f>70+80+130</f>
        <v>280</v>
      </c>
      <c r="C18" s="2">
        <f>September!C18+B18</f>
        <v>4486</v>
      </c>
      <c r="D18" s="2">
        <f>1+1+5+1</f>
        <v>8</v>
      </c>
      <c r="E18" s="2" t="s">
        <v>65</v>
      </c>
      <c r="F18" s="47">
        <f>2+1+1+1+1+1+1+1+1+1+1+1+1+1+1+2+1+1+1+2+1+1+1+1+1+3+2+2+1+1+1+1+1+1+1+1+1+2+1</f>
        <v>47</v>
      </c>
      <c r="G18" s="2">
        <f>September!G18+F18</f>
        <v>356</v>
      </c>
      <c r="H18" s="32">
        <f>2+6+2+7</f>
        <v>17</v>
      </c>
      <c r="I18" s="2">
        <f>September!I18+H18</f>
        <v>319</v>
      </c>
      <c r="J18" s="2">
        <f>1+4+1+2+1+4+1+1+1+1+2+3+1+3+1+2+1+1+1+1+1+1+1+2+1+1+2+2+1+4+3+1+3+1+1+1+1</f>
        <v>60</v>
      </c>
      <c r="K18" s="49">
        <f>2+30</f>
        <v>32</v>
      </c>
      <c r="L18" s="2">
        <f>September!L18+K18</f>
        <v>210</v>
      </c>
      <c r="M18" s="49">
        <f>6+118</f>
        <v>124</v>
      </c>
      <c r="N18" s="2">
        <f>September!N18+M18</f>
        <v>180</v>
      </c>
      <c r="O18" s="2"/>
      <c r="P18" s="2"/>
    </row>
    <row r="19" spans="1:16" ht="18" customHeight="1">
      <c r="A19" s="2" t="s">
        <v>18</v>
      </c>
      <c r="B19" s="44">
        <f>240+98+131+65+48+35+22+120+150</f>
        <v>909</v>
      </c>
      <c r="C19" s="2">
        <f>September!C19+B19</f>
        <v>6199</v>
      </c>
      <c r="D19" s="2">
        <f>1</f>
        <v>1</v>
      </c>
      <c r="E19" s="2"/>
      <c r="F19" s="47">
        <f>1+1+1</f>
        <v>3</v>
      </c>
      <c r="G19" s="2">
        <f>September!G19+F19</f>
        <v>67</v>
      </c>
      <c r="H19" s="32">
        <f>95+52+102</f>
        <v>249</v>
      </c>
      <c r="I19" s="2">
        <f>September!I19+H19</f>
        <v>3540</v>
      </c>
      <c r="J19" s="2">
        <f>1+1+2+1+2+1+1+1+1+3+1+1+1+3+2+3+4+1+4+1</f>
        <v>35</v>
      </c>
      <c r="K19" s="49"/>
      <c r="L19" s="2">
        <f>September!L19+K19</f>
        <v>44</v>
      </c>
      <c r="M19" s="49"/>
      <c r="N19" s="2">
        <f>September!N19+M19</f>
        <v>0</v>
      </c>
      <c r="O19" s="2"/>
      <c r="P19" s="2"/>
    </row>
    <row r="20" spans="1:16" ht="18" customHeight="1">
      <c r="A20" s="2" t="s">
        <v>19</v>
      </c>
      <c r="B20" s="44">
        <f>62+190+62+64+87+87+90+91+67+76+132+81+69+160+100+155+107+63+310+60+60+121+71+73+185+129+44+418+121+66+16+71+29+75+65+106+104+191+128+158+120+59+65+50+90+237+72+139</f>
        <v>5176</v>
      </c>
      <c r="C20" s="2">
        <f>September!C20+B20</f>
        <v>34839</v>
      </c>
      <c r="D20" s="2"/>
      <c r="E20" s="2"/>
      <c r="F20" s="47">
        <f>1+1+12</f>
        <v>14</v>
      </c>
      <c r="G20" s="2">
        <f>September!G20+F20</f>
        <v>384</v>
      </c>
      <c r="H20" s="32"/>
      <c r="I20" s="2">
        <f>September!I20+H20</f>
        <v>527</v>
      </c>
      <c r="J20" s="2">
        <f>6+4+3+1+1+1</f>
        <v>16</v>
      </c>
      <c r="K20" s="49"/>
      <c r="L20" s="2">
        <f>September!L20+K20</f>
        <v>15</v>
      </c>
      <c r="M20" s="49"/>
      <c r="N20" s="2">
        <f>September!N20+M20</f>
        <v>0</v>
      </c>
      <c r="O20" s="2"/>
      <c r="P20" s="2"/>
    </row>
    <row r="21" spans="1:16" ht="18" customHeight="1">
      <c r="A21" s="2" t="s">
        <v>20</v>
      </c>
      <c r="B21" s="44">
        <f>190+275+94+63+59+59+31+23+65+89+92+63+120+58+67+119+260+52+200+300+120+172+125+250+65+180+175+174+149+86+62+60+62+230+131+96+60+90+480+140+139+178+70+60+59+71+68+117+300+180+66+14+63+8+7+71+101+121+22+103+78+60+71+138+118+51+69+280+49+90+73+80+84+59+237+5+79+28+50+110+66+58+168+72+53+75+81+140+78+66+106+78+80+75+104+110+122+119+34+23+58+109+81+66+92+60+71+53+5+162+62+77+116+71+151+121+147+60+195+121+92+123+92+600+97+108+116+77+63+64+6+6+205+189+190+137+165+73+165+535+59+280+84+155+76+289+122+66+123+216+68+107+139+960+150+120+360+71+177+109+147+60+66</f>
        <v>19506</v>
      </c>
      <c r="C21" s="2">
        <f>September!C21+B21</f>
        <v>109718</v>
      </c>
      <c r="D21" s="2"/>
      <c r="E21" s="2"/>
      <c r="F21" s="47">
        <f>2+2+3+1</f>
        <v>8</v>
      </c>
      <c r="G21" s="2">
        <f>September!G21+F21</f>
        <v>85</v>
      </c>
      <c r="H21" s="32">
        <f>1</f>
        <v>1</v>
      </c>
      <c r="I21" s="2">
        <f>September!I21+H21</f>
        <v>475</v>
      </c>
      <c r="J21" s="2">
        <f>1+2+4+6+4</f>
        <v>17</v>
      </c>
      <c r="K21" s="49"/>
      <c r="L21" s="2">
        <f>September!L21+K21</f>
        <v>0</v>
      </c>
      <c r="M21" s="49"/>
      <c r="N21" s="2">
        <f>September!N21+M21</f>
        <v>0</v>
      </c>
      <c r="O21" s="2"/>
      <c r="P21" s="2"/>
    </row>
    <row r="22" spans="1:16" ht="18" customHeight="1">
      <c r="A22" s="2" t="s">
        <v>21</v>
      </c>
      <c r="B22" s="44"/>
      <c r="C22" s="2">
        <f>September!C22+B22</f>
        <v>0</v>
      </c>
      <c r="D22" s="2"/>
      <c r="E22" s="2"/>
      <c r="F22" s="47"/>
      <c r="G22" s="2">
        <f>September!G22+F22</f>
        <v>2</v>
      </c>
      <c r="H22" s="32"/>
      <c r="I22" s="2">
        <f>September!I22+H22</f>
        <v>0</v>
      </c>
      <c r="J22" s="2"/>
      <c r="K22" s="49"/>
      <c r="L22" s="2">
        <f>September!L22+K22</f>
        <v>0</v>
      </c>
      <c r="M22" s="49"/>
      <c r="N22" s="2">
        <f>September!N22+M22</f>
        <v>0</v>
      </c>
      <c r="O22" s="2"/>
      <c r="P22" s="2"/>
    </row>
    <row r="23" spans="1:16" ht="18" customHeight="1">
      <c r="A23" s="2" t="s">
        <v>22</v>
      </c>
      <c r="B23" s="44"/>
      <c r="C23" s="2">
        <f>September!C23+B23</f>
        <v>0</v>
      </c>
      <c r="D23" s="2"/>
      <c r="E23" s="2"/>
      <c r="F23" s="47"/>
      <c r="G23" s="2">
        <f>September!G23+F23</f>
        <v>0</v>
      </c>
      <c r="H23" s="32"/>
      <c r="I23" s="2">
        <f>September!I23+H23</f>
        <v>1</v>
      </c>
      <c r="J23" s="2"/>
      <c r="K23" s="49"/>
      <c r="L23" s="2">
        <f>September!L23+K23</f>
        <v>0</v>
      </c>
      <c r="M23" s="49"/>
      <c r="N23" s="2">
        <f>September!N23+M23</f>
        <v>0</v>
      </c>
      <c r="O23" s="2"/>
      <c r="P23" s="2"/>
    </row>
    <row r="24" spans="1:16" ht="18" customHeight="1">
      <c r="A24" s="2" t="s">
        <v>23</v>
      </c>
      <c r="B24" s="44"/>
      <c r="C24" s="2">
        <f>September!C24+B24</f>
        <v>0</v>
      </c>
      <c r="D24" s="2"/>
      <c r="E24" s="2"/>
      <c r="F24" s="47"/>
      <c r="G24" s="2">
        <f>September!G24+F24</f>
        <v>0</v>
      </c>
      <c r="H24" s="32"/>
      <c r="I24" s="2">
        <f>September!I24+H24</f>
        <v>7</v>
      </c>
      <c r="J24" s="2"/>
      <c r="K24" s="49"/>
      <c r="L24" s="2">
        <f>September!L24+K24</f>
        <v>0</v>
      </c>
      <c r="M24" s="49"/>
      <c r="N24" s="2">
        <f>September!N24+M24</f>
        <v>0</v>
      </c>
      <c r="O24" s="2"/>
      <c r="P24" s="2"/>
    </row>
    <row r="25" spans="1:16" ht="18" customHeight="1">
      <c r="A25" s="2" t="s">
        <v>68</v>
      </c>
      <c r="B25" s="44"/>
      <c r="C25" s="2">
        <f>September!C25+B25</f>
        <v>0</v>
      </c>
      <c r="D25" s="2"/>
      <c r="E25" s="2"/>
      <c r="F25" s="47"/>
      <c r="G25" s="2">
        <f>September!G25+F25</f>
        <v>17</v>
      </c>
      <c r="H25" s="32"/>
      <c r="I25" s="2">
        <f>September!I25+H25</f>
        <v>2</v>
      </c>
      <c r="J25" s="2"/>
      <c r="K25" s="49"/>
      <c r="L25" s="2">
        <f>September!L25+K25</f>
        <v>0</v>
      </c>
      <c r="M25" s="49"/>
      <c r="N25" s="2">
        <f>September!N25+M25</f>
        <v>0</v>
      </c>
      <c r="O25" s="2"/>
      <c r="P25" s="2"/>
    </row>
    <row r="26" spans="1:16" ht="18" customHeight="1">
      <c r="A26" s="2" t="s">
        <v>24</v>
      </c>
      <c r="B26" s="44">
        <f>1+3+10+10+10+4</f>
        <v>38</v>
      </c>
      <c r="C26" s="2">
        <f>September!C26+B26</f>
        <v>38</v>
      </c>
      <c r="D26" s="2"/>
      <c r="E26" s="2" t="s">
        <v>65</v>
      </c>
      <c r="F26" s="47">
        <f>1</f>
        <v>1</v>
      </c>
      <c r="G26" s="2">
        <f>September!G26+F26</f>
        <v>13</v>
      </c>
      <c r="H26" s="32">
        <f>1+1+1+7+7+1+1</f>
        <v>19</v>
      </c>
      <c r="I26" s="2">
        <f>September!I26+H26</f>
        <v>31</v>
      </c>
      <c r="J26" s="2">
        <f>1+1+1+1+2+1+1+1+1+1+1+1+4+3+9+2+1</f>
        <v>32</v>
      </c>
      <c r="K26" s="49"/>
      <c r="L26" s="2">
        <f>September!L26+K26</f>
        <v>52</v>
      </c>
      <c r="M26" s="49"/>
      <c r="N26" s="2">
        <f>September!N26+M26</f>
        <v>0</v>
      </c>
      <c r="O26" s="2"/>
      <c r="P26" s="2"/>
    </row>
    <row r="27" spans="1:16" ht="18" customHeight="1">
      <c r="A27" s="2" t="s">
        <v>25</v>
      </c>
      <c r="B27" s="44">
        <f>47+10+5+15+1+11+19+19+5+1+10+6+8+8+36+3+74+29+19+62+16+21+28+37+13+5+32+25+12+20+7+7+58+3+2+2+1+19+2+4+5+3+12+100+2+3+4+13+68+52+67+64+91+9+248+126+179+97+47+3+4+16+17+24+32+18+21+14+10+52+68+15+47+32+14+3+27+12+25+61+17+19+57+84+101+16+217+770+15+18+102+100+41+21+41+24+40+24+19+47+11+25+67+21+2+25+8+36+6+30+15+38+15+12+13+2+2</f>
        <v>4508</v>
      </c>
      <c r="C27" s="2">
        <f>September!C27+B27</f>
        <v>31473</v>
      </c>
      <c r="D27" s="2">
        <f>7+5+1+8</f>
        <v>21</v>
      </c>
      <c r="E27" s="2" t="s">
        <v>65</v>
      </c>
      <c r="F27" s="47">
        <f>2+1+1+6+8+16+2+4+1+3+1+2+8+7+2+3+1+2+1+1+1+3+2+5+2+1+1+1+1+1+4</f>
        <v>94</v>
      </c>
      <c r="G27" s="2">
        <f>September!G27+F27</f>
        <v>971</v>
      </c>
      <c r="H27" s="32">
        <f>11+58+11+43+29+22+5+1+3+70+5+112+2+4+3+61+11+17+1+7+6+4+1+120+2+1+37+1+3+92+82+10+5+12+9+2+1+1+39+60+7+2+1</f>
        <v>974</v>
      </c>
      <c r="I27" s="2">
        <f>September!I27+H27</f>
        <v>6701</v>
      </c>
      <c r="J27" s="2">
        <f>1+6+10+3+1+9+6+4+2+1+3+3+3+8+5+2+2+6+7+4+4+2+4+6+1+5+1+2+1+1+2+2+1+1+1+30+13+4+1+3+5+1+17+6+9+1+1+11+7+1+2+4+2+2+2+1+3+1+1+1+6+6+9+12+1+8+2+12+2+2+1+10</f>
        <v>320</v>
      </c>
      <c r="K27" s="49">
        <f>1+18+19+7+20+10+10+11+12+73+43+31+17+1+21</f>
        <v>294</v>
      </c>
      <c r="L27" s="2">
        <f>September!L27+K27</f>
        <v>1517</v>
      </c>
      <c r="M27" s="49">
        <f>4</f>
        <v>4</v>
      </c>
      <c r="N27" s="2">
        <f>September!N27+M27</f>
        <v>269</v>
      </c>
      <c r="O27" s="2"/>
      <c r="P27" s="2"/>
    </row>
    <row r="28" spans="1:16" ht="18" customHeight="1">
      <c r="A28" s="2" t="s">
        <v>26</v>
      </c>
      <c r="B28" s="44"/>
      <c r="C28" s="2">
        <f>September!C28+B28</f>
        <v>858</v>
      </c>
      <c r="D28" s="2"/>
      <c r="E28" s="2"/>
      <c r="F28" s="47"/>
      <c r="G28" s="2">
        <f>September!G28+F28</f>
        <v>7</v>
      </c>
      <c r="H28" s="32"/>
      <c r="I28" s="2">
        <f>September!I28+H28</f>
        <v>0</v>
      </c>
      <c r="J28" s="2"/>
      <c r="K28" s="49"/>
      <c r="L28" s="2">
        <f>September!L28+K28</f>
        <v>0</v>
      </c>
      <c r="M28" s="49"/>
      <c r="N28" s="2">
        <f>September!N28+M28</f>
        <v>0</v>
      </c>
      <c r="O28" s="2"/>
      <c r="P28" s="2"/>
    </row>
    <row r="29" spans="1:16" ht="18" customHeight="1">
      <c r="A29" s="2" t="s">
        <v>27</v>
      </c>
      <c r="B29" s="44">
        <f>69+70+85+84+14+32+19+68+46+25+71+56+85+56+70+46+58+80+76+76+69+80+74+96+68+64+61+83+22+14+16+4+23+31+20+96+104+20+66+50+39+89+89+8+89+29+1+63+61+92+80+68+73+60+62+116+76+20+61+67+81+62+74+87+66+25+49+75+34+72+68+41+59+8+27+18+10+100+175+63+32+3+7+73+62+150+43+120+82+82+70+33+65+47+182+29+24+5+138+72+76+68+85+60+62+61+195+116+67+24+241+81+5+6+4</f>
        <v>7154</v>
      </c>
      <c r="C29" s="2">
        <f>September!C29+B29</f>
        <v>96717</v>
      </c>
      <c r="D29" s="2">
        <f>1+1+2+1+1</f>
        <v>6</v>
      </c>
      <c r="E29" s="2"/>
      <c r="F29" s="47">
        <f>26+1+21+1+5+1+1+1+1+14+9+8+2+5+2+3+4+2+2+6+17+20</f>
        <v>152</v>
      </c>
      <c r="G29" s="2">
        <f>September!G29+F29</f>
        <v>1373</v>
      </c>
      <c r="H29" s="32"/>
      <c r="I29" s="2">
        <f>September!I29+H29</f>
        <v>239</v>
      </c>
      <c r="J29" s="2">
        <f>12+1+3+2+1+1+1+4+4+1+1+1+3+2+1+1+2+4+2+1+1+1+2+1+1+2+2+1+4+1+1+1+2+1+1+1+2+2+1+7</f>
        <v>83</v>
      </c>
      <c r="K29" s="49"/>
      <c r="L29" s="2">
        <f>September!L29+K29</f>
        <v>201</v>
      </c>
      <c r="M29" s="49"/>
      <c r="N29" s="2">
        <f>September!N29+M29</f>
        <v>156</v>
      </c>
      <c r="O29" s="2"/>
      <c r="P29" s="2"/>
    </row>
    <row r="30" spans="1:16" ht="18" customHeight="1">
      <c r="A30" s="2" t="s">
        <v>28</v>
      </c>
      <c r="B30" s="44">
        <f>47123+400+385+275+200+110+188+306+95+311+180+90+180+530+93+32+85+116+115+468+109+100+90+96+250+103+186+90+312+258+18+200+295+170+90+204+87+96+205+190+110+83+112+100+101+390+80+500+92+283+95+100+560+500+11+70+255+400+280+158+95+125+84+114+90+120+145+80+238+20+95+215+488+95+85+110+16+329+120+101+262+200+334+200+100+68+100+70+98+220+170+175+160+170+340+94+25+203+95+85+90+185+185+150+80+205+90+95+80+108+77+255+149+90+553+40+65+90+400+175+72+301+320+185+185+98+405+519+343+109+103+360+130+90+113+215+115+270+170+265+91+78+75+19+11+14+150+120+260+120+79+210+84+222+90+87+77+14+192+106+270+87+34+61+17+200+80+120+80+205+350+103+70+52+595+125+45+110+75+220+160+119+101+90+87+108+110+301+180+810+130+121+65+100+175+290+90+325+325290+200+105+90+125+146+205+60+160+50+85+63+95+78+200+90+170+203+400+653+155+80+85+80+179+18+6+310+190+190+305+356+90+310+440+260+90+260+90+230+190+98+110+190+479+176+85+31+70+14+109+170+192+150+212+858+93+200+90+75+125+189+175+96+662+40+80+101+50+210+110+66+188+100+228+95+232+273</f>
        <v>419339</v>
      </c>
      <c r="C30" s="2">
        <f>September!C30+B30</f>
        <v>477686</v>
      </c>
      <c r="D30" s="2"/>
      <c r="E30" s="2"/>
      <c r="F30" s="47">
        <f>1+1+2+2+1+1+2+3+1+3+1</f>
        <v>18</v>
      </c>
      <c r="G30" s="2">
        <f>September!G30+F30</f>
        <v>4765</v>
      </c>
      <c r="H30" s="32"/>
      <c r="I30" s="2">
        <f>September!I30+H30</f>
        <v>0</v>
      </c>
      <c r="J30" s="2">
        <f>2+1+2+1+1</f>
        <v>7</v>
      </c>
      <c r="K30" s="49">
        <f>1</f>
        <v>1</v>
      </c>
      <c r="L30" s="2">
        <f>September!L30+K30</f>
        <v>3241</v>
      </c>
      <c r="M30" s="49"/>
      <c r="N30" s="2">
        <f>September!N30+M30</f>
        <v>15</v>
      </c>
      <c r="O30" s="2"/>
      <c r="P30" s="2"/>
    </row>
    <row r="31" spans="1:16" ht="18" customHeight="1">
      <c r="A31" s="2" t="s">
        <v>29</v>
      </c>
      <c r="B31" s="44">
        <f>11+62+100+91+193+95+78+294+74+60+78+165+171+114+100+180+100+80+82+183+594+112+69+410+110+5+52+212+148+320+75+35+120+10+100+180+148+152+94+123+58+129+124+87+70+133+144+40+150+142+221+149+92+173+92+65+86+101+90+74+95+75+170+600+190+690+58+100+90+1+2+137+18+125+62+180+31+214+260+68+175+137+194+394+19+3+44+54+182+194+49+17+10+16+35+14+140+97+27+472+62+180+234+10+2+1</f>
        <v>13528</v>
      </c>
      <c r="C31" s="2">
        <f>September!C31+B31</f>
        <v>57569</v>
      </c>
      <c r="D31" s="2"/>
      <c r="E31" s="2" t="s">
        <v>65</v>
      </c>
      <c r="F31" s="47">
        <f>1+2+1+25+2+1+1+1+7+1+7+1+1+1+9+6+1+53+72+2+3+1+6+2+46+24+1</f>
        <v>278</v>
      </c>
      <c r="G31" s="2">
        <f>September!G31+F31</f>
        <v>7348</v>
      </c>
      <c r="H31" s="32">
        <f>21+29</f>
        <v>50</v>
      </c>
      <c r="I31" s="2">
        <f>September!I31+H31</f>
        <v>445</v>
      </c>
      <c r="J31" s="2">
        <f>1+2+1+5+1+2+1+1+1+1+2+3+4+1</f>
        <v>26</v>
      </c>
      <c r="K31" s="49">
        <f>25+29+10+2</f>
        <v>66</v>
      </c>
      <c r="L31" s="2">
        <f>September!L31+K31</f>
        <v>748</v>
      </c>
      <c r="M31" s="49">
        <f>7+13+5</f>
        <v>25</v>
      </c>
      <c r="N31" s="2">
        <f>September!N31+M31</f>
        <v>243</v>
      </c>
      <c r="O31" s="2"/>
      <c r="P31" s="2"/>
    </row>
    <row r="32" spans="1:16" ht="18" customHeight="1">
      <c r="A32" s="2" t="s">
        <v>30</v>
      </c>
      <c r="B32" s="44">
        <f>116</f>
        <v>116</v>
      </c>
      <c r="C32" s="2">
        <f>September!C32+B32</f>
        <v>116</v>
      </c>
      <c r="D32" s="2"/>
      <c r="E32" s="2"/>
      <c r="F32" s="47"/>
      <c r="G32" s="2">
        <f>September!G32+F32</f>
        <v>56</v>
      </c>
      <c r="H32" s="32"/>
      <c r="I32" s="2">
        <f>September!I32+H32</f>
        <v>60</v>
      </c>
      <c r="J32" s="2">
        <f>1</f>
        <v>1</v>
      </c>
      <c r="K32" s="49">
        <f>11</f>
        <v>11</v>
      </c>
      <c r="L32" s="2">
        <f>September!L32+K32</f>
        <v>14</v>
      </c>
      <c r="M32" s="49"/>
      <c r="N32" s="2">
        <f>September!N32+M32</f>
        <v>0</v>
      </c>
      <c r="O32" s="2"/>
      <c r="P32" s="2"/>
    </row>
    <row r="33" spans="1:16" ht="18" customHeight="1">
      <c r="A33" s="2" t="s">
        <v>31</v>
      </c>
      <c r="B33" s="44"/>
      <c r="C33" s="2">
        <f>September!C33+B33</f>
        <v>0</v>
      </c>
      <c r="D33" s="2"/>
      <c r="E33" s="2"/>
      <c r="F33" s="47"/>
      <c r="G33" s="2">
        <f>September!G33+F33</f>
        <v>0</v>
      </c>
      <c r="H33" s="32"/>
      <c r="I33" s="2">
        <f>September!I33+H33</f>
        <v>0</v>
      </c>
      <c r="J33" s="2">
        <f>8</f>
        <v>8</v>
      </c>
      <c r="K33" s="49"/>
      <c r="L33" s="2">
        <f>September!L33+K33</f>
        <v>0</v>
      </c>
      <c r="M33" s="49"/>
      <c r="N33" s="2">
        <f>September!N33+M33</f>
        <v>0</v>
      </c>
      <c r="O33" s="2"/>
      <c r="P33" s="2"/>
    </row>
    <row r="34" spans="1:16" ht="18" customHeight="1">
      <c r="A34" s="2" t="s">
        <v>32</v>
      </c>
      <c r="B34" s="44"/>
      <c r="C34" s="2">
        <f>September!C34+B34</f>
        <v>0</v>
      </c>
      <c r="D34" s="2"/>
      <c r="E34" s="2"/>
      <c r="F34" s="47"/>
      <c r="G34" s="2">
        <f>September!G34+F34</f>
        <v>0</v>
      </c>
      <c r="H34" s="32"/>
      <c r="I34" s="2">
        <f>September!I34+H34</f>
        <v>0</v>
      </c>
      <c r="J34" s="2"/>
      <c r="K34" s="49"/>
      <c r="L34" s="2">
        <f>September!L34+K34</f>
        <v>0</v>
      </c>
      <c r="M34" s="49"/>
      <c r="N34" s="2">
        <f>September!N34+M34</f>
        <v>0</v>
      </c>
      <c r="O34" s="2"/>
      <c r="P34" s="2"/>
    </row>
    <row r="35" spans="1:16" ht="18" customHeight="1">
      <c r="A35" s="2" t="s">
        <v>33</v>
      </c>
      <c r="B35" s="44">
        <f>53+320+220+380</f>
        <v>973</v>
      </c>
      <c r="C35" s="2">
        <f>September!C35+B35</f>
        <v>2668</v>
      </c>
      <c r="D35" s="2"/>
      <c r="E35" s="2"/>
      <c r="F35" s="47"/>
      <c r="G35" s="2">
        <f>September!G35+F35</f>
        <v>5</v>
      </c>
      <c r="H35" s="32"/>
      <c r="I35" s="2">
        <f>September!I35+H35</f>
        <v>682</v>
      </c>
      <c r="J35" s="2"/>
      <c r="K35" s="49"/>
      <c r="L35" s="2">
        <f>September!L35+K35</f>
        <v>3</v>
      </c>
      <c r="M35" s="49"/>
      <c r="N35" s="2">
        <f>September!N35+M35</f>
        <v>0</v>
      </c>
      <c r="O35" s="2"/>
      <c r="P35" s="2"/>
    </row>
    <row r="36" spans="1:16" ht="18" customHeight="1">
      <c r="A36" s="2" t="s">
        <v>34</v>
      </c>
      <c r="B36" s="44"/>
      <c r="C36" s="2">
        <f>September!C36+B36</f>
        <v>304</v>
      </c>
      <c r="D36" s="2"/>
      <c r="E36" s="2"/>
      <c r="F36" s="47">
        <f>6</f>
        <v>6</v>
      </c>
      <c r="G36" s="2">
        <f>September!G36+F36</f>
        <v>6</v>
      </c>
      <c r="H36" s="32">
        <f>119+1+38+1+8+1+4+119</f>
        <v>291</v>
      </c>
      <c r="I36" s="2">
        <f>September!I36+H36</f>
        <v>928</v>
      </c>
      <c r="J36" s="2">
        <f>1+1+1+1</f>
        <v>4</v>
      </c>
      <c r="K36" s="49"/>
      <c r="L36" s="2">
        <f>September!L36+K36</f>
        <v>8</v>
      </c>
      <c r="M36" s="49"/>
      <c r="N36" s="2">
        <f>September!N36+M36</f>
        <v>0</v>
      </c>
      <c r="O36" s="2"/>
      <c r="P36" s="2"/>
    </row>
    <row r="37" spans="1:16" ht="18" customHeight="1">
      <c r="A37" s="2" t="s">
        <v>35</v>
      </c>
      <c r="B37" s="44"/>
      <c r="C37" s="2">
        <f>September!C37+B37</f>
        <v>426</v>
      </c>
      <c r="D37" s="2"/>
      <c r="E37" s="2" t="s">
        <v>65</v>
      </c>
      <c r="F37" s="47">
        <f>2</f>
        <v>2</v>
      </c>
      <c r="G37" s="2">
        <f>September!G37+F37</f>
        <v>4</v>
      </c>
      <c r="H37" s="32"/>
      <c r="I37" s="2">
        <f>September!I37+H37</f>
        <v>47</v>
      </c>
      <c r="J37" s="2">
        <f>6+1</f>
        <v>7</v>
      </c>
      <c r="K37" s="49"/>
      <c r="L37" s="2">
        <f>September!L37+K37</f>
        <v>0</v>
      </c>
      <c r="M37" s="49"/>
      <c r="N37" s="2">
        <f>September!N37+M37</f>
        <v>0</v>
      </c>
      <c r="O37" s="2"/>
      <c r="P37" s="2"/>
    </row>
    <row r="38" spans="1:16" ht="18" customHeight="1">
      <c r="A38" s="2" t="s">
        <v>36</v>
      </c>
      <c r="B38" s="44">
        <f>60+62+102+86+86+52+58+59+139+185+440+275+200+68+68+62+174+61+62+74+85+57+110+214+135+72+230+123+150+84+80+151+237+87+130+210+72+124+270+175+85+40+116+14+70+110+270+74+65+139+73+185+378+34+72+121+72+161+78+69+95+1+36+91+85+342+166+100+188+75+85+85+85+100+105+99+101+106+92+89+113+185+90+90+90+260+78+249+148</f>
        <v>10824</v>
      </c>
      <c r="C38" s="2">
        <f>September!C38+B38</f>
        <v>62214</v>
      </c>
      <c r="D38" s="2"/>
      <c r="E38" s="2"/>
      <c r="F38" s="47"/>
      <c r="G38" s="2">
        <f>September!G38+F38</f>
        <v>939</v>
      </c>
      <c r="H38" s="32"/>
      <c r="I38" s="2">
        <f>September!I38+H38</f>
        <v>127</v>
      </c>
      <c r="J38" s="2"/>
      <c r="K38" s="49"/>
      <c r="L38" s="2">
        <f>September!L38+K38</f>
        <v>3459</v>
      </c>
      <c r="M38" s="49"/>
      <c r="N38" s="2">
        <f>September!N38+M38</f>
        <v>8</v>
      </c>
      <c r="O38" s="2"/>
      <c r="P38" s="2"/>
    </row>
    <row r="39" spans="1:16" ht="18" customHeight="1">
      <c r="A39" s="2" t="s">
        <v>37</v>
      </c>
      <c r="B39" s="44">
        <f>242+253+360+120+120+120</f>
        <v>1215</v>
      </c>
      <c r="C39" s="2">
        <f>September!C39+B39</f>
        <v>6342</v>
      </c>
      <c r="D39" s="2">
        <f>1</f>
        <v>1</v>
      </c>
      <c r="E39" s="2"/>
      <c r="F39" s="47">
        <f>1+2</f>
        <v>3</v>
      </c>
      <c r="G39" s="2">
        <f>September!G39+F39</f>
        <v>70</v>
      </c>
      <c r="H39" s="32">
        <f>1+200+40+56</f>
        <v>297</v>
      </c>
      <c r="I39" s="2">
        <f>September!I39+H39</f>
        <v>1061</v>
      </c>
      <c r="J39" s="2">
        <f>2+1+1+7+1+9+1+6+2+1+4</f>
        <v>35</v>
      </c>
      <c r="K39" s="49"/>
      <c r="L39" s="2">
        <f>September!L39+K39</f>
        <v>45</v>
      </c>
      <c r="M39" s="49"/>
      <c r="N39" s="2">
        <f>September!N39+M39</f>
        <v>0</v>
      </c>
      <c r="O39" s="2"/>
      <c r="P39" s="2"/>
    </row>
    <row r="40" spans="1:16" ht="18" customHeight="1">
      <c r="A40" s="2" t="s">
        <v>38</v>
      </c>
      <c r="B40" s="44"/>
      <c r="C40" s="2">
        <f>September!C40+B40</f>
        <v>6644</v>
      </c>
      <c r="D40" s="2"/>
      <c r="E40" s="2" t="s">
        <v>65</v>
      </c>
      <c r="F40" s="47">
        <f>3</f>
        <v>3</v>
      </c>
      <c r="G40" s="2">
        <f>September!G40+F40</f>
        <v>249</v>
      </c>
      <c r="H40" s="32"/>
      <c r="I40" s="2">
        <f>September!I40+H40</f>
        <v>14</v>
      </c>
      <c r="J40" s="2">
        <f>2+10+1</f>
        <v>13</v>
      </c>
      <c r="K40" s="49"/>
      <c r="L40" s="2">
        <f>September!L40+K40</f>
        <v>74</v>
      </c>
      <c r="M40" s="49"/>
      <c r="N40" s="2">
        <f>September!N40+M40</f>
        <v>3</v>
      </c>
      <c r="O40" s="2"/>
      <c r="P40" s="2"/>
    </row>
    <row r="41" spans="1:16" ht="18" customHeight="1">
      <c r="A41" s="2" t="s">
        <v>39</v>
      </c>
      <c r="B41" s="44">
        <f>40+83+83+7+54+84+48+9+90+270+90+107+52+81+110</f>
        <v>1208</v>
      </c>
      <c r="C41" s="2">
        <f>September!C41+B41</f>
        <v>2063</v>
      </c>
      <c r="D41" s="2"/>
      <c r="E41" s="2" t="s">
        <v>65</v>
      </c>
      <c r="F41" s="47">
        <f>9+3+14</f>
        <v>26</v>
      </c>
      <c r="G41" s="2">
        <f>September!G41+F41</f>
        <v>28</v>
      </c>
      <c r="H41" s="32"/>
      <c r="I41" s="2">
        <f>September!I41+H41</f>
        <v>0</v>
      </c>
      <c r="J41" s="2">
        <f>1</f>
        <v>1</v>
      </c>
      <c r="K41" s="49"/>
      <c r="L41" s="2">
        <f>September!L41+K41</f>
        <v>5</v>
      </c>
      <c r="M41" s="49"/>
      <c r="N41" s="2">
        <f>September!N41+M41</f>
        <v>0</v>
      </c>
      <c r="O41" s="2"/>
      <c r="P41" s="2"/>
    </row>
    <row r="42" spans="1:16" ht="18" customHeight="1">
      <c r="A42" s="2" t="s">
        <v>40</v>
      </c>
      <c r="B42" s="44">
        <f>73+61</f>
        <v>134</v>
      </c>
      <c r="C42" s="2">
        <f>September!C42+B42</f>
        <v>949</v>
      </c>
      <c r="D42" s="2">
        <f>1</f>
        <v>1</v>
      </c>
      <c r="E42" s="2" t="s">
        <v>65</v>
      </c>
      <c r="F42" s="47"/>
      <c r="G42" s="2">
        <f>September!G42+F42</f>
        <v>174</v>
      </c>
      <c r="H42" s="32">
        <f>1+1</f>
        <v>2</v>
      </c>
      <c r="I42" s="2">
        <f>September!I42+H42</f>
        <v>423</v>
      </c>
      <c r="J42" s="2">
        <f>1+1+4+4+1+4+4+4</f>
        <v>23</v>
      </c>
      <c r="K42" s="49"/>
      <c r="L42" s="2">
        <f>September!L42+K42</f>
        <v>0</v>
      </c>
      <c r="M42" s="49"/>
      <c r="N42" s="2">
        <f>September!N42+M42</f>
        <v>0</v>
      </c>
      <c r="O42" s="2"/>
      <c r="P42" s="2"/>
    </row>
    <row r="43" spans="1:16" ht="18" customHeight="1">
      <c r="A43" s="2" t="s">
        <v>41</v>
      </c>
      <c r="B43" s="44"/>
      <c r="C43" s="2">
        <f>September!C43+B43</f>
        <v>0</v>
      </c>
      <c r="D43" s="2"/>
      <c r="E43" s="2"/>
      <c r="F43" s="47"/>
      <c r="G43" s="2">
        <f>September!G43+F43</f>
        <v>0</v>
      </c>
      <c r="H43" s="32"/>
      <c r="I43" s="2">
        <f>September!I43+H43</f>
        <v>0</v>
      </c>
      <c r="J43" s="2"/>
      <c r="K43" s="49"/>
      <c r="L43" s="2">
        <f>September!L43+K43</f>
        <v>0</v>
      </c>
      <c r="M43" s="49"/>
      <c r="N43" s="2">
        <f>September!N43+M43</f>
        <v>0</v>
      </c>
      <c r="O43" s="2"/>
      <c r="P43" s="2"/>
    </row>
    <row r="44" spans="1:16" ht="18" customHeight="1">
      <c r="A44" s="2" t="s">
        <v>42</v>
      </c>
      <c r="B44" s="44">
        <f>98+93+96+106+171+92+34+42+92+89+94+103+195+98+193+97+191+107+37</f>
        <v>2028</v>
      </c>
      <c r="C44" s="2">
        <f>September!C44+B44</f>
        <v>9075</v>
      </c>
      <c r="D44" s="2"/>
      <c r="E44" s="2"/>
      <c r="F44" s="47"/>
      <c r="G44" s="2">
        <f>September!G44+F44</f>
        <v>0</v>
      </c>
      <c r="H44" s="32"/>
      <c r="I44" s="2">
        <f>September!I44+H44</f>
        <v>0</v>
      </c>
      <c r="J44" s="2"/>
      <c r="K44" s="49"/>
      <c r="L44" s="2">
        <f>September!L44+K44</f>
        <v>0</v>
      </c>
      <c r="M44" s="49"/>
      <c r="N44" s="2">
        <f>September!N44+M44</f>
        <v>0</v>
      </c>
      <c r="O44" s="2"/>
      <c r="P44" s="2"/>
    </row>
    <row r="45" spans="1:16" ht="18" customHeight="1">
      <c r="A45" s="2" t="s">
        <v>43</v>
      </c>
      <c r="B45" s="44">
        <f>95+426+138+122+128+130+62+286+63+148+23+58+21+19+71+160+337+180+60+52+70+52+78+77+152+12+34+59+10+74+65+81+64+400+500+1570+160+111+325+470+61+96+407+170+9+10+12+68+18+13+232+31+35+51+12+10+30+18+93+16+4+6+27+6+19+87+33+74+106+23+4+5+38+37+64+44+52+12+71+95+41+45+130+66+134+64+71+132+67+68+53+43+61+60+8+7+56+153+6+17+49+18+16+64+22+15+6+41+32+53+123+179+70+125+97+143+73+202+127+78+167+130+201+216+224+19+19+67+26+54+71+81+52+70+27+7+4+57+3+65+79+55+14+44+21+67+70+69+333+64+69+348+21+75+96+14+185+150+360+120+136+200+400+90+90+187+69+110+264+4+189+23+107+196+109+193+89+31+22+110+384+112+350+180+4+9+115+104+4+27+127+180+99+38+103+201+253+60+122+68+85+415+55+40+110+185+85+96+22+210+111+59+152+94+57+47+95+101+185+470+70+100+101+270+84+86+426+116+225+155+56+209+100+61+391+192+126+44+57+20+27+14+108+279+20+72+16+26+192+164+7+250+43+80+74+64+70+168+154+28+58+104+46+23+96+96+107+68+72+187+76+78+12+24+8+13+126+25+132+12+78+35+461+33+56+107+59+9+9+8+295+70+450+300+66+126+96+153+96+80+106+76+58+58+50+5+115+15+293+184+28</f>
        <v>33287</v>
      </c>
      <c r="C45" s="2">
        <f>September!C45+B45</f>
        <v>202160</v>
      </c>
      <c r="D45" s="2"/>
      <c r="E45" s="2"/>
      <c r="F45" s="47">
        <f>2+2+6+2+1+10+3+3+10+9+1+1+3+8+15+25+66+8+1+1+1+3+2+2</f>
        <v>185</v>
      </c>
      <c r="G45" s="2">
        <f>September!G45+F45</f>
        <v>5453</v>
      </c>
      <c r="H45" s="32">
        <f>1+1+20+4+10+1+7+8+5+119+1+1+1</f>
        <v>179</v>
      </c>
      <c r="I45" s="2">
        <f>September!I45+H45</f>
        <v>932</v>
      </c>
      <c r="J45" s="2">
        <f>10+10+13+6+8+41+1</f>
        <v>89</v>
      </c>
      <c r="K45" s="49">
        <f>11+3+19+135+15+80+4+3+62+83+55+11+481+160+600+250+750+76</f>
        <v>2798</v>
      </c>
      <c r="L45" s="2">
        <f>September!L45+K45</f>
        <v>19146</v>
      </c>
      <c r="M45" s="49">
        <f>36+3+13+1+14+25+22+37</f>
        <v>151</v>
      </c>
      <c r="N45" s="2">
        <f>September!N45+M45</f>
        <v>1098</v>
      </c>
      <c r="O45" s="2"/>
      <c r="P45" s="2"/>
    </row>
    <row r="46" spans="1:16" ht="18" customHeight="1">
      <c r="A46" s="2" t="s">
        <v>44</v>
      </c>
      <c r="B46" s="44">
        <f>56+58+80+73+84+200+36+69+132+58+58+75+36+48+169+110+71+62+74+66+133+33+59+76</f>
        <v>1916</v>
      </c>
      <c r="C46" s="2">
        <f>September!C46+B46</f>
        <v>18551</v>
      </c>
      <c r="D46" s="2"/>
      <c r="E46" s="2"/>
      <c r="F46" s="47"/>
      <c r="G46" s="2">
        <f>September!G46+F46</f>
        <v>31</v>
      </c>
      <c r="H46" s="32"/>
      <c r="I46" s="2">
        <f>September!I46+H46</f>
        <v>21</v>
      </c>
      <c r="J46" s="2">
        <f>1+1+4+2</f>
        <v>8</v>
      </c>
      <c r="K46" s="49"/>
      <c r="L46" s="2">
        <f>September!L46+K46</f>
        <v>0</v>
      </c>
      <c r="M46" s="49"/>
      <c r="N46" s="2">
        <f>September!N46+M46</f>
        <v>2</v>
      </c>
      <c r="O46" s="2"/>
      <c r="P46" s="2"/>
    </row>
    <row r="47" spans="1:16" ht="18" customHeight="1">
      <c r="A47" s="2" t="s">
        <v>45</v>
      </c>
      <c r="B47" s="44">
        <f>200+190+207+3+90</f>
        <v>690</v>
      </c>
      <c r="C47" s="2">
        <f>September!C47+B47</f>
        <v>9126</v>
      </c>
      <c r="D47" s="2"/>
      <c r="E47" s="2"/>
      <c r="F47" s="47">
        <f>5+212+6</f>
        <v>223</v>
      </c>
      <c r="G47" s="2">
        <f>September!G47+F47</f>
        <v>350</v>
      </c>
      <c r="H47" s="32"/>
      <c r="I47" s="2">
        <f>September!I47+H47</f>
        <v>5308</v>
      </c>
      <c r="J47" s="2">
        <f>3+3+15+3+1+2+1+4+1+1+1+3</f>
        <v>38</v>
      </c>
      <c r="K47" s="49"/>
      <c r="L47" s="2">
        <f>September!L47+K47</f>
        <v>630</v>
      </c>
      <c r="M47" s="49">
        <f>8</f>
        <v>8</v>
      </c>
      <c r="N47" s="2">
        <f>September!N47+M47</f>
        <v>8</v>
      </c>
      <c r="O47" s="2"/>
      <c r="P47" s="2"/>
    </row>
    <row r="48" spans="1:16" ht="18" customHeight="1">
      <c r="A48" s="2" t="s">
        <v>46</v>
      </c>
      <c r="B48" s="44"/>
      <c r="C48" s="2">
        <f>September!C48+B48</f>
        <v>135</v>
      </c>
      <c r="D48" s="2"/>
      <c r="E48" s="2"/>
      <c r="F48" s="47"/>
      <c r="G48" s="2">
        <f>September!G48+F48</f>
        <v>9</v>
      </c>
      <c r="H48" s="32"/>
      <c r="I48" s="2">
        <f>September!I48+H48</f>
        <v>142</v>
      </c>
      <c r="J48" s="2"/>
      <c r="K48" s="49"/>
      <c r="L48" s="2">
        <f>September!L48+K48</f>
        <v>8</v>
      </c>
      <c r="M48" s="49"/>
      <c r="N48" s="2">
        <f>September!N48+M48</f>
        <v>0</v>
      </c>
      <c r="O48" s="2"/>
      <c r="P48" s="2"/>
    </row>
    <row r="49" spans="1:16" ht="18" customHeight="1">
      <c r="A49" s="2" t="s">
        <v>47</v>
      </c>
      <c r="B49" s="44"/>
      <c r="C49" s="2">
        <f>September!C49+B49</f>
        <v>0</v>
      </c>
      <c r="D49" s="2"/>
      <c r="E49" s="2"/>
      <c r="F49" s="47"/>
      <c r="G49" s="2">
        <f>September!G49+F49</f>
        <v>0</v>
      </c>
      <c r="H49" s="32"/>
      <c r="I49" s="2">
        <f>September!I49+H49</f>
        <v>6</v>
      </c>
      <c r="J49" s="2"/>
      <c r="K49" s="49"/>
      <c r="L49" s="2">
        <f>September!L49+K49</f>
        <v>0</v>
      </c>
      <c r="M49" s="49"/>
      <c r="N49" s="2">
        <f>September!N49+M49</f>
        <v>0</v>
      </c>
      <c r="O49" s="2"/>
      <c r="P49" s="2"/>
    </row>
    <row r="50" spans="1:16" ht="18" customHeight="1">
      <c r="A50" s="2" t="s">
        <v>48</v>
      </c>
      <c r="B50" s="44">
        <f>19+110+130+60+63+62+62+50+65+75+40+30+230+230+65+64+65+79+60+180+64+64+65+62+76+76+57+57+220+152+116+175+124+67+60+110+55+188+165+67+72+195+62+9+66+58+150</f>
        <v>4371</v>
      </c>
      <c r="C50" s="2">
        <f>September!C50+B50</f>
        <v>27766</v>
      </c>
      <c r="D50" s="2"/>
      <c r="E50" s="2"/>
      <c r="F50" s="47">
        <f>1+1</f>
        <v>2</v>
      </c>
      <c r="G50" s="2">
        <f>September!G50+F50</f>
        <v>5</v>
      </c>
      <c r="H50" s="32"/>
      <c r="I50" s="2">
        <f>September!I50+H50</f>
        <v>0</v>
      </c>
      <c r="J50" s="2">
        <f>2</f>
        <v>2</v>
      </c>
      <c r="K50" s="49"/>
      <c r="L50" s="2">
        <f>September!L50+K50</f>
        <v>2</v>
      </c>
      <c r="M50" s="49"/>
      <c r="N50" s="2">
        <f>September!N50+M50</f>
        <v>0</v>
      </c>
      <c r="O50" s="2"/>
      <c r="P50" s="2"/>
    </row>
    <row r="51" spans="1:16" ht="18" customHeight="1">
      <c r="A51" s="2" t="s">
        <v>49</v>
      </c>
      <c r="B51" s="44">
        <f>160+160+160</f>
        <v>480</v>
      </c>
      <c r="C51" s="2">
        <f>September!C51+B51</f>
        <v>4750</v>
      </c>
      <c r="D51" s="2"/>
      <c r="E51" s="2"/>
      <c r="F51" s="47">
        <f>7+4</f>
        <v>11</v>
      </c>
      <c r="G51" s="2">
        <f>September!G51+F51</f>
        <v>11</v>
      </c>
      <c r="H51" s="32"/>
      <c r="I51" s="2">
        <f>September!I51+H51</f>
        <v>49</v>
      </c>
      <c r="J51" s="2">
        <f>1+1+2</f>
        <v>4</v>
      </c>
      <c r="K51" s="49"/>
      <c r="L51" s="2">
        <f>September!L51+K51</f>
        <v>0</v>
      </c>
      <c r="M51" s="49"/>
      <c r="N51" s="2">
        <f>September!N51+M51</f>
        <v>1</v>
      </c>
      <c r="O51" s="2"/>
      <c r="P51" s="2"/>
    </row>
    <row r="52" spans="1:16" ht="18" customHeight="1">
      <c r="A52" s="2" t="s">
        <v>50</v>
      </c>
      <c r="B52" s="44">
        <f>89+55+55+60+60+55+73+110+95+57+18+10+110+95+80+55+82+55+61+64+63+55+55+43+17+37+25+60+55+63+55+110+45+15+21+39</f>
        <v>2097</v>
      </c>
      <c r="C52" s="2">
        <f>September!C52+B52</f>
        <v>10601</v>
      </c>
      <c r="D52" s="2"/>
      <c r="E52" s="2"/>
      <c r="F52" s="47"/>
      <c r="G52" s="2">
        <f>September!G52+F52</f>
        <v>67</v>
      </c>
      <c r="H52" s="32"/>
      <c r="I52" s="2">
        <f>September!I52+H52</f>
        <v>0</v>
      </c>
      <c r="J52" s="2"/>
      <c r="K52" s="49"/>
      <c r="L52" s="2">
        <f>September!L52+K52</f>
        <v>0</v>
      </c>
      <c r="M52" s="49"/>
      <c r="N52" s="2">
        <f>September!N52+M52</f>
        <v>0</v>
      </c>
      <c r="O52" s="2"/>
      <c r="P52" s="2"/>
    </row>
    <row r="53" spans="1:16" ht="18" customHeight="1">
      <c r="A53" s="2" t="s">
        <v>67</v>
      </c>
      <c r="B53" s="44">
        <f>25+6+1+62+3+26+58+10+23+30+4+115+170+288+61+5+96+29+83+72+7+4+16+1+5+100+14+23+30+330+7+170+260+120+180+360+2+41+25+130+80+75+16+11+45+16+103+7+2+30+4+6+28+59+7+63+4+130+204+4+134+68+4+73+25+14+24+23+41+21+6+24+90+50+100+44</f>
        <v>4627</v>
      </c>
      <c r="C53" s="2">
        <f>September!C53+B53</f>
        <v>30025</v>
      </c>
      <c r="D53" s="2">
        <f>4</f>
        <v>4</v>
      </c>
      <c r="E53" s="2" t="s">
        <v>65</v>
      </c>
      <c r="F53" s="47">
        <f>18+2+1+4+7+6+1+1+1+3+2+4+2+1+2+1+1+1+1+4+1+1+1+1+1+23+1+1+8</f>
        <v>101</v>
      </c>
      <c r="G53" s="2">
        <f>September!G53+F53</f>
        <v>867</v>
      </c>
      <c r="H53" s="32">
        <f>35+80+38+5+14+1+3+9+3+10+75+75+12+1+1+1+1+1+14+40+14+6+2+2+2+1+4+21+38+30+1+10+6+7+4+6+22+27+1+1+3+4+7+38+42+22</f>
        <v>740</v>
      </c>
      <c r="I53" s="2">
        <f>September!I53+H53</f>
        <v>5209</v>
      </c>
      <c r="J53" s="2">
        <f>4+2+8+7+2+3+12+2+2+2+2+3+5+2+4+3+2+2+8+3+4+6+3+2+6+2+8+2+2+8+10+8+6+3+3+8+2+31+30</f>
        <v>222</v>
      </c>
      <c r="K53" s="49">
        <f>8+12+17</f>
        <v>37</v>
      </c>
      <c r="L53" s="2">
        <f>September!L53+K53</f>
        <v>298</v>
      </c>
      <c r="M53" s="49"/>
      <c r="N53" s="2">
        <f>September!N53+M53</f>
        <v>24</v>
      </c>
      <c r="O53" s="2"/>
      <c r="P53" s="2"/>
    </row>
    <row r="54" spans="1:16" ht="18" customHeight="1" thickBot="1">
      <c r="A54" s="3" t="s">
        <v>51</v>
      </c>
      <c r="B54" s="45">
        <f>5+100+102+110+98+99+57+135+90+2000+224+104+104+108+287+11+40+203+78+103+86+2+43+52+18+87+254+93+145+77+105+93+195+220+1+23+23+109+100+153+102+100+110+397+95+82+100+92+88+95+105+130+137+440+100+193+49+150+300+100+80+57+272+44+66+82</f>
        <v>9503</v>
      </c>
      <c r="C54" s="2">
        <f>September!C54+B54</f>
        <v>16545</v>
      </c>
      <c r="D54" s="3"/>
      <c r="E54" s="3"/>
      <c r="F54" s="48">
        <f>1+43+56+1+1+1+25+1</f>
        <v>129</v>
      </c>
      <c r="G54" s="2">
        <f>September!G54+F54</f>
        <v>1081</v>
      </c>
      <c r="H54" s="33"/>
      <c r="I54" s="2">
        <f>September!I54+H54</f>
        <v>0</v>
      </c>
      <c r="J54" s="3">
        <f>2</f>
        <v>2</v>
      </c>
      <c r="K54" s="50">
        <f>135+169+675+900</f>
        <v>1879</v>
      </c>
      <c r="L54" s="2">
        <f>September!L54+K54</f>
        <v>1930</v>
      </c>
      <c r="M54" s="50"/>
      <c r="N54" s="2">
        <f>September!N54+M54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549253</v>
      </c>
      <c r="C55" s="1"/>
      <c r="D55" s="1">
        <f>SUM(D5:D54)</f>
        <v>42</v>
      </c>
      <c r="E55" s="1">
        <f>SUM(E5:E54)</f>
        <v>0</v>
      </c>
      <c r="F55" s="1">
        <f>SUM(F5:F54)</f>
        <v>1461</v>
      </c>
      <c r="G55" s="1"/>
      <c r="H55" s="1">
        <f>SUM(H5:H54)</f>
        <v>2860</v>
      </c>
      <c r="I55" s="1"/>
      <c r="J55" s="1">
        <f>SUM(J5:J54)</f>
        <v>1103</v>
      </c>
      <c r="K55" s="1">
        <f>SUM(K5:K54)</f>
        <v>5119</v>
      </c>
      <c r="L55" s="1"/>
      <c r="M55" s="1">
        <f>SUM(M5:M54)</f>
        <v>312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September!C57+B55</f>
        <v>1268099</v>
      </c>
      <c r="D57" s="1">
        <f>September!D57+D55</f>
        <v>195</v>
      </c>
      <c r="E57" s="1">
        <f>September!E57+E55</f>
        <v>0</v>
      </c>
      <c r="F57" s="1"/>
      <c r="G57" s="1">
        <f>September!G57+F55</f>
        <v>25982</v>
      </c>
      <c r="H57" s="1"/>
      <c r="I57" s="1">
        <f>September!I57+H55</f>
        <v>29597</v>
      </c>
      <c r="J57" s="1">
        <f>September!J57+J55</f>
        <v>7391</v>
      </c>
      <c r="K57" s="1"/>
      <c r="L57" s="1">
        <f>September!L57+K55</f>
        <v>31669</v>
      </c>
      <c r="M57" s="1"/>
      <c r="N57" s="1">
        <f>September!N57+M55</f>
        <v>2077</v>
      </c>
      <c r="O57" s="1">
        <f>September!O57+O55</f>
        <v>173</v>
      </c>
      <c r="P57" s="1">
        <f>September!P57+P55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543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September!G62+F60</f>
        <v>7626</v>
      </c>
      <c r="I62" s="5">
        <f>September!I62+H60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5" sqref="I55"/>
    </sheetView>
  </sheetViews>
  <sheetFormatPr defaultColWidth="9.00390625" defaultRowHeight="15.75"/>
  <cols>
    <col min="1" max="1" width="18.125" style="5" customWidth="1"/>
    <col min="2" max="2" width="9.00390625" style="5" customWidth="1"/>
    <col min="3" max="3" width="9.375" style="5" bestFit="1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1" ht="23.25">
      <c r="A1" s="4" t="s">
        <v>0</v>
      </c>
      <c r="I1" s="5" t="s">
        <v>81</v>
      </c>
      <c r="K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44">
        <f>67+77</f>
        <v>144</v>
      </c>
      <c r="C5" s="2">
        <f>October!C5+B5</f>
        <v>2606</v>
      </c>
      <c r="D5" s="2"/>
      <c r="E5" s="2"/>
      <c r="F5" s="47">
        <f>1</f>
        <v>1</v>
      </c>
      <c r="G5" s="2">
        <f>October!G5+F5</f>
        <v>9</v>
      </c>
      <c r="H5" s="32"/>
      <c r="I5" s="2">
        <f>October!I5+H5</f>
        <v>60</v>
      </c>
      <c r="J5" s="2">
        <f>4</f>
        <v>4</v>
      </c>
      <c r="K5" s="49"/>
      <c r="L5" s="2">
        <f>October!L5+K5</f>
        <v>1</v>
      </c>
      <c r="M5" s="49"/>
      <c r="N5" s="2">
        <f>October!N5+M5</f>
        <v>0</v>
      </c>
      <c r="O5" s="2"/>
      <c r="P5" s="2"/>
    </row>
    <row r="6" spans="1:16" ht="18" customHeight="1">
      <c r="A6" s="2" t="s">
        <v>5</v>
      </c>
      <c r="B6" s="44"/>
      <c r="C6" s="2">
        <f>October!C6+B6</f>
        <v>0</v>
      </c>
      <c r="D6" s="2"/>
      <c r="E6" s="2"/>
      <c r="F6" s="47"/>
      <c r="G6" s="2">
        <f>October!G6+F6</f>
        <v>0</v>
      </c>
      <c r="H6" s="32"/>
      <c r="I6" s="2">
        <f>October!I6+H6</f>
        <v>0</v>
      </c>
      <c r="J6" s="2"/>
      <c r="K6" s="49"/>
      <c r="L6" s="2">
        <f>October!L6+K6</f>
        <v>0</v>
      </c>
      <c r="M6" s="49"/>
      <c r="N6" s="2">
        <f>October!N6+M6</f>
        <v>0</v>
      </c>
      <c r="O6" s="2"/>
      <c r="P6" s="2"/>
    </row>
    <row r="7" spans="1:16" ht="18" customHeight="1">
      <c r="A7" s="2" t="s">
        <v>6</v>
      </c>
      <c r="B7" s="44"/>
      <c r="C7" s="2">
        <f>October!C7+B7</f>
        <v>197</v>
      </c>
      <c r="D7" s="2"/>
      <c r="E7" s="2"/>
      <c r="F7" s="47"/>
      <c r="G7" s="2">
        <f>October!G7+F7</f>
        <v>33</v>
      </c>
      <c r="H7" s="32"/>
      <c r="I7" s="2">
        <f>October!I7+H7</f>
        <v>718</v>
      </c>
      <c r="J7" s="2"/>
      <c r="K7" s="49"/>
      <c r="L7" s="2">
        <f>October!L7+K7</f>
        <v>1</v>
      </c>
      <c r="M7" s="49"/>
      <c r="N7" s="2">
        <f>October!N7+M7</f>
        <v>2</v>
      </c>
      <c r="O7" s="2"/>
      <c r="P7" s="2"/>
    </row>
    <row r="8" spans="1:16" ht="18" customHeight="1">
      <c r="A8" s="2" t="s">
        <v>7</v>
      </c>
      <c r="B8" s="44">
        <f>86</f>
        <v>86</v>
      </c>
      <c r="C8" s="2">
        <f>October!C8+B8</f>
        <v>5165</v>
      </c>
      <c r="D8" s="2"/>
      <c r="E8" s="2"/>
      <c r="F8" s="47">
        <f>1</f>
        <v>1</v>
      </c>
      <c r="G8" s="2">
        <f>October!G8+F8</f>
        <v>43</v>
      </c>
      <c r="H8" s="32"/>
      <c r="I8" s="2">
        <f>October!I8+H8</f>
        <v>46</v>
      </c>
      <c r="J8" s="2"/>
      <c r="K8" s="49"/>
      <c r="L8" s="2">
        <f>October!L8+K8</f>
        <v>0</v>
      </c>
      <c r="M8" s="49"/>
      <c r="N8" s="2">
        <f>October!N8+M8</f>
        <v>0</v>
      </c>
      <c r="O8" s="2"/>
      <c r="P8" s="2"/>
    </row>
    <row r="9" spans="1:16" ht="18" customHeight="1">
      <c r="A9" s="2" t="s">
        <v>8</v>
      </c>
      <c r="B9" s="44"/>
      <c r="C9" s="2">
        <f>October!C9+B9</f>
        <v>6143</v>
      </c>
      <c r="D9" s="2"/>
      <c r="E9" s="2"/>
      <c r="F9" s="47">
        <f>2+5+5</f>
        <v>12</v>
      </c>
      <c r="G9" s="2">
        <f>October!G9+F9</f>
        <v>104</v>
      </c>
      <c r="H9" s="32"/>
      <c r="I9" s="2">
        <f>October!I9+H9</f>
        <v>331</v>
      </c>
      <c r="J9" s="2">
        <f>1+4</f>
        <v>5</v>
      </c>
      <c r="K9" s="49"/>
      <c r="L9" s="2">
        <f>October!L9+K9</f>
        <v>13</v>
      </c>
      <c r="M9" s="49"/>
      <c r="N9" s="2">
        <f>October!N9+M9</f>
        <v>8</v>
      </c>
      <c r="O9" s="2"/>
      <c r="P9" s="2"/>
    </row>
    <row r="10" spans="1:16" ht="18" customHeight="1">
      <c r="A10" s="2" t="s">
        <v>10</v>
      </c>
      <c r="B10" s="44">
        <f>299</f>
        <v>299</v>
      </c>
      <c r="C10" s="2">
        <f>October!C10+B10</f>
        <v>5529</v>
      </c>
      <c r="D10" s="2"/>
      <c r="E10" s="2"/>
      <c r="F10" s="47">
        <f>12</f>
        <v>12</v>
      </c>
      <c r="G10" s="2">
        <f>October!G10+F10</f>
        <v>263</v>
      </c>
      <c r="H10" s="32">
        <f>2</f>
        <v>2</v>
      </c>
      <c r="I10" s="2">
        <f>October!I10+H10</f>
        <v>96</v>
      </c>
      <c r="J10" s="2">
        <f>15</f>
        <v>15</v>
      </c>
      <c r="K10" s="49"/>
      <c r="L10" s="2">
        <f>October!L10+K10</f>
        <v>0</v>
      </c>
      <c r="M10" s="49"/>
      <c r="N10" s="2">
        <f>October!N10+M10</f>
        <v>0</v>
      </c>
      <c r="O10" s="2"/>
      <c r="P10" s="2"/>
    </row>
    <row r="11" spans="1:16" ht="18" customHeight="1">
      <c r="A11" s="2" t="s">
        <v>9</v>
      </c>
      <c r="B11" s="44">
        <f>40+33+324+130+50+85+87+41+34+29+12+7+50</f>
        <v>922</v>
      </c>
      <c r="C11" s="2">
        <f>October!C11+B11</f>
        <v>3698</v>
      </c>
      <c r="D11" s="2"/>
      <c r="E11" s="2"/>
      <c r="F11" s="47">
        <f>16+6+33+13+2+48+1+41+1+1+1+18+42+51+1+1+1+1</f>
        <v>278</v>
      </c>
      <c r="G11" s="2">
        <f>October!G11+F11</f>
        <v>693</v>
      </c>
      <c r="H11" s="32">
        <f>104+62</f>
        <v>166</v>
      </c>
      <c r="I11" s="2">
        <f>October!I11+H11</f>
        <v>1034</v>
      </c>
      <c r="J11" s="2">
        <f>1+2+2+1+2+1+1+2+1</f>
        <v>13</v>
      </c>
      <c r="K11" s="49"/>
      <c r="L11" s="2">
        <f>October!L11+K11</f>
        <v>4</v>
      </c>
      <c r="M11" s="49"/>
      <c r="N11" s="2">
        <f>October!N11+M11</f>
        <v>3</v>
      </c>
      <c r="O11" s="2"/>
      <c r="P11" s="2"/>
    </row>
    <row r="12" spans="1:16" ht="18" customHeight="1">
      <c r="A12" s="2" t="s">
        <v>11</v>
      </c>
      <c r="B12" s="44"/>
      <c r="C12" s="2">
        <f>October!C12+B12</f>
        <v>0</v>
      </c>
      <c r="D12" s="2"/>
      <c r="E12" s="2"/>
      <c r="F12" s="47"/>
      <c r="G12" s="2">
        <f>October!G12+F12</f>
        <v>0</v>
      </c>
      <c r="H12" s="32"/>
      <c r="I12" s="2">
        <f>October!I12+H12</f>
        <v>0</v>
      </c>
      <c r="J12" s="2"/>
      <c r="K12" s="49"/>
      <c r="L12" s="2">
        <f>October!L12+K12</f>
        <v>0</v>
      </c>
      <c r="M12" s="49"/>
      <c r="N12" s="2">
        <f>October!N12+M12</f>
        <v>0</v>
      </c>
      <c r="O12" s="2"/>
      <c r="P12" s="2"/>
    </row>
    <row r="13" spans="1:16" ht="18" customHeight="1">
      <c r="A13" s="2" t="s">
        <v>12</v>
      </c>
      <c r="B13" s="44"/>
      <c r="C13" s="2">
        <f>October!C13+B13</f>
        <v>0</v>
      </c>
      <c r="D13" s="2"/>
      <c r="E13" s="2"/>
      <c r="F13" s="47"/>
      <c r="G13" s="2">
        <f>October!G13+F13</f>
        <v>0</v>
      </c>
      <c r="H13" s="32"/>
      <c r="I13" s="2">
        <f>October!I13+H13</f>
        <v>0</v>
      </c>
      <c r="J13" s="2"/>
      <c r="K13" s="49"/>
      <c r="L13" s="2">
        <f>October!L13+K13</f>
        <v>0</v>
      </c>
      <c r="M13" s="49"/>
      <c r="N13" s="2">
        <f>October!N13+M13</f>
        <v>0</v>
      </c>
      <c r="O13" s="2"/>
      <c r="P13" s="2"/>
    </row>
    <row r="14" spans="1:16" ht="18" customHeight="1">
      <c r="A14" s="2" t="s">
        <v>13</v>
      </c>
      <c r="B14" s="44">
        <f>61+11</f>
        <v>72</v>
      </c>
      <c r="C14" s="2">
        <f>October!C14+B14</f>
        <v>122</v>
      </c>
      <c r="D14" s="2"/>
      <c r="E14" s="2"/>
      <c r="F14" s="47"/>
      <c r="G14" s="2">
        <f>October!G14+F14</f>
        <v>43</v>
      </c>
      <c r="H14" s="32"/>
      <c r="I14" s="2">
        <f>October!I14+H14</f>
        <v>10</v>
      </c>
      <c r="J14" s="2"/>
      <c r="K14" s="49"/>
      <c r="L14" s="2">
        <f>October!L14+K14</f>
        <v>0</v>
      </c>
      <c r="M14" s="49"/>
      <c r="N14" s="2">
        <f>October!N14+M14</f>
        <v>0</v>
      </c>
      <c r="O14" s="2"/>
      <c r="P14" s="2"/>
    </row>
    <row r="15" spans="1:16" ht="18" customHeight="1">
      <c r="A15" s="2" t="s">
        <v>14</v>
      </c>
      <c r="B15" s="44">
        <f>72+70+17+59+75+67+78+13+50+66+90+90+90+78+50+35+78</f>
        <v>1078</v>
      </c>
      <c r="C15" s="2">
        <f>October!C15+B15</f>
        <v>6257</v>
      </c>
      <c r="D15" s="2"/>
      <c r="E15" s="2"/>
      <c r="F15" s="47"/>
      <c r="G15" s="2">
        <f>October!G15+F15</f>
        <v>169</v>
      </c>
      <c r="H15" s="32"/>
      <c r="I15" s="2">
        <f>October!I15+H15</f>
        <v>2</v>
      </c>
      <c r="J15" s="2"/>
      <c r="K15" s="49"/>
      <c r="L15" s="2">
        <f>October!L15+K15</f>
        <v>0</v>
      </c>
      <c r="M15" s="49"/>
      <c r="N15" s="2">
        <f>October!N15+M15</f>
        <v>0</v>
      </c>
      <c r="O15" s="2"/>
      <c r="P15" s="2"/>
    </row>
    <row r="16" spans="1:16" ht="18" customHeight="1">
      <c r="A16" s="2" t="s">
        <v>15</v>
      </c>
      <c r="B16" s="44"/>
      <c r="C16" s="2">
        <f>October!C16+B16</f>
        <v>0</v>
      </c>
      <c r="D16" s="2"/>
      <c r="E16" s="2"/>
      <c r="F16" s="47"/>
      <c r="G16" s="2">
        <f>October!G16+F16</f>
        <v>0</v>
      </c>
      <c r="H16" s="32"/>
      <c r="I16" s="2">
        <f>October!I16+H16</f>
        <v>0</v>
      </c>
      <c r="J16" s="2"/>
      <c r="K16" s="49"/>
      <c r="L16" s="2">
        <f>October!L16+K16</f>
        <v>0</v>
      </c>
      <c r="M16" s="49"/>
      <c r="N16" s="2">
        <f>October!N16+M16</f>
        <v>0</v>
      </c>
      <c r="O16" s="2"/>
      <c r="P16" s="2"/>
    </row>
    <row r="17" spans="1:16" ht="18" customHeight="1">
      <c r="A17" s="2" t="s">
        <v>16</v>
      </c>
      <c r="B17" s="44">
        <f>190+6+185+250+120+220+170+57+96+81+520+85+190+10</f>
        <v>2180</v>
      </c>
      <c r="C17" s="2">
        <f>October!C17+B17</f>
        <v>13120</v>
      </c>
      <c r="D17" s="2"/>
      <c r="E17" s="2"/>
      <c r="F17" s="47">
        <f>86+5+25</f>
        <v>116</v>
      </c>
      <c r="G17" s="2">
        <f>October!G17+F17</f>
        <v>252</v>
      </c>
      <c r="H17" s="32"/>
      <c r="I17" s="2">
        <f>October!I17+H17</f>
        <v>172</v>
      </c>
      <c r="J17" s="2"/>
      <c r="K17" s="49"/>
      <c r="L17" s="2">
        <f>October!L17+K17</f>
        <v>0</v>
      </c>
      <c r="M17" s="49"/>
      <c r="N17" s="2">
        <f>October!N17+M17</f>
        <v>0</v>
      </c>
      <c r="O17" s="2"/>
      <c r="P17" s="2"/>
    </row>
    <row r="18" spans="1:16" ht="18" customHeight="1">
      <c r="A18" s="2" t="s">
        <v>17</v>
      </c>
      <c r="B18" s="44">
        <f>95+77+2+7+5+3+2+14+35+3+22+5+10+102+1+17+7+102+92+36+75+160+110</f>
        <v>982</v>
      </c>
      <c r="C18" s="2">
        <f>October!C18+B18</f>
        <v>5468</v>
      </c>
      <c r="D18" s="2"/>
      <c r="E18" s="2"/>
      <c r="F18" s="47">
        <f>2+16+1+1+1+1+1+1+2+1+1</f>
        <v>28</v>
      </c>
      <c r="G18" s="2">
        <f>October!G18+F18</f>
        <v>384</v>
      </c>
      <c r="H18" s="32">
        <f>5+1</f>
        <v>6</v>
      </c>
      <c r="I18" s="2">
        <f>October!I18+H18</f>
        <v>325</v>
      </c>
      <c r="J18" s="2">
        <f>1+4+1+1+1</f>
        <v>8</v>
      </c>
      <c r="K18" s="49">
        <f>3</f>
        <v>3</v>
      </c>
      <c r="L18" s="2">
        <f>October!L18+K18</f>
        <v>213</v>
      </c>
      <c r="M18" s="49"/>
      <c r="N18" s="2">
        <f>October!N18+M18</f>
        <v>180</v>
      </c>
      <c r="O18" s="2"/>
      <c r="P18" s="2"/>
    </row>
    <row r="19" spans="1:16" ht="18" customHeight="1">
      <c r="A19" s="2" t="s">
        <v>18</v>
      </c>
      <c r="B19" s="44">
        <f>15+90+55+50+60+54+55+25+95+100+125</f>
        <v>724</v>
      </c>
      <c r="C19" s="2">
        <f>October!C19+B19</f>
        <v>6923</v>
      </c>
      <c r="D19" s="2">
        <f>1</f>
        <v>1</v>
      </c>
      <c r="E19" s="2"/>
      <c r="F19" s="47"/>
      <c r="G19" s="2">
        <f>October!G19+F19</f>
        <v>67</v>
      </c>
      <c r="H19" s="32">
        <f>1</f>
        <v>1</v>
      </c>
      <c r="I19" s="2">
        <f>October!I19+H19</f>
        <v>3541</v>
      </c>
      <c r="J19" s="2">
        <f>1+3+1+2+1+1+1</f>
        <v>10</v>
      </c>
      <c r="K19" s="49">
        <f>1</f>
        <v>1</v>
      </c>
      <c r="L19" s="2">
        <f>October!L19+K19</f>
        <v>45</v>
      </c>
      <c r="M19" s="49"/>
      <c r="N19" s="2">
        <f>October!N19+M19</f>
        <v>0</v>
      </c>
      <c r="O19" s="2"/>
      <c r="P19" s="2"/>
    </row>
    <row r="20" spans="1:16" ht="18" customHeight="1">
      <c r="A20" s="2" t="s">
        <v>19</v>
      </c>
      <c r="B20" s="44">
        <f>77+71+171+281+200+182+187+118+30+93+159+83+58+65</f>
        <v>1775</v>
      </c>
      <c r="C20" s="2">
        <f>October!C20+B20</f>
        <v>36614</v>
      </c>
      <c r="D20" s="2"/>
      <c r="E20" s="2"/>
      <c r="F20" s="47">
        <f>4+1+1+1+1+2</f>
        <v>10</v>
      </c>
      <c r="G20" s="2">
        <f>October!G20+F20</f>
        <v>394</v>
      </c>
      <c r="H20" s="32">
        <f>45</f>
        <v>45</v>
      </c>
      <c r="I20" s="2">
        <f>October!I20+H20</f>
        <v>572</v>
      </c>
      <c r="J20" s="2">
        <f>1+1+1+1</f>
        <v>4</v>
      </c>
      <c r="K20" s="49"/>
      <c r="L20" s="2">
        <f>October!L20+K20</f>
        <v>15</v>
      </c>
      <c r="M20" s="49"/>
      <c r="N20" s="2">
        <f>October!N20+M20</f>
        <v>0</v>
      </c>
      <c r="O20" s="2"/>
      <c r="P20" s="2"/>
    </row>
    <row r="21" spans="1:16" ht="18" customHeight="1">
      <c r="A21" s="2" t="s">
        <v>20</v>
      </c>
      <c r="B21" s="44">
        <f>112+70+400+121+55+97+93+60+112+63+62+58+63+194+68+73+150+184+58+59+66+200+131+146+83+58+66+62+79+12+79+50+66+49+500+64+81+253+66+64+260+26+94+110+66+6+54+65+83+83+210+62</f>
        <v>5446</v>
      </c>
      <c r="C21" s="2">
        <f>October!C21+B21</f>
        <v>115164</v>
      </c>
      <c r="D21" s="2"/>
      <c r="E21" s="2"/>
      <c r="F21" s="47">
        <f>1+1+1+1+2+1+1+10</f>
        <v>18</v>
      </c>
      <c r="G21" s="2">
        <f>October!G21+F21</f>
        <v>103</v>
      </c>
      <c r="H21" s="32">
        <f>3+1</f>
        <v>4</v>
      </c>
      <c r="I21" s="2">
        <f>October!I21+H21</f>
        <v>479</v>
      </c>
      <c r="J21" s="2">
        <f>2+1</f>
        <v>3</v>
      </c>
      <c r="K21" s="49">
        <f>1+1+1</f>
        <v>3</v>
      </c>
      <c r="L21" s="2">
        <f>October!L21+K21</f>
        <v>3</v>
      </c>
      <c r="M21" s="49"/>
      <c r="N21" s="2">
        <f>October!N21+M21</f>
        <v>0</v>
      </c>
      <c r="O21" s="2"/>
      <c r="P21" s="2"/>
    </row>
    <row r="22" spans="1:16" ht="18" customHeight="1">
      <c r="A22" s="2" t="s">
        <v>21</v>
      </c>
      <c r="B22" s="44"/>
      <c r="C22" s="2">
        <f>October!C22+B22</f>
        <v>0</v>
      </c>
      <c r="D22" s="2"/>
      <c r="E22" s="2"/>
      <c r="F22" s="47"/>
      <c r="G22" s="2">
        <f>October!G22+F22</f>
        <v>2</v>
      </c>
      <c r="H22" s="32"/>
      <c r="I22" s="2">
        <f>October!I22+H22</f>
        <v>0</v>
      </c>
      <c r="J22" s="2"/>
      <c r="K22" s="49"/>
      <c r="L22" s="2">
        <f>October!L22+K22</f>
        <v>0</v>
      </c>
      <c r="M22" s="49"/>
      <c r="N22" s="2">
        <f>October!N22+M22</f>
        <v>0</v>
      </c>
      <c r="O22" s="2"/>
      <c r="P22" s="2"/>
    </row>
    <row r="23" spans="1:16" ht="18" customHeight="1">
      <c r="A23" s="2" t="s">
        <v>22</v>
      </c>
      <c r="B23" s="44"/>
      <c r="C23" s="2">
        <f>October!C23+B23</f>
        <v>0</v>
      </c>
      <c r="D23" s="2"/>
      <c r="E23" s="2"/>
      <c r="F23" s="47"/>
      <c r="G23" s="2">
        <f>October!G23+F23</f>
        <v>0</v>
      </c>
      <c r="H23" s="32"/>
      <c r="I23" s="2">
        <f>October!I23+H23</f>
        <v>1</v>
      </c>
      <c r="J23" s="2"/>
      <c r="K23" s="49"/>
      <c r="L23" s="2">
        <f>October!L23+K23</f>
        <v>0</v>
      </c>
      <c r="M23" s="49"/>
      <c r="N23" s="2">
        <f>October!N23+M23</f>
        <v>0</v>
      </c>
      <c r="O23" s="2"/>
      <c r="P23" s="2"/>
    </row>
    <row r="24" spans="1:16" ht="18" customHeight="1">
      <c r="A24" s="2" t="s">
        <v>23</v>
      </c>
      <c r="B24" s="44"/>
      <c r="C24" s="2">
        <f>October!C24+B24</f>
        <v>0</v>
      </c>
      <c r="D24" s="2"/>
      <c r="E24" s="2"/>
      <c r="F24" s="47"/>
      <c r="G24" s="2">
        <f>October!G24+F24</f>
        <v>0</v>
      </c>
      <c r="H24" s="32">
        <f>4+1+1</f>
        <v>6</v>
      </c>
      <c r="I24" s="2">
        <f>October!I24+H24</f>
        <v>13</v>
      </c>
      <c r="J24" s="2">
        <f>1+1</f>
        <v>2</v>
      </c>
      <c r="K24" s="49"/>
      <c r="L24" s="2">
        <f>October!L24+K24</f>
        <v>0</v>
      </c>
      <c r="M24" s="49"/>
      <c r="N24" s="2">
        <f>October!N24+M24</f>
        <v>0</v>
      </c>
      <c r="O24" s="2"/>
      <c r="P24" s="2"/>
    </row>
    <row r="25" spans="1:16" ht="18" customHeight="1">
      <c r="A25" s="2" t="s">
        <v>68</v>
      </c>
      <c r="B25" s="44"/>
      <c r="C25" s="2">
        <f>October!C25+B25</f>
        <v>0</v>
      </c>
      <c r="D25" s="2"/>
      <c r="E25" s="2"/>
      <c r="F25" s="47"/>
      <c r="G25" s="2">
        <f>October!G25+F25</f>
        <v>17</v>
      </c>
      <c r="H25" s="32"/>
      <c r="I25" s="2">
        <f>October!I25+H25</f>
        <v>2</v>
      </c>
      <c r="J25" s="2"/>
      <c r="K25" s="49"/>
      <c r="L25" s="2">
        <f>October!L25+K25</f>
        <v>0</v>
      </c>
      <c r="M25" s="49"/>
      <c r="N25" s="2">
        <f>October!N25+M25</f>
        <v>0</v>
      </c>
      <c r="O25" s="2"/>
      <c r="P25" s="2"/>
    </row>
    <row r="26" spans="1:16" ht="18" customHeight="1">
      <c r="A26" s="2" t="s">
        <v>24</v>
      </c>
      <c r="B26" s="44">
        <f>129+7+6+50+93+40+17+10+2</f>
        <v>354</v>
      </c>
      <c r="C26" s="2">
        <f>October!C26+B26</f>
        <v>392</v>
      </c>
      <c r="D26" s="2"/>
      <c r="E26" s="2"/>
      <c r="F26" s="47">
        <f>3+6+1+2+1</f>
        <v>13</v>
      </c>
      <c r="G26" s="2">
        <f>October!G26+F26</f>
        <v>26</v>
      </c>
      <c r="H26" s="32"/>
      <c r="I26" s="2">
        <f>October!I26+H26</f>
        <v>31</v>
      </c>
      <c r="J26" s="2">
        <f>1+1+3+4+3+1+3+6+8+1+3+1+1+1</f>
        <v>37</v>
      </c>
      <c r="K26" s="49"/>
      <c r="L26" s="2">
        <f>October!L26+K26</f>
        <v>52</v>
      </c>
      <c r="M26" s="49"/>
      <c r="N26" s="2">
        <f>October!N26+M26</f>
        <v>0</v>
      </c>
      <c r="O26" s="2"/>
      <c r="P26" s="2"/>
    </row>
    <row r="27" spans="1:16" ht="18" customHeight="1">
      <c r="A27" s="2" t="s">
        <v>25</v>
      </c>
      <c r="B27" s="44">
        <f>55+24+35+33+13+18+38+70+202+14+14+69+120+61+116+162+563+225+183+81+100+89+6+7+9+92+75+183+214+11+18+6+21+5+4+9+7+23+14+12+21+2+4+6+4+7+26+13+103+39+70+12+108+39+42+16+140+37+7+18+14+17+87+74+35+5+1+68+95+107+70+131+118+128+423+64+19+44+34+29+140+33+38+36+8+11</f>
        <v>5544</v>
      </c>
      <c r="C27" s="2">
        <f>October!C27+B27</f>
        <v>37017</v>
      </c>
      <c r="D27" s="2"/>
      <c r="E27" s="2"/>
      <c r="F27" s="47">
        <f>1+3+2+3+1+1+8+1+40+3+7+1+5+2+1+2+1+2+7+4+60+1</f>
        <v>156</v>
      </c>
      <c r="G27" s="2">
        <f>October!G27+F27</f>
        <v>1127</v>
      </c>
      <c r="H27" s="32">
        <f>127+8+1+9+15+43+4+12+18+4+2+1+32+2+2+2+15+166+85+128+9+20+26+15+15+10+64+19</f>
        <v>854</v>
      </c>
      <c r="I27" s="2">
        <f>October!I27+H27</f>
        <v>7555</v>
      </c>
      <c r="J27" s="2">
        <f>2+5+2+2+2+2+2+1+1+1+1+6+2</f>
        <v>29</v>
      </c>
      <c r="K27" s="49">
        <f>40+51+1+36+20+5+3</f>
        <v>156</v>
      </c>
      <c r="L27" s="2">
        <f>October!L27+K27</f>
        <v>1673</v>
      </c>
      <c r="M27" s="49"/>
      <c r="N27" s="2">
        <f>October!N27+M27</f>
        <v>269</v>
      </c>
      <c r="O27" s="2"/>
      <c r="P27" s="2"/>
    </row>
    <row r="28" spans="1:16" ht="18" customHeight="1">
      <c r="A28" s="2" t="s">
        <v>26</v>
      </c>
      <c r="B28" s="44">
        <f>96</f>
        <v>96</v>
      </c>
      <c r="C28" s="2">
        <f>October!C28+B28</f>
        <v>954</v>
      </c>
      <c r="D28" s="2"/>
      <c r="E28" s="2"/>
      <c r="F28" s="47"/>
      <c r="G28" s="2">
        <f>October!G28+F28</f>
        <v>7</v>
      </c>
      <c r="H28" s="32"/>
      <c r="I28" s="2">
        <f>October!I28+H28</f>
        <v>0</v>
      </c>
      <c r="J28" s="2"/>
      <c r="K28" s="49"/>
      <c r="L28" s="2">
        <f>October!L28+K28</f>
        <v>0</v>
      </c>
      <c r="M28" s="49"/>
      <c r="N28" s="2">
        <f>October!N28+M28</f>
        <v>0</v>
      </c>
      <c r="O28" s="2"/>
      <c r="P28" s="2"/>
    </row>
    <row r="29" spans="1:16" ht="18" customHeight="1">
      <c r="A29" s="2" t="s">
        <v>27</v>
      </c>
      <c r="B29" s="44">
        <f>76+72+86+130+95+27+35+80+23+37+54+72+53+60+60+100</f>
        <v>1060</v>
      </c>
      <c r="C29" s="2">
        <f>October!C29+B29</f>
        <v>97777</v>
      </c>
      <c r="D29" s="2"/>
      <c r="E29" s="2"/>
      <c r="F29" s="47">
        <f>3+15+6+39+20</f>
        <v>83</v>
      </c>
      <c r="G29" s="2">
        <f>October!G29+F29</f>
        <v>1456</v>
      </c>
      <c r="H29" s="32"/>
      <c r="I29" s="2">
        <f>October!I29+H29</f>
        <v>239</v>
      </c>
      <c r="J29" s="2">
        <f>1+1+1</f>
        <v>3</v>
      </c>
      <c r="K29" s="49"/>
      <c r="L29" s="2">
        <f>October!L29+K29</f>
        <v>201</v>
      </c>
      <c r="M29" s="49">
        <f>3</f>
        <v>3</v>
      </c>
      <c r="N29" s="2">
        <f>October!N29+M29</f>
        <v>159</v>
      </c>
      <c r="O29" s="2"/>
      <c r="P29" s="2"/>
    </row>
    <row r="30" spans="1:16" ht="18" customHeight="1">
      <c r="A30" s="2" t="s">
        <v>28</v>
      </c>
      <c r="B30" s="44">
        <f>54577+344+111+100+100+105+90+23+12+33+102+102+92+106+119+33+202+97+95+251+81+225+48+200+145+49+282+58+13+297+77+93+65+245+89+54+110+84+67+82+251+87+104+100+185+23+55+94+29+300+70+176+90+190+185+319+100+75+91+104+105+63+69+323+182+206+122</f>
        <v>62756</v>
      </c>
      <c r="C30" s="2">
        <f>October!C30+B30</f>
        <v>540442</v>
      </c>
      <c r="D30" s="2"/>
      <c r="E30" s="2"/>
      <c r="F30" s="47">
        <f>4+4+50+1+1+5+1+14+39+56+50</f>
        <v>225</v>
      </c>
      <c r="G30" s="2">
        <f>October!G30+F30</f>
        <v>4990</v>
      </c>
      <c r="H30" s="32"/>
      <c r="I30" s="2">
        <f>October!I30+H30</f>
        <v>0</v>
      </c>
      <c r="J30" s="2">
        <f>1+1</f>
        <v>2</v>
      </c>
      <c r="K30" s="49">
        <f>128</f>
        <v>128</v>
      </c>
      <c r="L30" s="2">
        <f>October!L30+K30</f>
        <v>3369</v>
      </c>
      <c r="M30" s="49"/>
      <c r="N30" s="2">
        <f>October!N30+M30</f>
        <v>15</v>
      </c>
      <c r="O30" s="2"/>
      <c r="P30" s="2"/>
    </row>
    <row r="31" spans="1:16" ht="18" customHeight="1">
      <c r="A31" s="2" t="s">
        <v>29</v>
      </c>
      <c r="B31" s="44">
        <f>98+83+66+19+51+89+190+26+17+47+86+4+10+15+205+102+54+109+272+196+98+85+94+94+67+29+73+44+57+109+75+289+78+90+16+22+32+95+83+100+99+100+80+150+79+68+68+118+92+119+99+67+36+37+14+108+15+85+98+139+77+84+100+189+95+180+75+95+228+4+140+190+100+83+124+94+175+17+185</f>
        <v>7275</v>
      </c>
      <c r="C31" s="2">
        <f>October!C31+B31</f>
        <v>64844</v>
      </c>
      <c r="D31" s="2"/>
      <c r="E31" s="2"/>
      <c r="F31" s="47">
        <f>60+1+1+6+1+2+3+11+5+3+2+12+1+1+1+81+3+3+19+90+50+40+1+4+1+2+1+40+13+1+44+44+6+14+9+14+3+1+2+40+3+3+2+3+3+80</f>
        <v>730</v>
      </c>
      <c r="G31" s="2">
        <f>October!G31+F31</f>
        <v>8078</v>
      </c>
      <c r="H31" s="32">
        <f>15+15+10</f>
        <v>40</v>
      </c>
      <c r="I31" s="2">
        <f>October!I31+H31</f>
        <v>485</v>
      </c>
      <c r="J31" s="2">
        <f>6+1+1</f>
        <v>8</v>
      </c>
      <c r="K31" s="49">
        <f>17+11</f>
        <v>28</v>
      </c>
      <c r="L31" s="2">
        <f>October!L31+K31</f>
        <v>776</v>
      </c>
      <c r="M31" s="49">
        <f>6+134</f>
        <v>140</v>
      </c>
      <c r="N31" s="2">
        <f>October!N31+M31</f>
        <v>383</v>
      </c>
      <c r="O31" s="2"/>
      <c r="P31" s="2"/>
    </row>
    <row r="32" spans="1:16" ht="18" customHeight="1">
      <c r="A32" s="2" t="s">
        <v>30</v>
      </c>
      <c r="B32" s="44"/>
      <c r="C32" s="2">
        <f>October!C32+B32</f>
        <v>116</v>
      </c>
      <c r="D32" s="2"/>
      <c r="E32" s="2"/>
      <c r="F32" s="47">
        <f>1</f>
        <v>1</v>
      </c>
      <c r="G32" s="2">
        <f>October!G32+F32</f>
        <v>57</v>
      </c>
      <c r="H32" s="32"/>
      <c r="I32" s="2">
        <f>October!I32+H32</f>
        <v>60</v>
      </c>
      <c r="J32" s="2"/>
      <c r="K32" s="49"/>
      <c r="L32" s="2">
        <f>October!L32+K32</f>
        <v>14</v>
      </c>
      <c r="M32" s="49"/>
      <c r="N32" s="2">
        <f>October!N32+M32</f>
        <v>0</v>
      </c>
      <c r="O32" s="2"/>
      <c r="P32" s="2"/>
    </row>
    <row r="33" spans="1:16" ht="18" customHeight="1">
      <c r="A33" s="2" t="s">
        <v>31</v>
      </c>
      <c r="B33" s="44"/>
      <c r="C33" s="2">
        <f>October!C33+B33</f>
        <v>0</v>
      </c>
      <c r="D33" s="2"/>
      <c r="E33" s="2"/>
      <c r="F33" s="47"/>
      <c r="G33" s="2">
        <f>October!G33+F33</f>
        <v>0</v>
      </c>
      <c r="H33" s="32"/>
      <c r="I33" s="2">
        <f>October!I33+H33</f>
        <v>0</v>
      </c>
      <c r="J33" s="2">
        <f>1</f>
        <v>1</v>
      </c>
      <c r="K33" s="49"/>
      <c r="L33" s="2">
        <f>October!L33+K33</f>
        <v>0</v>
      </c>
      <c r="M33" s="49"/>
      <c r="N33" s="2">
        <f>October!N33+M33</f>
        <v>0</v>
      </c>
      <c r="O33" s="2"/>
      <c r="P33" s="2"/>
    </row>
    <row r="34" spans="1:16" ht="18" customHeight="1">
      <c r="A34" s="2" t="s">
        <v>32</v>
      </c>
      <c r="B34" s="44"/>
      <c r="C34" s="2">
        <f>October!C34+B34</f>
        <v>0</v>
      </c>
      <c r="D34" s="2"/>
      <c r="E34" s="2"/>
      <c r="F34" s="47"/>
      <c r="G34" s="2">
        <f>October!G34+F34</f>
        <v>0</v>
      </c>
      <c r="H34" s="32"/>
      <c r="I34" s="2">
        <f>October!I34+H34</f>
        <v>0</v>
      </c>
      <c r="J34" s="2"/>
      <c r="K34" s="49"/>
      <c r="L34" s="2">
        <f>October!L34+K34</f>
        <v>0</v>
      </c>
      <c r="M34" s="49"/>
      <c r="N34" s="2">
        <f>October!N34+M34</f>
        <v>0</v>
      </c>
      <c r="O34" s="2"/>
      <c r="P34" s="2"/>
    </row>
    <row r="35" spans="1:16" ht="18" customHeight="1">
      <c r="A35" s="2" t="s">
        <v>33</v>
      </c>
      <c r="B35" s="44">
        <f>6+90+76+63+86+11+6+86+0+54+150+140+200+104</f>
        <v>1072</v>
      </c>
      <c r="C35" s="2">
        <f>October!C35+B35</f>
        <v>3740</v>
      </c>
      <c r="D35" s="2"/>
      <c r="E35" s="2"/>
      <c r="F35" s="47">
        <f>1</f>
        <v>1</v>
      </c>
      <c r="G35" s="2">
        <f>October!G35+F35</f>
        <v>6</v>
      </c>
      <c r="H35" s="32"/>
      <c r="I35" s="2">
        <f>October!I35+H35</f>
        <v>682</v>
      </c>
      <c r="J35" s="2"/>
      <c r="K35" s="49"/>
      <c r="L35" s="2">
        <f>October!L35+K35</f>
        <v>3</v>
      </c>
      <c r="M35" s="49"/>
      <c r="N35" s="2">
        <f>October!N35+M35</f>
        <v>0</v>
      </c>
      <c r="O35" s="2"/>
      <c r="P35" s="2"/>
    </row>
    <row r="36" spans="1:16" ht="18" customHeight="1">
      <c r="A36" s="2" t="s">
        <v>34</v>
      </c>
      <c r="B36" s="44">
        <f>75</f>
        <v>75</v>
      </c>
      <c r="C36" s="2">
        <f>October!C36+B36</f>
        <v>379</v>
      </c>
      <c r="D36" s="2"/>
      <c r="E36" s="2"/>
      <c r="F36" s="47">
        <f>3+52+1</f>
        <v>56</v>
      </c>
      <c r="G36" s="2">
        <f>October!G36+F36</f>
        <v>62</v>
      </c>
      <c r="H36" s="32">
        <f>37+1</f>
        <v>38</v>
      </c>
      <c r="I36" s="2">
        <f>October!I36+H36</f>
        <v>966</v>
      </c>
      <c r="J36" s="2"/>
      <c r="K36" s="49"/>
      <c r="L36" s="2">
        <f>October!L36+K36</f>
        <v>8</v>
      </c>
      <c r="M36" s="49"/>
      <c r="N36" s="2">
        <f>October!N36+M36</f>
        <v>0</v>
      </c>
      <c r="O36" s="2"/>
      <c r="P36" s="2"/>
    </row>
    <row r="37" spans="1:16" ht="18" customHeight="1">
      <c r="A37" s="2" t="s">
        <v>35</v>
      </c>
      <c r="B37" s="44">
        <f>65+65+82+81</f>
        <v>293</v>
      </c>
      <c r="C37" s="2">
        <f>October!C37+B37</f>
        <v>719</v>
      </c>
      <c r="D37" s="2"/>
      <c r="E37" s="2"/>
      <c r="F37" s="47"/>
      <c r="G37" s="2">
        <f>October!G37+F37</f>
        <v>4</v>
      </c>
      <c r="H37" s="32"/>
      <c r="I37" s="2">
        <f>October!I37+H37</f>
        <v>47</v>
      </c>
      <c r="J37" s="2">
        <f>1</f>
        <v>1</v>
      </c>
      <c r="K37" s="49"/>
      <c r="L37" s="2">
        <f>October!L37+K37</f>
        <v>0</v>
      </c>
      <c r="M37" s="49"/>
      <c r="N37" s="2">
        <f>October!N37+M37</f>
        <v>0</v>
      </c>
      <c r="O37" s="2"/>
      <c r="P37" s="2"/>
    </row>
    <row r="38" spans="1:16" ht="18" customHeight="1">
      <c r="A38" s="2" t="s">
        <v>36</v>
      </c>
      <c r="B38" s="44">
        <f>170+105+205+235+100+235+315+110+105+210+45+95</f>
        <v>1930</v>
      </c>
      <c r="C38" s="2">
        <f>October!C38+B38</f>
        <v>64144</v>
      </c>
      <c r="D38" s="2">
        <f>1</f>
        <v>1</v>
      </c>
      <c r="E38" s="2"/>
      <c r="F38" s="47">
        <f>32+1+1+20</f>
        <v>54</v>
      </c>
      <c r="G38" s="2">
        <f>October!G38+F38</f>
        <v>993</v>
      </c>
      <c r="H38" s="32">
        <f>20+61</f>
        <v>81</v>
      </c>
      <c r="I38" s="2">
        <f>October!I38+H38</f>
        <v>208</v>
      </c>
      <c r="J38" s="2">
        <f>6+14+15+15+6+15+6+1+3+3+1</f>
        <v>85</v>
      </c>
      <c r="K38" s="49">
        <f>143+316+80</f>
        <v>539</v>
      </c>
      <c r="L38" s="2">
        <f>October!L38+K38</f>
        <v>3998</v>
      </c>
      <c r="M38" s="49"/>
      <c r="N38" s="2">
        <f>October!N38+M38</f>
        <v>8</v>
      </c>
      <c r="O38" s="2"/>
      <c r="P38" s="2"/>
    </row>
    <row r="39" spans="1:16" ht="18" customHeight="1">
      <c r="A39" s="2" t="s">
        <v>37</v>
      </c>
      <c r="B39" s="44">
        <f>240+251+240+360+60+55</f>
        <v>1206</v>
      </c>
      <c r="C39" s="2">
        <f>October!C39+B39</f>
        <v>7548</v>
      </c>
      <c r="D39" s="2"/>
      <c r="E39" s="2"/>
      <c r="F39" s="47">
        <f>1+1+1+1</f>
        <v>4</v>
      </c>
      <c r="G39" s="2">
        <f>October!G39+F39</f>
        <v>74</v>
      </c>
      <c r="H39" s="32">
        <f>49+68+5+4</f>
        <v>126</v>
      </c>
      <c r="I39" s="2">
        <f>October!I39+H39</f>
        <v>1187</v>
      </c>
      <c r="J39" s="2">
        <f>4+4+4</f>
        <v>12</v>
      </c>
      <c r="K39" s="49"/>
      <c r="L39" s="2">
        <f>October!L39+K39</f>
        <v>45</v>
      </c>
      <c r="M39" s="49"/>
      <c r="N39" s="2">
        <f>October!N39+M39</f>
        <v>0</v>
      </c>
      <c r="O39" s="2"/>
      <c r="P39" s="2"/>
    </row>
    <row r="40" spans="1:16" ht="18" customHeight="1">
      <c r="A40" s="2" t="s">
        <v>38</v>
      </c>
      <c r="B40" s="44"/>
      <c r="C40" s="2">
        <f>October!C40+B40</f>
        <v>6644</v>
      </c>
      <c r="D40" s="2"/>
      <c r="E40" s="2"/>
      <c r="F40" s="47"/>
      <c r="G40" s="2">
        <f>October!G40+F40</f>
        <v>249</v>
      </c>
      <c r="H40" s="32"/>
      <c r="I40" s="2">
        <f>October!I40+H40</f>
        <v>14</v>
      </c>
      <c r="J40" s="2"/>
      <c r="K40" s="49"/>
      <c r="L40" s="2">
        <f>October!L40+K40</f>
        <v>74</v>
      </c>
      <c r="M40" s="49"/>
      <c r="N40" s="2">
        <f>October!N40+M40</f>
        <v>3</v>
      </c>
      <c r="O40" s="2"/>
      <c r="P40" s="2"/>
    </row>
    <row r="41" spans="1:16" ht="18" customHeight="1">
      <c r="A41" s="2" t="s">
        <v>39</v>
      </c>
      <c r="B41" s="44"/>
      <c r="C41" s="2">
        <f>October!C41+B41</f>
        <v>2063</v>
      </c>
      <c r="D41" s="2"/>
      <c r="E41" s="2"/>
      <c r="F41" s="47">
        <f>19</f>
        <v>19</v>
      </c>
      <c r="G41" s="2">
        <f>October!G41+F41</f>
        <v>47</v>
      </c>
      <c r="H41" s="32"/>
      <c r="I41" s="2">
        <f>October!I41+H41</f>
        <v>0</v>
      </c>
      <c r="J41" s="2"/>
      <c r="K41" s="49"/>
      <c r="L41" s="2">
        <f>October!L41+K41</f>
        <v>5</v>
      </c>
      <c r="M41" s="49"/>
      <c r="N41" s="2">
        <f>October!N41+M41</f>
        <v>0</v>
      </c>
      <c r="O41" s="2"/>
      <c r="P41" s="2"/>
    </row>
    <row r="42" spans="1:16" ht="18" customHeight="1">
      <c r="A42" s="2" t="s">
        <v>40</v>
      </c>
      <c r="B42" s="44">
        <f>90</f>
        <v>90</v>
      </c>
      <c r="C42" s="2">
        <f>October!C42+B42</f>
        <v>1039</v>
      </c>
      <c r="D42" s="2"/>
      <c r="E42" s="2"/>
      <c r="F42" s="47">
        <f>1</f>
        <v>1</v>
      </c>
      <c r="G42" s="2">
        <f>October!G42+F42</f>
        <v>175</v>
      </c>
      <c r="H42" s="32"/>
      <c r="I42" s="2">
        <f>October!I42+H42</f>
        <v>423</v>
      </c>
      <c r="J42" s="2">
        <f>6+1+3+3+3+3+3+2</f>
        <v>24</v>
      </c>
      <c r="K42" s="49"/>
      <c r="L42" s="2">
        <f>October!L42+K42</f>
        <v>0</v>
      </c>
      <c r="M42" s="49"/>
      <c r="N42" s="2">
        <f>October!N42+M42</f>
        <v>0</v>
      </c>
      <c r="O42" s="2"/>
      <c r="P42" s="2"/>
    </row>
    <row r="43" spans="1:16" ht="18" customHeight="1">
      <c r="A43" s="2" t="s">
        <v>41</v>
      </c>
      <c r="B43" s="44"/>
      <c r="C43" s="2">
        <f>October!C43+B43</f>
        <v>0</v>
      </c>
      <c r="D43" s="2"/>
      <c r="E43" s="2"/>
      <c r="F43" s="47"/>
      <c r="G43" s="2">
        <f>October!G43+F43</f>
        <v>0</v>
      </c>
      <c r="H43" s="32"/>
      <c r="I43" s="2">
        <f>October!I43+H43</f>
        <v>0</v>
      </c>
      <c r="J43" s="2"/>
      <c r="K43" s="49"/>
      <c r="L43" s="2">
        <f>October!L43+K43</f>
        <v>0</v>
      </c>
      <c r="M43" s="49"/>
      <c r="N43" s="2">
        <f>October!N43+M43</f>
        <v>0</v>
      </c>
      <c r="O43" s="2"/>
      <c r="P43" s="2"/>
    </row>
    <row r="44" spans="1:16" ht="18" customHeight="1">
      <c r="A44" s="2" t="s">
        <v>42</v>
      </c>
      <c r="B44" s="44">
        <f>101+86</f>
        <v>187</v>
      </c>
      <c r="C44" s="2">
        <f>October!C44+B44</f>
        <v>9262</v>
      </c>
      <c r="D44" s="2"/>
      <c r="E44" s="2"/>
      <c r="F44" s="47"/>
      <c r="G44" s="2">
        <f>October!G44+F44</f>
        <v>0</v>
      </c>
      <c r="H44" s="32"/>
      <c r="I44" s="2">
        <f>October!I44+H44</f>
        <v>0</v>
      </c>
      <c r="J44" s="2">
        <f>2</f>
        <v>2</v>
      </c>
      <c r="K44" s="49"/>
      <c r="L44" s="2">
        <f>October!L44+K44</f>
        <v>0</v>
      </c>
      <c r="M44" s="49"/>
      <c r="N44" s="2">
        <f>October!N44+M44</f>
        <v>0</v>
      </c>
      <c r="O44" s="2"/>
      <c r="P44" s="2"/>
    </row>
    <row r="45" spans="1:16" ht="18" customHeight="1">
      <c r="A45" s="2" t="s">
        <v>43</v>
      </c>
      <c r="B45" s="44">
        <f>26921+60+275+91+85+270+26+280+87+141+50+195+61+125+66+43+650+108+138+149+200+240+300+280+130+112+183+109+67+216+119+350+67+102+91+103+102+251+106+203+22+114+14+5+3+60+105+134+76+230+96+209+225+48+219+390+201+192+116+115+225+136+61+61+35+101+12+9+88+60+18+91+93+70+77+255+110+34+42+10+202+95+56+84+57+195+105+101+165+186+100+136+96+95+88+230+179+188+46+12+32+34+33+17+5+8+9+2+58+39+118+4+58+24+46+102+88+232+101+95+136+95+108+84+109+97+45+126+124+127+110+755+11+30+21+29+37+22+24+31+20+90+8+32+47+8+210+99+65+31+19+16+147+92+12+25+131+53+91+106+110+56+100+112+208+90+38+21+26+74+52+100+100+208+97+91+87+87+67+280+317+29+67+87+79+94+100+39+68+41+19+112+113+202+189+101+240+104+100+97+150+183+77+62+239+100+100+185+108+125+207+22+61+60+38+201+106+95+111+212+121+85+205+64+94+96+93+101+309+71+31+40+512+107+197+19+85+26</f>
        <v>53158</v>
      </c>
      <c r="C45" s="2">
        <f>October!C45+B45</f>
        <v>255318</v>
      </c>
      <c r="D45" s="2"/>
      <c r="E45" s="2"/>
      <c r="F45" s="47">
        <f>56+5+6+1+1+2+37+1+4+2+6+10+3+10+318+3+34+4+2+7+3+10+5+36+2+11+7+3+1+122+90+1</f>
        <v>803</v>
      </c>
      <c r="G45" s="2">
        <f>October!G45+F45</f>
        <v>6256</v>
      </c>
      <c r="H45" s="32">
        <f>90+8</f>
        <v>98</v>
      </c>
      <c r="I45" s="2">
        <f>October!I45+H45</f>
        <v>1030</v>
      </c>
      <c r="J45" s="2">
        <f>1+1+2+1+3+1+1+2+3+1+1+4+2+1+31+1+2+2+1+2+4+2+2+3+2</f>
        <v>76</v>
      </c>
      <c r="K45" s="49">
        <f>8+64+54+28+5+5+69+5+8+79+18+52+48+22+86+24+450+653+19+2+210+20+34+25+9+11+7+11+1</f>
        <v>2027</v>
      </c>
      <c r="L45" s="2">
        <f>October!L45+K45</f>
        <v>21173</v>
      </c>
      <c r="M45" s="49">
        <f>6+11+1+3+1+17+1+16+1+12+3+2</f>
        <v>74</v>
      </c>
      <c r="N45" s="2">
        <f>October!N45+M45</f>
        <v>1172</v>
      </c>
      <c r="O45" s="2"/>
      <c r="P45" s="2"/>
    </row>
    <row r="46" spans="1:16" ht="18" customHeight="1">
      <c r="A46" s="2" t="s">
        <v>44</v>
      </c>
      <c r="B46" s="44">
        <f>210+66+53+66+60+77+56+75+75+60</f>
        <v>798</v>
      </c>
      <c r="C46" s="2">
        <f>October!C46+B46</f>
        <v>19349</v>
      </c>
      <c r="D46" s="2"/>
      <c r="E46" s="2"/>
      <c r="F46" s="47">
        <f>1</f>
        <v>1</v>
      </c>
      <c r="G46" s="2">
        <f>October!G46+F46</f>
        <v>32</v>
      </c>
      <c r="H46" s="32"/>
      <c r="I46" s="2">
        <f>October!I46+H46</f>
        <v>21</v>
      </c>
      <c r="J46" s="2"/>
      <c r="K46" s="49"/>
      <c r="L46" s="2">
        <f>October!L46+K46</f>
        <v>0</v>
      </c>
      <c r="M46" s="49"/>
      <c r="N46" s="2">
        <f>October!N46+M46</f>
        <v>2</v>
      </c>
      <c r="O46" s="2"/>
      <c r="P46" s="2"/>
    </row>
    <row r="47" spans="1:16" ht="18" customHeight="1">
      <c r="A47" s="2" t="s">
        <v>45</v>
      </c>
      <c r="B47" s="44">
        <f>32+74+135+20+140+80+86+111</f>
        <v>678</v>
      </c>
      <c r="C47" s="2">
        <f>October!C47+B47</f>
        <v>9804</v>
      </c>
      <c r="D47" s="2"/>
      <c r="E47" s="2" t="s">
        <v>83</v>
      </c>
      <c r="F47" s="47">
        <f>1+27+2+15+1</f>
        <v>46</v>
      </c>
      <c r="G47" s="2">
        <f>October!G47+F47</f>
        <v>396</v>
      </c>
      <c r="H47" s="32">
        <f>1+2</f>
        <v>3</v>
      </c>
      <c r="I47" s="2">
        <f>October!I47+H47</f>
        <v>5311</v>
      </c>
      <c r="J47" s="2">
        <f>1+2+2+1+5+7+1+5+1</f>
        <v>25</v>
      </c>
      <c r="K47" s="49"/>
      <c r="L47" s="2">
        <f>October!L47+K47</f>
        <v>630</v>
      </c>
      <c r="M47" s="49"/>
      <c r="N47" s="2">
        <f>October!N47+M47</f>
        <v>8</v>
      </c>
      <c r="O47" s="2"/>
      <c r="P47" s="2"/>
    </row>
    <row r="48" spans="1:16" ht="18" customHeight="1">
      <c r="A48" s="2" t="s">
        <v>46</v>
      </c>
      <c r="B48" s="44">
        <f>111+233+152+83+168+112+203</f>
        <v>1062</v>
      </c>
      <c r="C48" s="2">
        <f>October!C48+B48</f>
        <v>1197</v>
      </c>
      <c r="D48" s="2"/>
      <c r="E48" s="2"/>
      <c r="F48" s="47"/>
      <c r="G48" s="2">
        <f>October!G48+F48</f>
        <v>9</v>
      </c>
      <c r="H48" s="32"/>
      <c r="I48" s="2">
        <f>October!I48+H48</f>
        <v>142</v>
      </c>
      <c r="J48" s="2">
        <f>3</f>
        <v>3</v>
      </c>
      <c r="K48" s="49"/>
      <c r="L48" s="2">
        <f>October!L48+K48</f>
        <v>8</v>
      </c>
      <c r="M48" s="49"/>
      <c r="N48" s="2">
        <f>October!N48+M48</f>
        <v>0</v>
      </c>
      <c r="O48" s="2"/>
      <c r="P48" s="2"/>
    </row>
    <row r="49" spans="1:16" ht="18" customHeight="1">
      <c r="A49" s="2" t="s">
        <v>47</v>
      </c>
      <c r="B49" s="44"/>
      <c r="C49" s="2">
        <f>October!C49+B49</f>
        <v>0</v>
      </c>
      <c r="D49" s="2"/>
      <c r="E49" s="2"/>
      <c r="F49" s="47"/>
      <c r="G49" s="2">
        <f>October!G49+F49</f>
        <v>0</v>
      </c>
      <c r="H49" s="32"/>
      <c r="I49" s="2">
        <f>October!I49+H49</f>
        <v>6</v>
      </c>
      <c r="J49" s="2">
        <f>4</f>
        <v>4</v>
      </c>
      <c r="K49" s="49"/>
      <c r="L49" s="2">
        <f>October!L49+K49</f>
        <v>0</v>
      </c>
      <c r="M49" s="49"/>
      <c r="N49" s="2">
        <f>October!N49+M49</f>
        <v>0</v>
      </c>
      <c r="O49" s="2"/>
      <c r="P49" s="2"/>
    </row>
    <row r="50" spans="1:16" ht="18" customHeight="1">
      <c r="A50" s="2" t="s">
        <v>48</v>
      </c>
      <c r="B50" s="44">
        <f>68+22+54+69+55+61+58+79+66+130+72+140+115+260+230+76+65+121+62+87</f>
        <v>1890</v>
      </c>
      <c r="C50" s="2">
        <f>October!C50+B50</f>
        <v>29656</v>
      </c>
      <c r="D50" s="2"/>
      <c r="E50" s="2"/>
      <c r="F50" s="47"/>
      <c r="G50" s="2">
        <f>October!G50+F50</f>
        <v>5</v>
      </c>
      <c r="H50" s="32"/>
      <c r="I50" s="2">
        <f>October!I50+H50</f>
        <v>0</v>
      </c>
      <c r="J50" s="2"/>
      <c r="K50" s="49"/>
      <c r="L50" s="2">
        <f>October!L50+K50</f>
        <v>2</v>
      </c>
      <c r="M50" s="49"/>
      <c r="N50" s="2">
        <f>October!N50+M50</f>
        <v>0</v>
      </c>
      <c r="O50" s="2"/>
      <c r="P50" s="2"/>
    </row>
    <row r="51" spans="1:16" ht="18" customHeight="1">
      <c r="A51" s="2" t="s">
        <v>49</v>
      </c>
      <c r="B51" s="44">
        <f>160</f>
        <v>160</v>
      </c>
      <c r="C51" s="2">
        <f>October!C51+B51</f>
        <v>4910</v>
      </c>
      <c r="D51" s="2"/>
      <c r="E51" s="2"/>
      <c r="F51" s="47"/>
      <c r="G51" s="2">
        <f>October!G51+F51</f>
        <v>11</v>
      </c>
      <c r="H51" s="32"/>
      <c r="I51" s="2">
        <f>October!I51+H51</f>
        <v>49</v>
      </c>
      <c r="J51" s="2">
        <f>1</f>
        <v>1</v>
      </c>
      <c r="K51" s="49"/>
      <c r="L51" s="2">
        <f>October!L51+K51</f>
        <v>0</v>
      </c>
      <c r="M51" s="49"/>
      <c r="N51" s="2">
        <f>October!N51+M51</f>
        <v>1</v>
      </c>
      <c r="O51" s="2"/>
      <c r="P51" s="2"/>
    </row>
    <row r="52" spans="1:16" ht="18" customHeight="1">
      <c r="A52" s="2" t="s">
        <v>50</v>
      </c>
      <c r="B52" s="44">
        <f>60+61+75+70+90+68+68+55+62+62+95+95+105+101+70+95+65+101+58+58+58+58+58+53+57+66+66+58+37+23+7+7+4+27+22+9+5+2+1+115+90</f>
        <v>2337</v>
      </c>
      <c r="C52" s="2">
        <f>October!C52+B52</f>
        <v>12938</v>
      </c>
      <c r="D52" s="2"/>
      <c r="E52" s="2"/>
      <c r="F52" s="47"/>
      <c r="G52" s="2">
        <f>October!G52+F52</f>
        <v>67</v>
      </c>
      <c r="H52" s="32"/>
      <c r="I52" s="2">
        <f>October!I52+H52</f>
        <v>0</v>
      </c>
      <c r="J52" s="2"/>
      <c r="K52" s="49"/>
      <c r="L52" s="2">
        <f>October!L52+K52</f>
        <v>0</v>
      </c>
      <c r="M52" s="49"/>
      <c r="N52" s="2">
        <f>October!N52+M52</f>
        <v>0</v>
      </c>
      <c r="O52" s="2"/>
      <c r="P52" s="2"/>
    </row>
    <row r="53" spans="1:16" ht="18" customHeight="1">
      <c r="A53" s="2" t="s">
        <v>67</v>
      </c>
      <c r="B53" s="44">
        <f>33+32+29+23+20+96+20+10+17+19+154+133+69+141+30+5+198+43+95+69+2378+6+215+2+27+26+62+50+41+44+12+38+46+1+10+49+115+71+22+22+21+6+20+8+50+81+112+107+3+13+170+272+90+3+13+90+95+172+288+122+28+128+30+8+27+42+15+73+23+2+18+1+8</f>
        <v>6612</v>
      </c>
      <c r="C53" s="2">
        <f>October!C53+B53</f>
        <v>36637</v>
      </c>
      <c r="D53" s="2"/>
      <c r="E53" s="2"/>
      <c r="F53" s="47">
        <f>30+4+2+10+10+2+5+10+40+2+47+13+3+2+37+3+3+2+7</f>
        <v>232</v>
      </c>
      <c r="G53" s="2">
        <f>October!G53+F53</f>
        <v>1099</v>
      </c>
      <c r="H53" s="32">
        <f>3+22+4+27+38+1+2+23+2+1+1+1+1+1+27+73+1+2+1+1+13+2</f>
        <v>247</v>
      </c>
      <c r="I53" s="2">
        <f>October!I53+H53</f>
        <v>5456</v>
      </c>
      <c r="J53" s="2">
        <f>1+1+2+1+2+10</f>
        <v>17</v>
      </c>
      <c r="K53" s="49">
        <f>3</f>
        <v>3</v>
      </c>
      <c r="L53" s="2">
        <f>October!L53+K53</f>
        <v>301</v>
      </c>
      <c r="M53" s="49">
        <f>267</f>
        <v>267</v>
      </c>
      <c r="N53" s="2">
        <f>October!N53+M53</f>
        <v>291</v>
      </c>
      <c r="O53" s="2"/>
      <c r="P53" s="2"/>
    </row>
    <row r="54" spans="1:16" ht="18" customHeight="1" thickBot="1">
      <c r="A54" s="3" t="s">
        <v>51</v>
      </c>
      <c r="B54" s="45">
        <f>108+69+97+100+280+330+258+275+25+85+26+82+58+90+61+26+102+104+100+275+76+90+280+75+62+48+95+55+39+275+118+150+107+107</f>
        <v>4128</v>
      </c>
      <c r="C54" s="2">
        <f>October!C54+B54</f>
        <v>20673</v>
      </c>
      <c r="D54" s="3"/>
      <c r="E54" s="3"/>
      <c r="F54" s="48">
        <f>61+95+40+47+95+2+2</f>
        <v>342</v>
      </c>
      <c r="G54" s="2">
        <f>October!G54+F54</f>
        <v>1423</v>
      </c>
      <c r="H54" s="33"/>
      <c r="I54" s="2">
        <f>3+1+12</f>
        <v>16</v>
      </c>
      <c r="J54" s="3"/>
      <c r="K54" s="50"/>
      <c r="L54" s="2">
        <f>October!L54+K54</f>
        <v>1930</v>
      </c>
      <c r="M54" s="50"/>
      <c r="N54" s="2">
        <f>October!N54+M54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166469</v>
      </c>
      <c r="C55" s="1"/>
      <c r="D55" s="1">
        <f>SUM(D5:D54)</f>
        <v>2</v>
      </c>
      <c r="E55" s="1">
        <f>SUM(E5:E54)</f>
        <v>0</v>
      </c>
      <c r="F55" s="1">
        <f>SUM(F5:F54)</f>
        <v>3243</v>
      </c>
      <c r="G55" s="1"/>
      <c r="H55" s="1">
        <f>SUM(H5:H54)</f>
        <v>1717</v>
      </c>
      <c r="I55" s="1"/>
      <c r="J55" s="1">
        <f>SUM(J5:J54)</f>
        <v>394</v>
      </c>
      <c r="K55" s="1">
        <f>SUM(K5:K54)</f>
        <v>2888</v>
      </c>
      <c r="L55" s="1"/>
      <c r="M55" s="1">
        <f>SUM(M5:M54)</f>
        <v>484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October!C57+B55</f>
        <v>1434568</v>
      </c>
      <c r="D57" s="1">
        <f>October!D57+D55</f>
        <v>197</v>
      </c>
      <c r="E57" s="1">
        <f>October!E57+E55</f>
        <v>0</v>
      </c>
      <c r="F57" s="1"/>
      <c r="G57" s="1">
        <f>October!G57+F55</f>
        <v>29225</v>
      </c>
      <c r="H57" s="1"/>
      <c r="I57" s="1">
        <f>October!I57+H55</f>
        <v>31314</v>
      </c>
      <c r="J57" s="1">
        <f>October!J57+J55</f>
        <v>7785</v>
      </c>
      <c r="K57" s="1"/>
      <c r="L57" s="1">
        <f>October!L57+K55</f>
        <v>34557</v>
      </c>
      <c r="M57" s="1"/>
      <c r="N57" s="1">
        <f>October!N57+M55</f>
        <v>2561</v>
      </c>
      <c r="O57" s="1">
        <f>October!O57+O55</f>
        <v>173</v>
      </c>
      <c r="P57" s="1">
        <f>October!P57+P55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>
        <f>4700</f>
        <v>4700</v>
      </c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October!G62+F60</f>
        <v>7626</v>
      </c>
      <c r="I62" s="5">
        <f>October!I62+H60</f>
        <v>19270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5.75"/>
  <cols>
    <col min="1" max="1" width="18.125" style="5" customWidth="1"/>
    <col min="2" max="2" width="9.125" style="5" bestFit="1" customWidth="1"/>
    <col min="3" max="3" width="9.50390625" style="5" bestFit="1" customWidth="1"/>
    <col min="4" max="4" width="9.25390625" style="5" customWidth="1"/>
    <col min="5" max="5" width="7.00390625" style="5" customWidth="1"/>
    <col min="6" max="9" width="9.125" style="5" bestFit="1" customWidth="1"/>
    <col min="10" max="10" width="7.875" style="5" customWidth="1"/>
    <col min="11" max="14" width="9.125" style="5" bestFit="1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82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44"/>
      <c r="C5" s="2">
        <f>November!C5+B5</f>
        <v>2606</v>
      </c>
      <c r="D5" s="2"/>
      <c r="E5" s="2"/>
      <c r="F5" s="47"/>
      <c r="G5" s="2">
        <f>November!G5+F5</f>
        <v>9</v>
      </c>
      <c r="H5" s="32"/>
      <c r="I5" s="2">
        <f>November!I5+H5</f>
        <v>60</v>
      </c>
      <c r="J5" s="2"/>
      <c r="K5" s="49"/>
      <c r="L5" s="2">
        <f>November!L5+K5</f>
        <v>1</v>
      </c>
      <c r="M5" s="49"/>
      <c r="N5" s="2">
        <f>November!N5+M5</f>
        <v>0</v>
      </c>
      <c r="O5" s="2"/>
      <c r="P5" s="2"/>
    </row>
    <row r="6" spans="1:16" ht="18" customHeight="1">
      <c r="A6" s="2" t="s">
        <v>5</v>
      </c>
      <c r="B6" s="44"/>
      <c r="C6" s="2">
        <f>November!C6+B6</f>
        <v>0</v>
      </c>
      <c r="D6" s="2"/>
      <c r="E6" s="2" t="s">
        <v>65</v>
      </c>
      <c r="F6" s="47"/>
      <c r="G6" s="2">
        <f>November!G6+F6</f>
        <v>0</v>
      </c>
      <c r="H6" s="32"/>
      <c r="I6" s="2">
        <f>November!I6+H6</f>
        <v>0</v>
      </c>
      <c r="J6" s="2"/>
      <c r="K6" s="49"/>
      <c r="L6" s="2">
        <f>November!L6+K6</f>
        <v>0</v>
      </c>
      <c r="M6" s="49"/>
      <c r="N6" s="2">
        <f>November!N6+M6</f>
        <v>0</v>
      </c>
      <c r="O6" s="2"/>
      <c r="P6" s="2"/>
    </row>
    <row r="7" spans="1:16" ht="18" customHeight="1">
      <c r="A7" s="2" t="s">
        <v>6</v>
      </c>
      <c r="B7" s="44">
        <f>227+203+203</f>
        <v>633</v>
      </c>
      <c r="C7" s="2">
        <f>November!C7+B7</f>
        <v>830</v>
      </c>
      <c r="D7" s="2"/>
      <c r="E7" s="2"/>
      <c r="F7" s="47"/>
      <c r="G7" s="2">
        <f>November!G7+F7</f>
        <v>33</v>
      </c>
      <c r="H7" s="32">
        <f>50+340</f>
        <v>390</v>
      </c>
      <c r="I7" s="2">
        <f>November!I7+H7</f>
        <v>1108</v>
      </c>
      <c r="J7" s="2">
        <v>1</v>
      </c>
      <c r="K7" s="49"/>
      <c r="L7" s="2">
        <f>November!L7+K7</f>
        <v>1</v>
      </c>
      <c r="M7" s="49"/>
      <c r="N7" s="2">
        <f>November!N7+M7</f>
        <v>2</v>
      </c>
      <c r="O7" s="2"/>
      <c r="P7" s="2"/>
    </row>
    <row r="8" spans="1:16" ht="18" customHeight="1">
      <c r="A8" s="2" t="s">
        <v>7</v>
      </c>
      <c r="B8" s="44">
        <f>64+92</f>
        <v>156</v>
      </c>
      <c r="C8" s="2">
        <f>November!C8+B8</f>
        <v>5321</v>
      </c>
      <c r="D8" s="2"/>
      <c r="E8" s="2" t="s">
        <v>65</v>
      </c>
      <c r="F8" s="47"/>
      <c r="G8" s="2">
        <f>November!G8+F8</f>
        <v>43</v>
      </c>
      <c r="H8" s="32">
        <v>40</v>
      </c>
      <c r="I8" s="2">
        <f>November!I8+H8</f>
        <v>86</v>
      </c>
      <c r="J8" s="2">
        <f>2+1+1</f>
        <v>4</v>
      </c>
      <c r="K8" s="49"/>
      <c r="L8" s="2">
        <f>November!L8+K8</f>
        <v>0</v>
      </c>
      <c r="M8" s="49"/>
      <c r="N8" s="2">
        <f>November!N8+M8</f>
        <v>0</v>
      </c>
      <c r="O8" s="2"/>
      <c r="P8" s="2"/>
    </row>
    <row r="9" spans="1:16" ht="18" customHeight="1">
      <c r="A9" s="2" t="s">
        <v>8</v>
      </c>
      <c r="B9" s="44">
        <v>1</v>
      </c>
      <c r="C9" s="2">
        <f>November!C9+B9</f>
        <v>6144</v>
      </c>
      <c r="D9" s="2"/>
      <c r="E9" s="2" t="s">
        <v>65</v>
      </c>
      <c r="F9" s="47"/>
      <c r="G9" s="2">
        <f>November!G9+F9</f>
        <v>104</v>
      </c>
      <c r="H9" s="32">
        <f>1+12</f>
        <v>13</v>
      </c>
      <c r="I9" s="2">
        <f>November!I9+H9</f>
        <v>344</v>
      </c>
      <c r="J9" s="2">
        <v>15</v>
      </c>
      <c r="K9" s="49"/>
      <c r="L9" s="2">
        <f>November!L9+K9</f>
        <v>13</v>
      </c>
      <c r="M9" s="49"/>
      <c r="N9" s="2">
        <f>November!N9+M9</f>
        <v>8</v>
      </c>
      <c r="O9" s="2"/>
      <c r="P9" s="2"/>
    </row>
    <row r="10" spans="1:16" ht="18" customHeight="1">
      <c r="A10" s="2" t="s">
        <v>10</v>
      </c>
      <c r="B10" s="44">
        <f>66</f>
        <v>66</v>
      </c>
      <c r="C10" s="2">
        <f>November!C10+B10</f>
        <v>5595</v>
      </c>
      <c r="D10" s="2"/>
      <c r="E10" s="2"/>
      <c r="F10" s="47">
        <v>2</v>
      </c>
      <c r="G10" s="2">
        <f>November!G10+F10</f>
        <v>265</v>
      </c>
      <c r="H10" s="32">
        <v>1</v>
      </c>
      <c r="I10" s="2">
        <f>November!I10+H10</f>
        <v>97</v>
      </c>
      <c r="J10" s="2"/>
      <c r="K10" s="49"/>
      <c r="L10" s="2">
        <f>November!L10+K10</f>
        <v>0</v>
      </c>
      <c r="M10" s="49"/>
      <c r="N10" s="2">
        <f>November!N10+M10</f>
        <v>0</v>
      </c>
      <c r="O10" s="2"/>
      <c r="P10" s="2"/>
    </row>
    <row r="11" spans="1:16" ht="18" customHeight="1">
      <c r="A11" s="2" t="s">
        <v>9</v>
      </c>
      <c r="B11" s="44">
        <f>58+180+57+3+85+81+56+72+88+73+106+297+64+155+80+180+100+99+63+46+126+33+77</f>
        <v>2179</v>
      </c>
      <c r="C11" s="2">
        <f>November!C11+B11</f>
        <v>5877</v>
      </c>
      <c r="D11" s="2"/>
      <c r="E11" s="2"/>
      <c r="F11" s="47">
        <f>8+1+29+3</f>
        <v>41</v>
      </c>
      <c r="G11" s="2">
        <f>November!G11+F11</f>
        <v>734</v>
      </c>
      <c r="H11" s="32">
        <f>38+79+112+68+80+71</f>
        <v>448</v>
      </c>
      <c r="I11" s="2">
        <f>November!I11+H11</f>
        <v>1482</v>
      </c>
      <c r="J11" s="2">
        <v>13</v>
      </c>
      <c r="K11" s="49">
        <v>7</v>
      </c>
      <c r="L11" s="2">
        <f>November!L11+K11</f>
        <v>11</v>
      </c>
      <c r="M11" s="49"/>
      <c r="N11" s="2">
        <f>November!N11+M11</f>
        <v>3</v>
      </c>
      <c r="O11" s="2"/>
      <c r="P11" s="2"/>
    </row>
    <row r="12" spans="1:16" ht="18" customHeight="1">
      <c r="A12" s="2" t="s">
        <v>11</v>
      </c>
      <c r="B12" s="44"/>
      <c r="C12" s="2">
        <f>November!C12+B12</f>
        <v>0</v>
      </c>
      <c r="D12" s="2"/>
      <c r="E12" s="2"/>
      <c r="F12" s="47"/>
      <c r="G12" s="2">
        <f>November!G12+F12</f>
        <v>0</v>
      </c>
      <c r="H12" s="32"/>
      <c r="I12" s="2">
        <f>November!I12+H12</f>
        <v>0</v>
      </c>
      <c r="J12" s="2"/>
      <c r="K12" s="49"/>
      <c r="L12" s="2">
        <f>November!L12+K12</f>
        <v>0</v>
      </c>
      <c r="M12" s="49"/>
      <c r="N12" s="2">
        <f>November!N12+M12</f>
        <v>0</v>
      </c>
      <c r="O12" s="2"/>
      <c r="P12" s="2"/>
    </row>
    <row r="13" spans="1:16" ht="18" customHeight="1">
      <c r="A13" s="2" t="s">
        <v>12</v>
      </c>
      <c r="B13" s="44"/>
      <c r="C13" s="2">
        <f>November!C13+B13</f>
        <v>0</v>
      </c>
      <c r="D13" s="2"/>
      <c r="E13" s="2"/>
      <c r="F13" s="47"/>
      <c r="G13" s="2">
        <f>November!G13+F13</f>
        <v>0</v>
      </c>
      <c r="H13" s="32"/>
      <c r="I13" s="2">
        <f>November!I13+H13</f>
        <v>0</v>
      </c>
      <c r="J13" s="2"/>
      <c r="K13" s="49"/>
      <c r="L13" s="2">
        <f>November!L13+K13</f>
        <v>0</v>
      </c>
      <c r="M13" s="49"/>
      <c r="N13" s="2">
        <f>November!N13+M13</f>
        <v>0</v>
      </c>
      <c r="O13" s="2"/>
      <c r="P13" s="2"/>
    </row>
    <row r="14" spans="1:16" ht="18" customHeight="1">
      <c r="A14" s="2" t="s">
        <v>13</v>
      </c>
      <c r="B14" s="44"/>
      <c r="C14" s="2">
        <f>November!C14+B14</f>
        <v>122</v>
      </c>
      <c r="D14" s="2"/>
      <c r="E14" s="2"/>
      <c r="F14" s="47"/>
      <c r="G14" s="2">
        <f>November!G14+F14</f>
        <v>43</v>
      </c>
      <c r="H14" s="32"/>
      <c r="I14" s="2">
        <f>November!I14+H14</f>
        <v>10</v>
      </c>
      <c r="J14" s="2">
        <f>1+2+1</f>
        <v>4</v>
      </c>
      <c r="K14" s="49"/>
      <c r="L14" s="2">
        <f>November!L14+K14</f>
        <v>0</v>
      </c>
      <c r="M14" s="49"/>
      <c r="N14" s="2">
        <f>November!N14+M14</f>
        <v>0</v>
      </c>
      <c r="O14" s="2"/>
      <c r="P14" s="2"/>
    </row>
    <row r="15" spans="1:16" ht="18" customHeight="1">
      <c r="A15" s="2" t="s">
        <v>14</v>
      </c>
      <c r="B15" s="44">
        <f>31+72+66+75+90+160</f>
        <v>494</v>
      </c>
      <c r="C15" s="2">
        <f>November!C15+B15</f>
        <v>6751</v>
      </c>
      <c r="D15" s="2"/>
      <c r="E15" s="2"/>
      <c r="F15" s="47"/>
      <c r="G15" s="2">
        <f>November!G15+F15</f>
        <v>169</v>
      </c>
      <c r="H15" s="32"/>
      <c r="I15" s="2">
        <f>November!I15+H15</f>
        <v>2</v>
      </c>
      <c r="J15" s="2"/>
      <c r="K15" s="49"/>
      <c r="L15" s="2">
        <f>November!L15+K15</f>
        <v>0</v>
      </c>
      <c r="M15" s="49"/>
      <c r="N15" s="2">
        <f>November!N15+M15</f>
        <v>0</v>
      </c>
      <c r="O15" s="2"/>
      <c r="P15" s="2"/>
    </row>
    <row r="16" spans="1:16" ht="18" customHeight="1">
      <c r="A16" s="2" t="s">
        <v>15</v>
      </c>
      <c r="B16" s="44"/>
      <c r="C16" s="2">
        <f>November!C16+B16</f>
        <v>0</v>
      </c>
      <c r="D16" s="2"/>
      <c r="E16" s="2"/>
      <c r="F16" s="47"/>
      <c r="G16" s="2">
        <f>November!G16+F16</f>
        <v>0</v>
      </c>
      <c r="H16" s="32"/>
      <c r="I16" s="2">
        <f>November!I16+H16</f>
        <v>0</v>
      </c>
      <c r="J16" s="2"/>
      <c r="K16" s="49"/>
      <c r="L16" s="2">
        <f>November!L16+K16</f>
        <v>0</v>
      </c>
      <c r="M16" s="49"/>
      <c r="N16" s="2">
        <f>November!N16+M16</f>
        <v>0</v>
      </c>
      <c r="O16" s="2"/>
      <c r="P16" s="2"/>
    </row>
    <row r="17" spans="1:16" ht="18" customHeight="1">
      <c r="A17" s="2" t="s">
        <v>16</v>
      </c>
      <c r="B17" s="44">
        <f>86+12+4+16+150+170+315+84+85+105+190+300+48+48+295+50</f>
        <v>1958</v>
      </c>
      <c r="C17" s="2">
        <f>November!C17+B17</f>
        <v>15078</v>
      </c>
      <c r="D17" s="2"/>
      <c r="E17" s="2"/>
      <c r="F17" s="47">
        <v>18</v>
      </c>
      <c r="G17" s="2">
        <f>November!G17+F17</f>
        <v>270</v>
      </c>
      <c r="H17" s="32"/>
      <c r="I17" s="2">
        <f>November!I17+H17</f>
        <v>172</v>
      </c>
      <c r="J17" s="2"/>
      <c r="K17" s="49"/>
      <c r="L17" s="2">
        <f>November!L17+K17</f>
        <v>0</v>
      </c>
      <c r="M17" s="49"/>
      <c r="N17" s="2">
        <f>November!N17+M17</f>
        <v>0</v>
      </c>
      <c r="O17" s="2"/>
      <c r="P17" s="2"/>
    </row>
    <row r="18" spans="1:16" ht="18" customHeight="1">
      <c r="A18" s="2" t="s">
        <v>17</v>
      </c>
      <c r="B18" s="44">
        <f>80+19+13+26+77+58+150+9+14+11+72+142</f>
        <v>671</v>
      </c>
      <c r="C18" s="2">
        <f>November!C18+B18</f>
        <v>6139</v>
      </c>
      <c r="D18" s="2"/>
      <c r="E18" s="2" t="s">
        <v>65</v>
      </c>
      <c r="F18" s="47">
        <f>7+8+11+16+1+1+1+1+2+1+1+1+1+1+1+6+10</f>
        <v>70</v>
      </c>
      <c r="G18" s="2">
        <f>November!G18+F18</f>
        <v>454</v>
      </c>
      <c r="H18" s="32">
        <f>7+10+6+8+37</f>
        <v>68</v>
      </c>
      <c r="I18" s="2">
        <f>November!I18+H18</f>
        <v>393</v>
      </c>
      <c r="J18" s="2">
        <f>9+1</f>
        <v>10</v>
      </c>
      <c r="K18" s="49">
        <v>10</v>
      </c>
      <c r="L18" s="2">
        <f>November!L18+K18</f>
        <v>223</v>
      </c>
      <c r="M18" s="49"/>
      <c r="N18" s="2">
        <f>November!N18+M18</f>
        <v>180</v>
      </c>
      <c r="O18" s="2"/>
      <c r="P18" s="2"/>
    </row>
    <row r="19" spans="1:16" ht="18" customHeight="1">
      <c r="A19" s="2" t="s">
        <v>18</v>
      </c>
      <c r="B19" s="44">
        <f>75+200+120+150+150</f>
        <v>695</v>
      </c>
      <c r="C19" s="2">
        <f>November!C19+B19</f>
        <v>7618</v>
      </c>
      <c r="D19" s="2"/>
      <c r="E19" s="2"/>
      <c r="F19" s="47">
        <f>3+12+12</f>
        <v>27</v>
      </c>
      <c r="G19" s="2">
        <f>November!G19+F19</f>
        <v>94</v>
      </c>
      <c r="H19" s="32"/>
      <c r="I19" s="2">
        <f>November!I19+H19</f>
        <v>3541</v>
      </c>
      <c r="J19" s="2">
        <v>8</v>
      </c>
      <c r="K19" s="49"/>
      <c r="L19" s="2">
        <f>November!L19+K19</f>
        <v>45</v>
      </c>
      <c r="M19" s="49"/>
      <c r="N19" s="2">
        <f>November!N19+M19</f>
        <v>0</v>
      </c>
      <c r="O19" s="2"/>
      <c r="P19" s="2"/>
    </row>
    <row r="20" spans="1:16" ht="18" customHeight="1">
      <c r="A20" s="2" t="s">
        <v>19</v>
      </c>
      <c r="B20" s="44">
        <f>72+69+118+55+59+65+34+66+131+186+90+68+59+104+63+25+58+61+78+65+12+309+164+74+63+110+520+275+129+23+71+156+65+39+71+77+132</f>
        <v>3816</v>
      </c>
      <c r="C20" s="2">
        <f>November!C20+B20</f>
        <v>40430</v>
      </c>
      <c r="D20" s="2"/>
      <c r="E20" s="2"/>
      <c r="F20" s="47">
        <f>1+2+12+2+2+1+63+1+2+3+1+2+3+1</f>
        <v>96</v>
      </c>
      <c r="G20" s="2">
        <f>November!G20+F20</f>
        <v>490</v>
      </c>
      <c r="H20" s="32">
        <f>17+15+15+15+10+15</f>
        <v>87</v>
      </c>
      <c r="I20" s="2">
        <f>November!I20+H20</f>
        <v>659</v>
      </c>
      <c r="J20" s="2"/>
      <c r="K20" s="49"/>
      <c r="L20" s="2">
        <f>November!L20+K20</f>
        <v>15</v>
      </c>
      <c r="M20" s="49"/>
      <c r="N20" s="2">
        <f>November!N20+M20</f>
        <v>0</v>
      </c>
      <c r="O20" s="2"/>
      <c r="P20" s="2"/>
    </row>
    <row r="21" spans="1:16" ht="18" customHeight="1">
      <c r="A21" s="2" t="s">
        <v>20</v>
      </c>
      <c r="B21" s="44">
        <f>295+64+286+382+108+120+70+238+65+188+62+80+65+570+64+56+61+80+182+150+80+59+126+85+60+64+78+66+88+90+78+87+72+197+180+300+96+82+125+82+147+125+57+63+116+171+58+70+134+60+73+82+59+96+66+19+66+297+131+68+107+190+74+57+71+70+71+73+65+85+59+128+120+66+127+126+86+124+62+59+75+72+64+62+85+75</f>
        <v>9492</v>
      </c>
      <c r="C21" s="2">
        <f>November!C21+B21</f>
        <v>124656</v>
      </c>
      <c r="D21" s="2"/>
      <c r="E21" s="2" t="s">
        <v>65</v>
      </c>
      <c r="F21" s="47">
        <f>1+1+1+41+1+1+1+4+1</f>
        <v>52</v>
      </c>
      <c r="G21" s="2">
        <f>November!G21+F21</f>
        <v>155</v>
      </c>
      <c r="H21" s="32"/>
      <c r="I21" s="2">
        <f>November!I21+H21</f>
        <v>479</v>
      </c>
      <c r="J21" s="2">
        <v>7</v>
      </c>
      <c r="K21" s="49">
        <v>28</v>
      </c>
      <c r="L21" s="2">
        <f>November!L21+K21</f>
        <v>31</v>
      </c>
      <c r="M21" s="49"/>
      <c r="N21" s="2">
        <f>November!N21+M21</f>
        <v>0</v>
      </c>
      <c r="O21" s="2"/>
      <c r="P21" s="2"/>
    </row>
    <row r="22" spans="1:16" ht="18" customHeight="1">
      <c r="A22" s="2" t="s">
        <v>21</v>
      </c>
      <c r="B22" s="44"/>
      <c r="C22" s="2">
        <f>November!C22+B22</f>
        <v>0</v>
      </c>
      <c r="D22" s="2"/>
      <c r="E22" s="2"/>
      <c r="F22" s="47"/>
      <c r="G22" s="2">
        <f>November!G22+F22</f>
        <v>2</v>
      </c>
      <c r="H22" s="32"/>
      <c r="I22" s="2">
        <f>November!I22+H22</f>
        <v>0</v>
      </c>
      <c r="J22" s="2"/>
      <c r="K22" s="49"/>
      <c r="L22" s="2">
        <f>November!L22+K22</f>
        <v>0</v>
      </c>
      <c r="M22" s="49"/>
      <c r="N22" s="2">
        <f>November!N22+M22</f>
        <v>0</v>
      </c>
      <c r="O22" s="2"/>
      <c r="P22" s="2"/>
    </row>
    <row r="23" spans="1:16" ht="18" customHeight="1">
      <c r="A23" s="2" t="s">
        <v>22</v>
      </c>
      <c r="B23" s="44"/>
      <c r="C23" s="2">
        <f>November!C23+B23</f>
        <v>0</v>
      </c>
      <c r="D23" s="2"/>
      <c r="E23" s="2"/>
      <c r="F23" s="47"/>
      <c r="G23" s="2">
        <f>November!G23+F23</f>
        <v>0</v>
      </c>
      <c r="H23" s="32"/>
      <c r="I23" s="2">
        <f>November!I23+H23</f>
        <v>1</v>
      </c>
      <c r="J23" s="2"/>
      <c r="K23" s="49"/>
      <c r="L23" s="2">
        <f>November!L23+K23</f>
        <v>0</v>
      </c>
      <c r="M23" s="49"/>
      <c r="N23" s="2">
        <f>November!N23+M23</f>
        <v>0</v>
      </c>
      <c r="O23" s="2"/>
      <c r="P23" s="2"/>
    </row>
    <row r="24" spans="1:16" ht="18" customHeight="1">
      <c r="A24" s="2" t="s">
        <v>23</v>
      </c>
      <c r="B24" s="44"/>
      <c r="C24" s="2">
        <f>November!C24+B24</f>
        <v>0</v>
      </c>
      <c r="D24" s="2"/>
      <c r="E24" s="2" t="s">
        <v>65</v>
      </c>
      <c r="F24" s="47"/>
      <c r="G24" s="2">
        <f>November!G24+F24</f>
        <v>0</v>
      </c>
      <c r="H24" s="32"/>
      <c r="I24" s="2">
        <f>November!I24+H24</f>
        <v>13</v>
      </c>
      <c r="J24" s="2"/>
      <c r="K24" s="49"/>
      <c r="L24" s="2">
        <f>November!L24+K24</f>
        <v>0</v>
      </c>
      <c r="M24" s="49"/>
      <c r="N24" s="2">
        <f>November!N24+M24</f>
        <v>0</v>
      </c>
      <c r="O24" s="2"/>
      <c r="P24" s="2"/>
    </row>
    <row r="25" spans="1:16" ht="18" customHeight="1">
      <c r="A25" s="2" t="s">
        <v>68</v>
      </c>
      <c r="B25" s="44"/>
      <c r="C25" s="2">
        <f>November!C25+B25</f>
        <v>0</v>
      </c>
      <c r="D25" s="2"/>
      <c r="E25" s="2"/>
      <c r="F25" s="47"/>
      <c r="G25" s="2">
        <f>November!G25+F25</f>
        <v>17</v>
      </c>
      <c r="H25" s="32"/>
      <c r="I25" s="2">
        <f>November!I25+H25</f>
        <v>2</v>
      </c>
      <c r="J25" s="2"/>
      <c r="K25" s="49"/>
      <c r="L25" s="2">
        <f>November!L25+K25</f>
        <v>0</v>
      </c>
      <c r="M25" s="49"/>
      <c r="N25" s="2">
        <f>November!N25+M25</f>
        <v>0</v>
      </c>
      <c r="O25" s="2"/>
      <c r="P25" s="2"/>
    </row>
    <row r="26" spans="1:16" ht="18" customHeight="1">
      <c r="A26" s="2" t="s">
        <v>24</v>
      </c>
      <c r="B26" s="44">
        <f>80+118+69+61+1</f>
        <v>329</v>
      </c>
      <c r="C26" s="2">
        <f>November!C26+B26</f>
        <v>721</v>
      </c>
      <c r="D26" s="2"/>
      <c r="E26" s="2" t="s">
        <v>65</v>
      </c>
      <c r="F26" s="47">
        <v>2</v>
      </c>
      <c r="G26" s="2">
        <f>November!G26+F26</f>
        <v>28</v>
      </c>
      <c r="H26" s="32">
        <v>1</v>
      </c>
      <c r="I26" s="2">
        <f>November!I26+H26</f>
        <v>32</v>
      </c>
      <c r="J26" s="2">
        <f>4+2</f>
        <v>6</v>
      </c>
      <c r="K26" s="49">
        <v>2</v>
      </c>
      <c r="L26" s="2">
        <f>November!L26+K26</f>
        <v>54</v>
      </c>
      <c r="M26" s="49"/>
      <c r="N26" s="2">
        <f>November!N26+M26</f>
        <v>0</v>
      </c>
      <c r="O26" s="2"/>
      <c r="P26" s="2"/>
    </row>
    <row r="27" spans="1:16" ht="18" customHeight="1">
      <c r="A27" s="2" t="s">
        <v>25</v>
      </c>
      <c r="B27" s="44">
        <f>2+34+9+15+24+15+6+13+1+27+5+8+47+2+7+17+11+2+14+68+4+1+1+1+9+98+77+80+80+187+87+76+70+325+110+5+120+40+5+68+151+37+84+64+60+87+100+9+10+129+65+15+62+21+34+41+7+1+5+5+38+15+10+24+10+102+55+105+55+69+135+8+23+7+2+1+2+29+14+18+11+4+3+5+14+8+29+12+3+1+4+3+4</f>
        <v>3581</v>
      </c>
      <c r="C27" s="2">
        <f>November!C27+B27</f>
        <v>40598</v>
      </c>
      <c r="D27" s="2"/>
      <c r="E27" s="2" t="s">
        <v>65</v>
      </c>
      <c r="F27" s="47">
        <f>1+1+1+3+5+2+1+1+1+1+1+2+7+1+1+3+1+1+1+1+1+1+105</f>
        <v>143</v>
      </c>
      <c r="G27" s="2">
        <f>November!G27+F27</f>
        <v>1270</v>
      </c>
      <c r="H27" s="32">
        <f>46+1+2+13+24+15+15+15+1+6+3+2+1+3+42+42+42+2+83+1+43+1+11+104+56+46+37+21+31+29+5+5+3+1+50</f>
        <v>802</v>
      </c>
      <c r="I27" s="2">
        <f>November!I27+H27</f>
        <v>8357</v>
      </c>
      <c r="J27" s="2">
        <f>14+2+5+2+2+4+7</f>
        <v>36</v>
      </c>
      <c r="K27" s="49">
        <f>55+22</f>
        <v>77</v>
      </c>
      <c r="L27" s="2">
        <f>November!L27+K27</f>
        <v>1750</v>
      </c>
      <c r="M27" s="49">
        <f>29+21</f>
        <v>50</v>
      </c>
      <c r="N27" s="2">
        <f>November!N27+M27</f>
        <v>319</v>
      </c>
      <c r="O27" s="2"/>
      <c r="P27" s="2"/>
    </row>
    <row r="28" spans="1:16" ht="18" customHeight="1">
      <c r="A28" s="2" t="s">
        <v>26</v>
      </c>
      <c r="B28" s="44">
        <f>20+60</f>
        <v>80</v>
      </c>
      <c r="C28" s="2">
        <f>November!C28+B28</f>
        <v>1034</v>
      </c>
      <c r="D28" s="2"/>
      <c r="E28" s="2" t="s">
        <v>65</v>
      </c>
      <c r="F28" s="47"/>
      <c r="G28" s="2">
        <f>November!G28+F28</f>
        <v>7</v>
      </c>
      <c r="H28" s="32"/>
      <c r="I28" s="2">
        <f>November!I28+H28</f>
        <v>0</v>
      </c>
      <c r="J28" s="2">
        <v>5</v>
      </c>
      <c r="K28" s="49"/>
      <c r="L28" s="2">
        <f>November!L28+K28</f>
        <v>0</v>
      </c>
      <c r="M28" s="49"/>
      <c r="N28" s="2">
        <f>November!N28+M28</f>
        <v>0</v>
      </c>
      <c r="O28" s="2"/>
      <c r="P28" s="2"/>
    </row>
    <row r="29" spans="1:16" ht="18" customHeight="1">
      <c r="A29" s="2" t="s">
        <v>27</v>
      </c>
      <c r="B29" s="44">
        <f>14+23+180+120+138+90+85+28+70+74+93+85+69+52+76+72+90+62+62+72+75+68+51+118+161+41+129+78+62+179+78+25+86+43+90+100+120+120+22+218+60+8+38+20+170+31+75+46+88+60+60+89+37+92+90+90+60+60+70+70+119+82+90+78+182+35+98+77+71+70+67+53+94+186+70+88+8+87+26+5+41+41+5+70+64+17+23+70+15+1+60+45+64+81+74+60+247+50+89+63+66+67+71+73+73+73+85+82+98+111+70+70+70+70+70+70+70+66+87+96+83+117+38+83+58+79+100+29+79+178+43+85+71+51+74+72+86+84+85+30+18+144+57+13+170+77+113+423+236+75+224+422+77+73+35+203+72+138+133+160+210+206+225+197+95+95+98+81+145+88+24+35+345+126+60+60+60+97+83+28+76+73+70+75+63+5612+91+77+64+139+30+70+67+122+70+69+140+38+1+29+55+64+55+54+16+85+46+72+127+11+74+2+29+48+43+61+68+38+60+108+161+261</f>
        <v>24297</v>
      </c>
      <c r="C29" s="2">
        <f>November!C29+B29</f>
        <v>122074</v>
      </c>
      <c r="D29" s="2"/>
      <c r="E29" s="2"/>
      <c r="F29" s="47">
        <f>1+1+1+2+5+2+1+6+9+10+1+1+6+2+1+1+5+1+1+3+1+3+3+6+29+29+5+8+14+31+31+7+14+5+7+21</f>
        <v>274</v>
      </c>
      <c r="G29" s="2">
        <f>November!G29+F29</f>
        <v>1730</v>
      </c>
      <c r="H29" s="32"/>
      <c r="I29" s="2">
        <f>November!I29+H29</f>
        <v>239</v>
      </c>
      <c r="J29" s="2">
        <v>1</v>
      </c>
      <c r="K29" s="49"/>
      <c r="L29" s="2">
        <f>November!L29+K29</f>
        <v>201</v>
      </c>
      <c r="M29" s="49"/>
      <c r="N29" s="2">
        <f>November!N29+M29</f>
        <v>159</v>
      </c>
      <c r="O29" s="2"/>
      <c r="P29" s="2"/>
    </row>
    <row r="30" spans="1:16" ht="18" customHeight="1">
      <c r="A30" s="2" t="s">
        <v>28</v>
      </c>
      <c r="B30" s="44">
        <f>80+121+180+180+120+120+250+250+340+96+179+74+156+172+65+60+72+104+190+39+66+67+210+317+320+2149+33+21+110+17+24+27+28+3+126+13+100+380+330+120+108+280+54+35+110+17+40+250+80+97+17+11+19+55+78+86+100+15+4+58+3+16+19+11+249+120+295+205+90+1+144+245+105+101+177+83+100+112+99+97+83+98+235+300+29+58+19+77+103+62+87+175+154+90+110+110+77+95+26+276+110+210+114+200+109+16+80+255+105+180+110+85+70+6+10+116+15+90+100+470+57+23+47+87+191+111+98+100+90+62+69+9+10+85+73+72+299+78+1004</f>
        <v>18375</v>
      </c>
      <c r="C30" s="2">
        <f>November!C30+B30</f>
        <v>558817</v>
      </c>
      <c r="D30" s="2"/>
      <c r="E30" s="2" t="s">
        <v>65</v>
      </c>
      <c r="F30" s="47">
        <f>1+37+40+55+2+1+1+4+9+1+36+1+1+7+45+42+4+11+95+176+17+55+104+1+1+170+2+1+154+71+110+152+49+104+151+156+47+154+55+55+159+156+260+1+88</f>
        <v>2842</v>
      </c>
      <c r="G30" s="2">
        <f>November!G30+F30</f>
        <v>7832</v>
      </c>
      <c r="H30" s="32"/>
      <c r="I30" s="2">
        <f>November!I30+H30</f>
        <v>0</v>
      </c>
      <c r="J30" s="2">
        <v>8</v>
      </c>
      <c r="K30" s="49">
        <v>133</v>
      </c>
      <c r="L30" s="2">
        <f>November!L30+K30</f>
        <v>3502</v>
      </c>
      <c r="M30" s="49">
        <v>99</v>
      </c>
      <c r="N30" s="2">
        <f>November!N30+M30</f>
        <v>114</v>
      </c>
      <c r="O30" s="2"/>
      <c r="P30" s="2"/>
    </row>
    <row r="31" spans="1:16" ht="18" customHeight="1">
      <c r="A31" s="2" t="s">
        <v>29</v>
      </c>
      <c r="B31" s="44">
        <f>11489+107</f>
        <v>11596</v>
      </c>
      <c r="C31" s="2">
        <f>November!C31+B31</f>
        <v>76440</v>
      </c>
      <c r="D31" s="2"/>
      <c r="E31" s="2" t="s">
        <v>65</v>
      </c>
      <c r="F31" s="47">
        <f>1+1+100+9+3+2+3+3+1+2+1+1+2+1+3+2+1+2+45+2+42+43+43+18+38+24+12+38+4+5+1+7+10+26+27+45+2+83+39+50+3+2+1+1+1+1+6+1+1+3+10+1+1+1+9+1+3+5+6+2+1+1+55+2+2+4+7+50+48+19+84+1+2+1+2+4+6+3+9+3+2+1+246+1+2+50+23+15+2</f>
        <v>1447</v>
      </c>
      <c r="G31" s="2">
        <f>November!G31+F31</f>
        <v>9525</v>
      </c>
      <c r="H31" s="32">
        <v>51</v>
      </c>
      <c r="I31" s="2">
        <f>November!I31+H31</f>
        <v>536</v>
      </c>
      <c r="J31" s="2">
        <v>13</v>
      </c>
      <c r="K31" s="49">
        <f>10+4+4+7+3+3+9+9+16</f>
        <v>65</v>
      </c>
      <c r="L31" s="2">
        <f>November!L31+K31</f>
        <v>841</v>
      </c>
      <c r="M31" s="49">
        <v>3</v>
      </c>
      <c r="N31" s="2">
        <f>November!N31+M31</f>
        <v>386</v>
      </c>
      <c r="O31" s="2"/>
      <c r="P31" s="2"/>
    </row>
    <row r="32" spans="1:16" ht="18" customHeight="1">
      <c r="A32" s="2" t="s">
        <v>30</v>
      </c>
      <c r="B32" s="44"/>
      <c r="C32" s="2">
        <f>November!C32+B32</f>
        <v>116</v>
      </c>
      <c r="D32" s="2"/>
      <c r="E32" s="2" t="s">
        <v>65</v>
      </c>
      <c r="F32" s="47"/>
      <c r="G32" s="2">
        <f>November!G32+F32</f>
        <v>57</v>
      </c>
      <c r="H32" s="32">
        <f>267+12+8+5+9+10+12+10</f>
        <v>333</v>
      </c>
      <c r="I32" s="2">
        <f>November!I32+H32</f>
        <v>393</v>
      </c>
      <c r="J32" s="2"/>
      <c r="K32" s="49"/>
      <c r="L32" s="2">
        <f>November!L32+K32</f>
        <v>14</v>
      </c>
      <c r="M32" s="49"/>
      <c r="N32" s="2">
        <v>13</v>
      </c>
      <c r="O32" s="2"/>
      <c r="P32" s="2"/>
    </row>
    <row r="33" spans="1:16" ht="18" customHeight="1">
      <c r="A33" s="2" t="s">
        <v>31</v>
      </c>
      <c r="B33" s="44"/>
      <c r="C33" s="2">
        <f>November!C33+B33</f>
        <v>0</v>
      </c>
      <c r="D33" s="2"/>
      <c r="E33" s="2"/>
      <c r="F33" s="47"/>
      <c r="G33" s="2">
        <f>November!G33+F33</f>
        <v>0</v>
      </c>
      <c r="H33" s="32"/>
      <c r="I33" s="2">
        <f>November!I33+H33</f>
        <v>0</v>
      </c>
      <c r="J33" s="2"/>
      <c r="K33" s="49"/>
      <c r="L33" s="2">
        <f>November!L33+K33</f>
        <v>0</v>
      </c>
      <c r="M33" s="49"/>
      <c r="N33" s="2">
        <f>November!N33+M33</f>
        <v>0</v>
      </c>
      <c r="O33" s="2"/>
      <c r="P33" s="2"/>
    </row>
    <row r="34" spans="1:16" ht="18" customHeight="1">
      <c r="A34" s="2" t="s">
        <v>32</v>
      </c>
      <c r="B34" s="44"/>
      <c r="C34" s="2">
        <f>November!C34+B34</f>
        <v>0</v>
      </c>
      <c r="D34" s="2"/>
      <c r="E34" s="2"/>
      <c r="F34" s="47"/>
      <c r="G34" s="2">
        <f>November!G34+F34</f>
        <v>0</v>
      </c>
      <c r="H34" s="32"/>
      <c r="I34" s="2">
        <f>November!I34+H34</f>
        <v>0</v>
      </c>
      <c r="J34" s="2"/>
      <c r="K34" s="49"/>
      <c r="L34" s="2">
        <f>November!L34+K34</f>
        <v>0</v>
      </c>
      <c r="M34" s="49"/>
      <c r="N34" s="2">
        <f>November!N34+M34</f>
        <v>0</v>
      </c>
      <c r="O34" s="2"/>
      <c r="P34" s="2"/>
    </row>
    <row r="35" spans="1:16" ht="18" customHeight="1">
      <c r="A35" s="2" t="s">
        <v>33</v>
      </c>
      <c r="B35" s="44"/>
      <c r="C35" s="2">
        <f>November!C35+B35</f>
        <v>3740</v>
      </c>
      <c r="D35" s="2"/>
      <c r="E35" s="2"/>
      <c r="F35" s="47"/>
      <c r="G35" s="2">
        <f>November!G35+F35</f>
        <v>6</v>
      </c>
      <c r="H35" s="32"/>
      <c r="I35" s="2">
        <f>November!I35+H35</f>
        <v>682</v>
      </c>
      <c r="J35" s="2"/>
      <c r="K35" s="49"/>
      <c r="L35" s="2">
        <f>November!L35+K35</f>
        <v>3</v>
      </c>
      <c r="M35" s="49"/>
      <c r="N35" s="2">
        <f>November!N35+M35</f>
        <v>0</v>
      </c>
      <c r="O35" s="2"/>
      <c r="P35" s="2"/>
    </row>
    <row r="36" spans="1:16" ht="18" customHeight="1">
      <c r="A36" s="2" t="s">
        <v>34</v>
      </c>
      <c r="B36" s="44"/>
      <c r="C36" s="2">
        <f>November!C36+B36</f>
        <v>379</v>
      </c>
      <c r="D36" s="2"/>
      <c r="E36" s="2"/>
      <c r="F36" s="47">
        <v>1</v>
      </c>
      <c r="G36" s="2">
        <f>November!G36+F36</f>
        <v>63</v>
      </c>
      <c r="H36" s="32"/>
      <c r="I36" s="2">
        <f>November!I36+H36</f>
        <v>966</v>
      </c>
      <c r="J36" s="2"/>
      <c r="K36" s="49"/>
      <c r="L36" s="2">
        <f>November!L36+K36</f>
        <v>8</v>
      </c>
      <c r="M36" s="49"/>
      <c r="N36" s="2">
        <f>November!N36+M36</f>
        <v>0</v>
      </c>
      <c r="O36" s="2"/>
      <c r="P36" s="2"/>
    </row>
    <row r="37" spans="1:16" ht="18" customHeight="1">
      <c r="A37" s="2" t="s">
        <v>35</v>
      </c>
      <c r="B37" s="44">
        <f>57+140</f>
        <v>197</v>
      </c>
      <c r="C37" s="2">
        <f>November!C37+B37</f>
        <v>916</v>
      </c>
      <c r="D37" s="2"/>
      <c r="E37" s="2"/>
      <c r="F37" s="47">
        <f>54+1</f>
        <v>55</v>
      </c>
      <c r="G37" s="2"/>
      <c r="H37" s="32"/>
      <c r="I37" s="2">
        <f>November!I37+H37</f>
        <v>47</v>
      </c>
      <c r="J37" s="2"/>
      <c r="K37" s="49">
        <v>2</v>
      </c>
      <c r="L37" s="2">
        <f>November!L37+K37</f>
        <v>2</v>
      </c>
      <c r="M37" s="49"/>
      <c r="N37" s="2">
        <f>November!N37+M37</f>
        <v>0</v>
      </c>
      <c r="O37" s="2"/>
      <c r="P37" s="2"/>
    </row>
    <row r="38" spans="1:16" ht="18" customHeight="1">
      <c r="A38" s="2" t="s">
        <v>36</v>
      </c>
      <c r="B38" s="44">
        <f>235+69+90+80+115+159+68+12+102+114+117+84+108+78+231+79+27+84+81+61+93+210+129+90+83+158+341+130+43+343+70+70+105+75+94+106+368+35+142+266+84+104+80+135+320+82+91+79+180+92+201+145+90+162+76+295+108+106+250+137+220+44+96+30+169+87+172+68+107+31+107+94+146+98+200+28+78+74+94+173+86+41+41+112+103+100+86+60+69+70+89+94+95+90+185+78+106+57+125+110+85+100+80+120+95+70+65+100+172+185+85+91+40+42+23+100+100+102+107+215+108+30+100+100+121+73+89+90+111+100+89+160+160+85+85+87+65+112+85+180+219+82+184+116+98+228+446+75+165+250+100+363+80+90+191+42+290+114+95+510+90+84+82+82+83+92+81+95+103+98+89+89+92+94+90+93+89+91+78+83+83+90+105+201+93+90+96+85+88+89+22+98+80+105+210+60+112+110+103+95+90+75+199+75+170+97+94+189+85+140+531+33+24+95</f>
        <v>25110</v>
      </c>
      <c r="C38" s="2">
        <f>November!C38+B38</f>
        <v>89254</v>
      </c>
      <c r="D38" s="2"/>
      <c r="E38" s="2" t="s">
        <v>65</v>
      </c>
      <c r="F38" s="47">
        <f>90+52+3+1</f>
        <v>146</v>
      </c>
      <c r="G38" s="2">
        <f>November!G38+F38</f>
        <v>1139</v>
      </c>
      <c r="H38" s="32"/>
      <c r="I38" s="2">
        <f>November!I38+H38</f>
        <v>208</v>
      </c>
      <c r="J38" s="2">
        <v>5</v>
      </c>
      <c r="K38" s="49">
        <f>380+539</f>
        <v>919</v>
      </c>
      <c r="L38" s="2">
        <f>November!L38+K38</f>
        <v>4917</v>
      </c>
      <c r="M38" s="49">
        <v>53</v>
      </c>
      <c r="N38" s="2">
        <f>November!N38+M38</f>
        <v>61</v>
      </c>
      <c r="O38" s="2"/>
      <c r="P38" s="2"/>
    </row>
    <row r="39" spans="1:16" ht="18" customHeight="1">
      <c r="A39" s="2" t="s">
        <v>37</v>
      </c>
      <c r="B39" s="44">
        <f>135+110+120+250+156+58</f>
        <v>829</v>
      </c>
      <c r="C39" s="2">
        <f>November!C39+B39</f>
        <v>8377</v>
      </c>
      <c r="D39" s="2">
        <v>1</v>
      </c>
      <c r="E39" s="2" t="s">
        <v>65</v>
      </c>
      <c r="F39" s="47"/>
      <c r="G39" s="2">
        <f>November!G39+F39</f>
        <v>74</v>
      </c>
      <c r="H39" s="32"/>
      <c r="I39" s="2">
        <f>November!I39+H39</f>
        <v>1187</v>
      </c>
      <c r="J39" s="2"/>
      <c r="K39" s="49"/>
      <c r="L39" s="2">
        <f>November!L39+K39</f>
        <v>45</v>
      </c>
      <c r="M39" s="49"/>
      <c r="N39" s="2">
        <f>November!N39+M39</f>
        <v>0</v>
      </c>
      <c r="O39" s="2"/>
      <c r="P39" s="2"/>
    </row>
    <row r="40" spans="1:16" ht="18" customHeight="1">
      <c r="A40" s="2" t="s">
        <v>38</v>
      </c>
      <c r="B40" s="44"/>
      <c r="C40" s="2">
        <f>November!C40+B40</f>
        <v>6644</v>
      </c>
      <c r="D40" s="2"/>
      <c r="E40" s="2" t="s">
        <v>65</v>
      </c>
      <c r="F40" s="47"/>
      <c r="G40" s="2">
        <f>November!G40+F40</f>
        <v>249</v>
      </c>
      <c r="H40" s="32"/>
      <c r="I40" s="2">
        <f>November!I40+H40</f>
        <v>14</v>
      </c>
      <c r="J40" s="2"/>
      <c r="K40" s="49"/>
      <c r="L40" s="2">
        <f>November!L40+K40</f>
        <v>74</v>
      </c>
      <c r="M40" s="49"/>
      <c r="N40" s="2">
        <f>November!N40+M40</f>
        <v>3</v>
      </c>
      <c r="O40" s="2"/>
      <c r="P40" s="2"/>
    </row>
    <row r="41" spans="1:16" ht="18" customHeight="1">
      <c r="A41" s="2" t="s">
        <v>39</v>
      </c>
      <c r="B41" s="44">
        <f>156+150+11+268+305+90</f>
        <v>980</v>
      </c>
      <c r="C41" s="2">
        <f>November!C41+B41</f>
        <v>3043</v>
      </c>
      <c r="D41" s="2"/>
      <c r="E41" s="2" t="s">
        <v>65</v>
      </c>
      <c r="F41" s="47"/>
      <c r="G41" s="2">
        <f>November!G41+F41</f>
        <v>47</v>
      </c>
      <c r="H41" s="32"/>
      <c r="I41" s="2">
        <f>November!I41+H41</f>
        <v>0</v>
      </c>
      <c r="J41" s="2"/>
      <c r="K41" s="49"/>
      <c r="L41" s="2">
        <f>November!L41+K41</f>
        <v>5</v>
      </c>
      <c r="M41" s="49"/>
      <c r="N41" s="2">
        <f>November!N41+M41</f>
        <v>0</v>
      </c>
      <c r="O41" s="2"/>
      <c r="P41" s="2"/>
    </row>
    <row r="42" spans="1:16" ht="18" customHeight="1">
      <c r="A42" s="2" t="s">
        <v>40</v>
      </c>
      <c r="B42" s="44">
        <v>86</v>
      </c>
      <c r="C42" s="2">
        <f>November!C42+B42</f>
        <v>1125</v>
      </c>
      <c r="D42" s="2"/>
      <c r="E42" s="2"/>
      <c r="F42" s="47">
        <v>2</v>
      </c>
      <c r="G42" s="2">
        <f>November!G42+F42</f>
        <v>177</v>
      </c>
      <c r="H42" s="32">
        <v>173</v>
      </c>
      <c r="I42" s="2">
        <f>November!I42+H42</f>
        <v>596</v>
      </c>
      <c r="J42" s="2"/>
      <c r="K42" s="49"/>
      <c r="L42" s="2">
        <f>November!L42+K42</f>
        <v>0</v>
      </c>
      <c r="M42" s="49"/>
      <c r="N42" s="2">
        <f>November!N42+M42</f>
        <v>0</v>
      </c>
      <c r="O42" s="2"/>
      <c r="P42" s="2"/>
    </row>
    <row r="43" spans="1:16" ht="18" customHeight="1">
      <c r="A43" s="2" t="s">
        <v>41</v>
      </c>
      <c r="B43" s="44"/>
      <c r="C43" s="2">
        <f>November!C43+B43</f>
        <v>0</v>
      </c>
      <c r="D43" s="2"/>
      <c r="E43" s="2"/>
      <c r="F43" s="47"/>
      <c r="G43" s="2">
        <f>November!G43+F43</f>
        <v>0</v>
      </c>
      <c r="H43" s="32"/>
      <c r="I43" s="2">
        <f>November!I43+H43</f>
        <v>0</v>
      </c>
      <c r="J43" s="2"/>
      <c r="K43" s="49"/>
      <c r="L43" s="2">
        <f>November!L43+K43</f>
        <v>0</v>
      </c>
      <c r="M43" s="49"/>
      <c r="N43" s="2">
        <f>November!N43+M43</f>
        <v>0</v>
      </c>
      <c r="O43" s="2"/>
      <c r="P43" s="2"/>
    </row>
    <row r="44" spans="1:16" ht="18" customHeight="1">
      <c r="A44" s="2" t="s">
        <v>42</v>
      </c>
      <c r="B44" s="44">
        <f>89+89+180+92+85+90+88+66+84</f>
        <v>863</v>
      </c>
      <c r="C44" s="2">
        <f>November!C44+B44</f>
        <v>10125</v>
      </c>
      <c r="D44" s="2"/>
      <c r="E44" s="2"/>
      <c r="F44" s="47"/>
      <c r="G44" s="2">
        <f>November!G44+F44</f>
        <v>0</v>
      </c>
      <c r="H44" s="32"/>
      <c r="I44" s="2">
        <f>November!I44+H44</f>
        <v>0</v>
      </c>
      <c r="J44" s="2"/>
      <c r="K44" s="49"/>
      <c r="L44" s="2">
        <f>November!L44+K44</f>
        <v>0</v>
      </c>
      <c r="M44" s="49"/>
      <c r="N44" s="2">
        <f>November!N44+M44</f>
        <v>0</v>
      </c>
      <c r="O44" s="2"/>
      <c r="P44" s="2"/>
    </row>
    <row r="45" spans="1:16" ht="18" customHeight="1">
      <c r="A45" s="2" t="s">
        <v>43</v>
      </c>
      <c r="B45" s="44">
        <f>26907+190</f>
        <v>27097</v>
      </c>
      <c r="C45" s="2">
        <f>November!C45+B45</f>
        <v>282415</v>
      </c>
      <c r="D45" s="2">
        <v>2</v>
      </c>
      <c r="E45" s="2" t="s">
        <v>65</v>
      </c>
      <c r="F45" s="47">
        <v>1387</v>
      </c>
      <c r="G45" s="2">
        <f>November!G45+F45</f>
        <v>7643</v>
      </c>
      <c r="H45" s="32">
        <f>14+1+2</f>
        <v>17</v>
      </c>
      <c r="I45" s="2">
        <f>November!I45+H45</f>
        <v>1047</v>
      </c>
      <c r="J45" s="2"/>
      <c r="K45" s="49">
        <f>88+14+144+634+124+63+1+107+97</f>
        <v>1272</v>
      </c>
      <c r="L45" s="2">
        <f>November!L45+K45</f>
        <v>22445</v>
      </c>
      <c r="M45" s="49">
        <f>127+47</f>
        <v>174</v>
      </c>
      <c r="N45" s="2">
        <f>November!N45+M45</f>
        <v>1346</v>
      </c>
      <c r="O45" s="2"/>
      <c r="P45" s="2"/>
    </row>
    <row r="46" spans="1:16" ht="18" customHeight="1">
      <c r="A46" s="2" t="s">
        <v>44</v>
      </c>
      <c r="B46" s="44">
        <f>60+75+81+35+38+68+66+56+77+77+58+80+54+64+63</f>
        <v>952</v>
      </c>
      <c r="C46" s="2">
        <f>November!C46+B46</f>
        <v>20301</v>
      </c>
      <c r="D46" s="2"/>
      <c r="E46" s="2" t="s">
        <v>65</v>
      </c>
      <c r="F46" s="47">
        <f>1+1</f>
        <v>2</v>
      </c>
      <c r="G46" s="2">
        <f>November!G46+F46</f>
        <v>34</v>
      </c>
      <c r="H46" s="32">
        <f>8+12+12+12+12+12+12+4+12+12+12</f>
        <v>120</v>
      </c>
      <c r="I46" s="2">
        <f>November!I46+H46</f>
        <v>141</v>
      </c>
      <c r="J46" s="2"/>
      <c r="K46" s="49"/>
      <c r="L46" s="2">
        <f>November!L46+K46</f>
        <v>0</v>
      </c>
      <c r="M46" s="49"/>
      <c r="N46" s="2">
        <f>November!N46+M46</f>
        <v>2</v>
      </c>
      <c r="O46" s="2"/>
      <c r="P46" s="2"/>
    </row>
    <row r="47" spans="1:16" ht="18" customHeight="1">
      <c r="A47" s="2" t="s">
        <v>45</v>
      </c>
      <c r="B47" s="44">
        <f>43+150+37+39+300+179+213+41+41+37+38+39+43+179</f>
        <v>1379</v>
      </c>
      <c r="C47" s="2">
        <f>November!C47+B47</f>
        <v>11183</v>
      </c>
      <c r="D47" s="2"/>
      <c r="E47" s="2"/>
      <c r="F47" s="47">
        <f>1+80</f>
        <v>81</v>
      </c>
      <c r="G47" s="2">
        <f>November!G47+F47</f>
        <v>477</v>
      </c>
      <c r="H47" s="32">
        <f>213+54</f>
        <v>267</v>
      </c>
      <c r="I47" s="2">
        <f>November!I47+H47</f>
        <v>5578</v>
      </c>
      <c r="J47" s="2">
        <v>13</v>
      </c>
      <c r="K47" s="49"/>
      <c r="L47" s="2">
        <f>November!L47+K47</f>
        <v>630</v>
      </c>
      <c r="M47" s="49"/>
      <c r="N47" s="2">
        <f>November!N47+M47</f>
        <v>8</v>
      </c>
      <c r="O47" s="2"/>
      <c r="P47" s="2"/>
    </row>
    <row r="48" spans="1:16" ht="18" customHeight="1">
      <c r="A48" s="2" t="s">
        <v>46</v>
      </c>
      <c r="B48" s="44">
        <f>78+150</f>
        <v>228</v>
      </c>
      <c r="C48" s="2">
        <f>November!C48+B48</f>
        <v>1425</v>
      </c>
      <c r="D48" s="2"/>
      <c r="E48" s="2"/>
      <c r="F48" s="47">
        <v>82</v>
      </c>
      <c r="G48" s="2">
        <f>November!G48+F48</f>
        <v>91</v>
      </c>
      <c r="H48" s="32">
        <f>604+2+1+2+1+1+6+2</f>
        <v>619</v>
      </c>
      <c r="I48" s="2">
        <f>November!I48+H48</f>
        <v>761</v>
      </c>
      <c r="J48" s="2">
        <v>4</v>
      </c>
      <c r="K48" s="49"/>
      <c r="L48" s="2">
        <f>November!L48+K48</f>
        <v>8</v>
      </c>
      <c r="M48" s="49"/>
      <c r="N48" s="2">
        <f>November!N48+M48</f>
        <v>0</v>
      </c>
      <c r="O48" s="2"/>
      <c r="P48" s="2"/>
    </row>
    <row r="49" spans="1:16" ht="18" customHeight="1">
      <c r="A49" s="2" t="s">
        <v>47</v>
      </c>
      <c r="B49" s="44"/>
      <c r="C49" s="2">
        <f>November!C49+B49</f>
        <v>0</v>
      </c>
      <c r="D49" s="2"/>
      <c r="E49" s="2"/>
      <c r="F49" s="47"/>
      <c r="G49" s="2">
        <f>November!G49+F49</f>
        <v>0</v>
      </c>
      <c r="H49" s="32"/>
      <c r="I49" s="2">
        <f>November!I49+H49</f>
        <v>6</v>
      </c>
      <c r="J49" s="2"/>
      <c r="K49" s="49"/>
      <c r="L49" s="2">
        <f>November!L49+K49</f>
        <v>0</v>
      </c>
      <c r="M49" s="49"/>
      <c r="N49" s="2">
        <f>November!N49+M49</f>
        <v>0</v>
      </c>
      <c r="O49" s="2"/>
      <c r="P49" s="2"/>
    </row>
    <row r="50" spans="1:16" ht="18" customHeight="1">
      <c r="A50" s="2" t="s">
        <v>48</v>
      </c>
      <c r="B50" s="44">
        <f>141+70+60+195+58+59+78+180+63+33+42+185+1296+69+79+66+62+62+120</f>
        <v>2918</v>
      </c>
      <c r="C50" s="2">
        <f>November!C50+B50</f>
        <v>32574</v>
      </c>
      <c r="D50" s="2"/>
      <c r="E50" s="2"/>
      <c r="F50" s="47">
        <v>1</v>
      </c>
      <c r="G50" s="2">
        <f>November!G50+F50</f>
        <v>6</v>
      </c>
      <c r="H50" s="32"/>
      <c r="I50" s="2">
        <f>November!I50+H50</f>
        <v>0</v>
      </c>
      <c r="J50" s="2"/>
      <c r="K50" s="49"/>
      <c r="L50" s="2">
        <f>November!L50+K50</f>
        <v>2</v>
      </c>
      <c r="M50" s="49"/>
      <c r="N50" s="2">
        <f>November!N50+M50</f>
        <v>0</v>
      </c>
      <c r="O50" s="2"/>
      <c r="P50" s="2"/>
    </row>
    <row r="51" spans="1:16" ht="18" customHeight="1">
      <c r="A51" s="2" t="s">
        <v>49</v>
      </c>
      <c r="B51" s="44">
        <f>6+2+78+80</f>
        <v>166</v>
      </c>
      <c r="C51" s="2">
        <f>November!C51+B51</f>
        <v>5076</v>
      </c>
      <c r="D51" s="2"/>
      <c r="E51" s="2"/>
      <c r="F51" s="47">
        <v>8</v>
      </c>
      <c r="G51" s="2">
        <f>November!G51+F51</f>
        <v>19</v>
      </c>
      <c r="H51" s="32"/>
      <c r="I51" s="2">
        <f>November!I51+H51</f>
        <v>49</v>
      </c>
      <c r="J51" s="2"/>
      <c r="K51" s="49"/>
      <c r="L51" s="2">
        <f>November!L51+K51</f>
        <v>0</v>
      </c>
      <c r="M51" s="49"/>
      <c r="N51" s="2">
        <f>November!N51+M51</f>
        <v>1</v>
      </c>
      <c r="O51" s="2"/>
      <c r="P51" s="2"/>
    </row>
    <row r="52" spans="1:16" ht="18" customHeight="1">
      <c r="A52" s="2" t="s">
        <v>50</v>
      </c>
      <c r="B52" s="44">
        <f>65+65+64+64+63+56+60+67+61</f>
        <v>565</v>
      </c>
      <c r="C52" s="2">
        <f>November!C52+B52</f>
        <v>13503</v>
      </c>
      <c r="D52" s="2"/>
      <c r="E52" s="2"/>
      <c r="F52" s="47">
        <v>1</v>
      </c>
      <c r="G52" s="2">
        <f>November!G52+F52</f>
        <v>68</v>
      </c>
      <c r="H52" s="32"/>
      <c r="I52" s="2">
        <f>November!I52+H52</f>
        <v>0</v>
      </c>
      <c r="J52" s="2"/>
      <c r="K52" s="49"/>
      <c r="L52" s="2">
        <f>November!L52+K52</f>
        <v>0</v>
      </c>
      <c r="M52" s="49"/>
      <c r="N52" s="2">
        <f>November!N52+M52</f>
        <v>0</v>
      </c>
      <c r="O52" s="2"/>
      <c r="P52" s="2"/>
    </row>
    <row r="53" spans="1:16" ht="18" customHeight="1">
      <c r="A53" s="2" t="s">
        <v>67</v>
      </c>
      <c r="B53" s="44">
        <f>76+5+81+67+53+83+46+77+59+7+11+164+53+205+1+7+37+5+10+14+10+21+20+25+8+59+6+44+24+14+70+91+21+6+26+51+20+60+44+52+30+6+81+121+17+75+29+12+75+23+12+8+7+18+85+98+14+1+1+26+8+30+113+40+9+20+21+127+45+90+170+22+471+83+84+5+198+92+360+486+200+61+76+165+200+90+220+46+85+79+110+210+375+106</f>
        <v>6969</v>
      </c>
      <c r="C53" s="2">
        <f>November!C53+B53</f>
        <v>43606</v>
      </c>
      <c r="D53" s="2"/>
      <c r="E53" s="2" t="s">
        <v>65</v>
      </c>
      <c r="F53" s="47">
        <f>1+1+1+1+1+1+1+1+1+1+1+1+1+1+1+1+1+1+1+1+1+28+2+80+1+5+40</f>
        <v>177</v>
      </c>
      <c r="G53" s="2">
        <f>November!G53+F53</f>
        <v>1276</v>
      </c>
      <c r="H53" s="32">
        <f>1+64+80+29+29+1+80+7+38+11+5+80+5+80+1+162+1+2+40+204+1+1+2+8+7+1+24+85+3+1+8+80+6</f>
        <v>1147</v>
      </c>
      <c r="I53" s="2">
        <f>November!I53+H53</f>
        <v>6603</v>
      </c>
      <c r="J53" s="2">
        <v>23</v>
      </c>
      <c r="K53" s="49">
        <f>3+2+6+60</f>
        <v>71</v>
      </c>
      <c r="L53" s="2">
        <f>November!L53+K53</f>
        <v>372</v>
      </c>
      <c r="M53" s="49">
        <v>31</v>
      </c>
      <c r="N53" s="2">
        <f>November!N53+M53</f>
        <v>322</v>
      </c>
      <c r="O53" s="2"/>
      <c r="P53" s="2"/>
    </row>
    <row r="54" spans="1:16" ht="18" customHeight="1" thickBot="1">
      <c r="A54" s="3" t="s">
        <v>51</v>
      </c>
      <c r="B54" s="45"/>
      <c r="C54" s="2">
        <f>November!C54+B54</f>
        <v>20673</v>
      </c>
      <c r="D54" s="3"/>
      <c r="E54" s="3"/>
      <c r="F54" s="48">
        <f>17+1+57+330+87+1+320+204+1+37</f>
        <v>1055</v>
      </c>
      <c r="G54" s="2">
        <f>November!G54+F54</f>
        <v>2478</v>
      </c>
      <c r="H54" s="33"/>
      <c r="I54" s="2">
        <f>November!I54+H54</f>
        <v>16</v>
      </c>
      <c r="J54" s="3"/>
      <c r="K54" s="50"/>
      <c r="L54" s="2">
        <f>November!L54+K54</f>
        <v>1930</v>
      </c>
      <c r="M54" s="50"/>
      <c r="N54" s="2">
        <f>November!N54+M54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146758</v>
      </c>
      <c r="C55" s="1"/>
      <c r="D55" s="1">
        <f>SUM(D5:D54)</f>
        <v>3</v>
      </c>
      <c r="E55" s="1">
        <f>SUM(E5:E54)</f>
        <v>0</v>
      </c>
      <c r="F55" s="1">
        <f>SUM(F5:F54)</f>
        <v>8012</v>
      </c>
      <c r="G55" s="1"/>
      <c r="H55" s="1">
        <f>SUM(H5:H54)</f>
        <v>4577</v>
      </c>
      <c r="I55" s="1"/>
      <c r="J55" s="1">
        <f>SUM(J5:J54)</f>
        <v>176</v>
      </c>
      <c r="K55" s="1">
        <f>SUM(K5:K54)</f>
        <v>2586</v>
      </c>
      <c r="L55" s="1"/>
      <c r="M55" s="1">
        <f>SUM(M5:M54)</f>
        <v>410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November!C57+B55</f>
        <v>1581326</v>
      </c>
      <c r="D57" s="1">
        <f>November!D57+D55</f>
        <v>200</v>
      </c>
      <c r="E57" s="1">
        <f>November!E57+E55</f>
        <v>0</v>
      </c>
      <c r="F57" s="1"/>
      <c r="G57" s="1">
        <f>November!G57+F55</f>
        <v>37237</v>
      </c>
      <c r="H57" s="1"/>
      <c r="I57" s="1">
        <f>November!I57+H55</f>
        <v>35891</v>
      </c>
      <c r="J57" s="1">
        <f>November!J57+J55</f>
        <v>7961</v>
      </c>
      <c r="K57" s="1"/>
      <c r="L57" s="1">
        <f>November!L57+K55</f>
        <v>37143</v>
      </c>
      <c r="M57" s="1"/>
      <c r="N57" s="1">
        <f>November!N57+M55</f>
        <v>2971</v>
      </c>
      <c r="O57" s="1">
        <f>November!O57+O55</f>
        <v>173</v>
      </c>
      <c r="P57" s="1">
        <f>November!P57+P55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192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November!G62+F60</f>
        <v>7818</v>
      </c>
      <c r="I62" s="5">
        <f>November!I62+H60</f>
        <v>19270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ySplit="4" topLeftCell="BM55" activePane="bottomLeft" state="frozen"/>
      <selection pane="topLeft" activeCell="A1" sqref="A1"/>
      <selection pane="bottomLeft" activeCell="D70" sqref="D7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72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3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v>62</v>
      </c>
      <c r="C5" s="2">
        <f>January!C5+B5</f>
        <v>124</v>
      </c>
      <c r="D5" s="2"/>
      <c r="E5" s="2"/>
      <c r="F5" s="2"/>
      <c r="G5" s="2">
        <f>January!G5+F5</f>
        <v>0</v>
      </c>
      <c r="H5" s="2"/>
      <c r="I5" s="2">
        <f>January!I5+H5</f>
        <v>0</v>
      </c>
      <c r="J5" s="2"/>
      <c r="K5" s="2"/>
      <c r="L5" s="2">
        <f>January!L5+K5</f>
        <v>0</v>
      </c>
      <c r="M5" s="2"/>
      <c r="N5" s="2">
        <f>January!N5+M5</f>
        <v>0</v>
      </c>
      <c r="O5" s="2"/>
      <c r="P5" s="2"/>
    </row>
    <row r="6" spans="1:16" ht="18" customHeight="1">
      <c r="A6" s="2" t="s">
        <v>5</v>
      </c>
      <c r="B6" s="2"/>
      <c r="C6" s="2">
        <f>January!C6+B6</f>
        <v>0</v>
      </c>
      <c r="D6" s="2"/>
      <c r="E6" s="2"/>
      <c r="F6" s="2"/>
      <c r="G6" s="2">
        <f>January!G6+F6</f>
        <v>0</v>
      </c>
      <c r="H6" s="2"/>
      <c r="I6" s="2">
        <f>January!I6+H6</f>
        <v>0</v>
      </c>
      <c r="J6" s="2"/>
      <c r="K6" s="2"/>
      <c r="L6" s="2">
        <f>January!L6+K6</f>
        <v>0</v>
      </c>
      <c r="M6" s="2"/>
      <c r="N6" s="2">
        <f>January!N6+M6</f>
        <v>0</v>
      </c>
      <c r="O6" s="2"/>
      <c r="P6" s="2"/>
    </row>
    <row r="7" spans="1:16" ht="18" customHeight="1">
      <c r="A7" s="2" t="s">
        <v>6</v>
      </c>
      <c r="B7" s="2"/>
      <c r="C7" s="2">
        <f>January!C7+B7</f>
        <v>0</v>
      </c>
      <c r="D7" s="2"/>
      <c r="E7" s="2"/>
      <c r="F7" s="2"/>
      <c r="G7" s="2">
        <f>January!G7+F7</f>
        <v>1</v>
      </c>
      <c r="H7" s="2"/>
      <c r="I7" s="2">
        <f>January!I7+H7</f>
        <v>190</v>
      </c>
      <c r="J7" s="2"/>
      <c r="K7" s="2"/>
      <c r="L7" s="2">
        <f>January!L7+K7</f>
        <v>0</v>
      </c>
      <c r="M7" s="2"/>
      <c r="N7" s="2">
        <f>January!N7+M7</f>
        <v>0</v>
      </c>
      <c r="O7" s="2"/>
      <c r="P7" s="2"/>
    </row>
    <row r="8" spans="1:16" ht="18" customHeight="1">
      <c r="A8" s="2" t="s">
        <v>7</v>
      </c>
      <c r="B8" s="2">
        <v>77</v>
      </c>
      <c r="C8" s="2">
        <f>January!C8+B8</f>
        <v>261</v>
      </c>
      <c r="D8" s="2"/>
      <c r="E8" s="2"/>
      <c r="F8" s="2"/>
      <c r="G8" s="2">
        <f>January!G8+F8</f>
        <v>0</v>
      </c>
      <c r="H8" s="2">
        <v>37</v>
      </c>
      <c r="I8" s="2">
        <f>January!I8+H8</f>
        <v>37</v>
      </c>
      <c r="J8" s="2">
        <v>1</v>
      </c>
      <c r="K8" s="2"/>
      <c r="L8" s="2">
        <f>January!L8+K8</f>
        <v>0</v>
      </c>
      <c r="M8" s="2"/>
      <c r="N8" s="2">
        <f>January!N8+M8</f>
        <v>0</v>
      </c>
      <c r="O8" s="2"/>
      <c r="P8" s="2"/>
    </row>
    <row r="9" spans="1:16" ht="18" customHeight="1">
      <c r="A9" s="2" t="s">
        <v>8</v>
      </c>
      <c r="B9" s="2">
        <v>461</v>
      </c>
      <c r="C9" s="2">
        <f>January!C9+B9</f>
        <v>1225</v>
      </c>
      <c r="D9" s="2"/>
      <c r="E9" s="2"/>
      <c r="F9" s="2"/>
      <c r="G9" s="2">
        <f>January!G9+F9</f>
        <v>5</v>
      </c>
      <c r="H9" s="2">
        <v>1</v>
      </c>
      <c r="I9" s="2">
        <f>January!I9+H9</f>
        <v>1</v>
      </c>
      <c r="J9" s="2">
        <v>2</v>
      </c>
      <c r="K9" s="2"/>
      <c r="L9" s="2">
        <f>January!L9+K9</f>
        <v>0</v>
      </c>
      <c r="M9" s="2"/>
      <c r="N9" s="2">
        <f>January!N9+M9</f>
        <v>0</v>
      </c>
      <c r="O9" s="2"/>
      <c r="P9" s="2"/>
    </row>
    <row r="10" spans="1:16" ht="18" customHeight="1">
      <c r="A10" s="2" t="s">
        <v>10</v>
      </c>
      <c r="B10" s="2"/>
      <c r="C10" s="2">
        <f>January!C10+B10</f>
        <v>78</v>
      </c>
      <c r="D10" s="2"/>
      <c r="E10" s="2"/>
      <c r="F10" s="2">
        <v>11</v>
      </c>
      <c r="G10" s="2">
        <f>January!G10+F10</f>
        <v>112</v>
      </c>
      <c r="H10" s="2"/>
      <c r="I10" s="2">
        <f>January!I10+H10</f>
        <v>0</v>
      </c>
      <c r="J10" s="2"/>
      <c r="K10" s="2"/>
      <c r="L10" s="2">
        <f>January!L10+K10</f>
        <v>0</v>
      </c>
      <c r="M10" s="2"/>
      <c r="N10" s="2">
        <f>January!N10+M10</f>
        <v>0</v>
      </c>
      <c r="O10" s="2"/>
      <c r="P10" s="2"/>
    </row>
    <row r="11" spans="1:16" ht="18" customHeight="1">
      <c r="A11" s="2" t="s">
        <v>9</v>
      </c>
      <c r="B11" s="2">
        <v>448</v>
      </c>
      <c r="C11" s="2">
        <f>January!C11+B11</f>
        <v>963</v>
      </c>
      <c r="D11" s="2">
        <v>18</v>
      </c>
      <c r="E11" s="2"/>
      <c r="F11" s="2">
        <v>168</v>
      </c>
      <c r="G11" s="2">
        <f>January!G11+F11</f>
        <v>182</v>
      </c>
      <c r="H11" s="2">
        <v>124</v>
      </c>
      <c r="I11" s="2">
        <f>January!I11+H11</f>
        <v>207</v>
      </c>
      <c r="J11" s="2">
        <v>149</v>
      </c>
      <c r="K11" s="2"/>
      <c r="L11" s="2">
        <f>January!L11+K11</f>
        <v>4</v>
      </c>
      <c r="M11" s="2"/>
      <c r="N11" s="2">
        <f>January!N11+M11</f>
        <v>0</v>
      </c>
      <c r="O11" s="2"/>
      <c r="P11" s="2"/>
    </row>
    <row r="12" spans="1:16" ht="18" customHeight="1">
      <c r="A12" s="2" t="s">
        <v>11</v>
      </c>
      <c r="B12" s="2"/>
      <c r="C12" s="2">
        <f>January!C12+B12</f>
        <v>0</v>
      </c>
      <c r="D12" s="2"/>
      <c r="E12" s="2" t="s">
        <v>65</v>
      </c>
      <c r="F12" s="2"/>
      <c r="G12" s="2">
        <f>January!G12+F12</f>
        <v>0</v>
      </c>
      <c r="H12" s="2"/>
      <c r="I12" s="2">
        <f>January!I12+H12</f>
        <v>0</v>
      </c>
      <c r="J12" s="2"/>
      <c r="K12" s="2"/>
      <c r="L12" s="2">
        <f>January!L12+K12</f>
        <v>0</v>
      </c>
      <c r="M12" s="2"/>
      <c r="N12" s="2">
        <f>January!N12+M12</f>
        <v>0</v>
      </c>
      <c r="O12" s="2"/>
      <c r="P12" s="2"/>
    </row>
    <row r="13" spans="1:16" ht="18" customHeight="1">
      <c r="A13" s="2" t="s">
        <v>12</v>
      </c>
      <c r="B13" s="2"/>
      <c r="C13" s="2">
        <f>January!C13+B13</f>
        <v>0</v>
      </c>
      <c r="D13" s="2"/>
      <c r="E13" s="2"/>
      <c r="F13" s="2"/>
      <c r="G13" s="2">
        <f>January!G13+F13</f>
        <v>0</v>
      </c>
      <c r="H13" s="2"/>
      <c r="I13" s="2">
        <f>January!I13+H13</f>
        <v>0</v>
      </c>
      <c r="J13" s="2"/>
      <c r="K13" s="2"/>
      <c r="L13" s="2">
        <f>January!L13+K13</f>
        <v>0</v>
      </c>
      <c r="M13" s="2"/>
      <c r="N13" s="2">
        <f>January!N13+M13</f>
        <v>0</v>
      </c>
      <c r="O13" s="2"/>
      <c r="P13" s="2"/>
    </row>
    <row r="14" spans="1:16" ht="18" customHeight="1">
      <c r="A14" s="2" t="s">
        <v>13</v>
      </c>
      <c r="B14" s="2"/>
      <c r="C14" s="2">
        <f>January!C14+B14</f>
        <v>0</v>
      </c>
      <c r="D14" s="2"/>
      <c r="E14" s="2" t="s">
        <v>65</v>
      </c>
      <c r="F14" s="2">
        <v>43</v>
      </c>
      <c r="G14" s="2">
        <f>January!G14+F14</f>
        <v>43</v>
      </c>
      <c r="H14" s="2">
        <v>10</v>
      </c>
      <c r="I14" s="2">
        <f>January!I14+H14</f>
        <v>10</v>
      </c>
      <c r="J14" s="2">
        <v>8</v>
      </c>
      <c r="K14" s="2"/>
      <c r="L14" s="2">
        <f>January!L14+K14</f>
        <v>0</v>
      </c>
      <c r="M14" s="2"/>
      <c r="N14" s="2">
        <f>January!N14+M14</f>
        <v>0</v>
      </c>
      <c r="O14" s="2"/>
      <c r="P14" s="2"/>
    </row>
    <row r="15" spans="1:16" ht="18" customHeight="1">
      <c r="A15" s="2" t="s">
        <v>14</v>
      </c>
      <c r="B15" s="2">
        <v>418</v>
      </c>
      <c r="C15" s="2">
        <f>January!C15+B15</f>
        <v>491</v>
      </c>
      <c r="D15" s="2"/>
      <c r="E15" s="2"/>
      <c r="F15" s="2"/>
      <c r="G15" s="2">
        <f>January!G15+F15</f>
        <v>0</v>
      </c>
      <c r="H15" s="2">
        <v>1</v>
      </c>
      <c r="I15" s="2">
        <f>January!I15+H15</f>
        <v>1</v>
      </c>
      <c r="J15" s="2"/>
      <c r="K15" s="2"/>
      <c r="L15" s="2">
        <f>January!L15+K15</f>
        <v>0</v>
      </c>
      <c r="M15" s="2"/>
      <c r="N15" s="2">
        <f>January!N15+M15</f>
        <v>0</v>
      </c>
      <c r="O15" s="2"/>
      <c r="P15" s="2"/>
    </row>
    <row r="16" spans="1:16" ht="18" customHeight="1">
      <c r="A16" s="2" t="s">
        <v>15</v>
      </c>
      <c r="B16" s="2"/>
      <c r="C16" s="2">
        <f>January!C16+B16</f>
        <v>0</v>
      </c>
      <c r="D16" s="2"/>
      <c r="E16" s="2"/>
      <c r="F16" s="2"/>
      <c r="G16" s="2">
        <f>January!G16+F16</f>
        <v>0</v>
      </c>
      <c r="H16" s="2"/>
      <c r="I16" s="2">
        <f>January!I16+H16</f>
        <v>0</v>
      </c>
      <c r="J16" s="2"/>
      <c r="K16" s="2"/>
      <c r="L16" s="2">
        <f>January!L16+K16</f>
        <v>0</v>
      </c>
      <c r="M16" s="2"/>
      <c r="N16" s="2">
        <f>January!N16+M16</f>
        <v>0</v>
      </c>
      <c r="O16" s="2"/>
      <c r="P16" s="2"/>
    </row>
    <row r="17" spans="1:16" ht="18" customHeight="1">
      <c r="A17" s="2" t="s">
        <v>16</v>
      </c>
      <c r="B17" s="2">
        <v>160</v>
      </c>
      <c r="C17" s="2">
        <f>January!C17+B17</f>
        <v>3223</v>
      </c>
      <c r="D17" s="2"/>
      <c r="E17" s="2"/>
      <c r="F17" s="2"/>
      <c r="G17" s="2">
        <f>January!G17+F17</f>
        <v>128</v>
      </c>
      <c r="H17" s="2"/>
      <c r="I17" s="2">
        <f>January!I17+H17</f>
        <v>0</v>
      </c>
      <c r="J17" s="2"/>
      <c r="K17" s="2"/>
      <c r="L17" s="2">
        <f>January!L17+K17</f>
        <v>0</v>
      </c>
      <c r="M17" s="2"/>
      <c r="N17" s="2">
        <f>January!N17+M17</f>
        <v>0</v>
      </c>
      <c r="O17" s="2"/>
      <c r="P17" s="2"/>
    </row>
    <row r="18" spans="1:16" ht="18" customHeight="1">
      <c r="A18" s="2" t="s">
        <v>17</v>
      </c>
      <c r="B18" s="2">
        <v>869</v>
      </c>
      <c r="C18" s="2">
        <f>January!C18+B18</f>
        <v>1241</v>
      </c>
      <c r="D18" s="2">
        <v>2</v>
      </c>
      <c r="E18" s="2"/>
      <c r="F18" s="2">
        <v>9</v>
      </c>
      <c r="G18" s="2">
        <f>January!G18+F18</f>
        <v>22</v>
      </c>
      <c r="H18" s="2">
        <v>42</v>
      </c>
      <c r="I18" s="2">
        <f>January!I18+H18</f>
        <v>42</v>
      </c>
      <c r="J18" s="2"/>
      <c r="K18" s="2"/>
      <c r="L18" s="2">
        <f>January!L18+K18</f>
        <v>0</v>
      </c>
      <c r="M18" s="2"/>
      <c r="N18" s="2">
        <f>January!N18+M18</f>
        <v>0</v>
      </c>
      <c r="O18" s="2"/>
      <c r="P18" s="2"/>
    </row>
    <row r="19" spans="1:16" ht="18" customHeight="1">
      <c r="A19" s="2" t="s">
        <v>18</v>
      </c>
      <c r="B19" s="2">
        <v>487</v>
      </c>
      <c r="C19" s="2">
        <f>January!C19+B19</f>
        <v>751</v>
      </c>
      <c r="D19" s="2">
        <v>1</v>
      </c>
      <c r="E19" s="2"/>
      <c r="F19" s="2"/>
      <c r="G19" s="2">
        <f>January!G19+F19</f>
        <v>0</v>
      </c>
      <c r="H19" s="2"/>
      <c r="I19" s="2">
        <f>January!I19+H19</f>
        <v>186</v>
      </c>
      <c r="J19" s="2"/>
      <c r="K19" s="2"/>
      <c r="L19" s="2">
        <f>January!L19+K19</f>
        <v>0</v>
      </c>
      <c r="M19" s="2"/>
      <c r="N19" s="2">
        <f>January!N19+M19</f>
        <v>0</v>
      </c>
      <c r="O19" s="2">
        <v>7</v>
      </c>
      <c r="P19" s="2"/>
    </row>
    <row r="20" spans="1:16" ht="18" customHeight="1">
      <c r="A20" s="2" t="s">
        <v>19</v>
      </c>
      <c r="B20" s="2">
        <v>998</v>
      </c>
      <c r="C20" s="2">
        <f>January!C20+B20</f>
        <v>3019</v>
      </c>
      <c r="D20" s="2"/>
      <c r="E20" s="2"/>
      <c r="F20" s="2">
        <v>6</v>
      </c>
      <c r="G20" s="2">
        <f>January!G20+F20</f>
        <v>71</v>
      </c>
      <c r="H20" s="2"/>
      <c r="I20" s="2">
        <f>January!I20+H20</f>
        <v>0</v>
      </c>
      <c r="J20" s="2"/>
      <c r="K20" s="2"/>
      <c r="L20" s="2">
        <f>January!L20+K20</f>
        <v>0</v>
      </c>
      <c r="M20" s="2"/>
      <c r="N20" s="2">
        <f>January!N20+M20</f>
        <v>0</v>
      </c>
      <c r="O20" s="2"/>
      <c r="P20" s="2"/>
    </row>
    <row r="21" spans="1:16" ht="18" customHeight="1">
      <c r="A21" s="2" t="s">
        <v>20</v>
      </c>
      <c r="B21" s="2">
        <v>3586</v>
      </c>
      <c r="C21" s="2">
        <f>January!C21+B21</f>
        <v>7859</v>
      </c>
      <c r="D21" s="2"/>
      <c r="E21" s="2"/>
      <c r="F21" s="2"/>
      <c r="G21" s="2">
        <f>January!G21+F21</f>
        <v>0</v>
      </c>
      <c r="H21" s="2"/>
      <c r="I21" s="2">
        <f>January!I21+H21</f>
        <v>0</v>
      </c>
      <c r="J21" s="2"/>
      <c r="K21" s="2"/>
      <c r="L21" s="2">
        <f>January!L21+K21</f>
        <v>0</v>
      </c>
      <c r="M21" s="2"/>
      <c r="N21" s="2">
        <f>January!N21+M21</f>
        <v>0</v>
      </c>
      <c r="O21" s="2"/>
      <c r="P21" s="2"/>
    </row>
    <row r="22" spans="1:16" ht="18" customHeight="1">
      <c r="A22" s="2" t="s">
        <v>21</v>
      </c>
      <c r="B22" s="2"/>
      <c r="C22" s="2">
        <f>January!C22+B22</f>
        <v>0</v>
      </c>
      <c r="D22" s="2"/>
      <c r="E22" s="2"/>
      <c r="F22" s="2"/>
      <c r="G22" s="2">
        <f>January!G22+F22</f>
        <v>0</v>
      </c>
      <c r="H22" s="2"/>
      <c r="I22" s="2">
        <f>January!I22+H22</f>
        <v>0</v>
      </c>
      <c r="J22" s="2"/>
      <c r="K22" s="2"/>
      <c r="L22" s="2">
        <f>January!L22+K22</f>
        <v>0</v>
      </c>
      <c r="M22" s="2"/>
      <c r="N22" s="2">
        <f>January!N22+M22</f>
        <v>0</v>
      </c>
      <c r="O22" s="2"/>
      <c r="P22" s="2"/>
    </row>
    <row r="23" spans="1:16" ht="18" customHeight="1">
      <c r="A23" s="2" t="s">
        <v>22</v>
      </c>
      <c r="B23" s="2"/>
      <c r="C23" s="2">
        <f>January!C23+B23</f>
        <v>0</v>
      </c>
      <c r="D23" s="2"/>
      <c r="E23" s="2"/>
      <c r="F23" s="2"/>
      <c r="G23" s="2">
        <f>January!G23+F23</f>
        <v>0</v>
      </c>
      <c r="H23" s="2"/>
      <c r="I23" s="2">
        <f>January!I23+H23</f>
        <v>0</v>
      </c>
      <c r="J23" s="2"/>
      <c r="K23" s="2"/>
      <c r="L23" s="2">
        <f>January!L23+K23</f>
        <v>0</v>
      </c>
      <c r="M23" s="2"/>
      <c r="N23" s="2">
        <f>January!N23+M23</f>
        <v>0</v>
      </c>
      <c r="O23" s="2"/>
      <c r="P23" s="2"/>
    </row>
    <row r="24" spans="1:16" ht="18" customHeight="1">
      <c r="A24" s="2" t="s">
        <v>23</v>
      </c>
      <c r="B24" s="2"/>
      <c r="C24" s="2">
        <f>January!C24+B24</f>
        <v>0</v>
      </c>
      <c r="D24" s="2"/>
      <c r="E24" s="2"/>
      <c r="F24" s="2"/>
      <c r="G24" s="2">
        <f>January!G24+F24</f>
        <v>0</v>
      </c>
      <c r="H24" s="2">
        <v>1</v>
      </c>
      <c r="I24" s="2">
        <f>January!I24+H24</f>
        <v>1</v>
      </c>
      <c r="J24" s="2"/>
      <c r="K24" s="2"/>
      <c r="L24" s="2">
        <f>January!L24+K24</f>
        <v>0</v>
      </c>
      <c r="M24" s="2"/>
      <c r="N24" s="2">
        <f>January!N24+M24</f>
        <v>0</v>
      </c>
      <c r="O24" s="2"/>
      <c r="P24" s="2"/>
    </row>
    <row r="25" spans="1:16" ht="18" customHeight="1">
      <c r="A25" s="2" t="s">
        <v>68</v>
      </c>
      <c r="B25" s="2"/>
      <c r="C25" s="2">
        <f>January!C25+B25</f>
        <v>0</v>
      </c>
      <c r="D25" s="2"/>
      <c r="E25" s="2"/>
      <c r="F25" s="2"/>
      <c r="G25" s="2">
        <f>January!G25+F25</f>
        <v>17</v>
      </c>
      <c r="H25" s="2"/>
      <c r="I25" s="2">
        <f>January!I25+H25</f>
        <v>0</v>
      </c>
      <c r="J25" s="2"/>
      <c r="K25" s="2"/>
      <c r="L25" s="2">
        <f>January!L25+K25</f>
        <v>0</v>
      </c>
      <c r="M25" s="2"/>
      <c r="N25" s="2">
        <f>January!N25+M25</f>
        <v>0</v>
      </c>
      <c r="O25" s="2"/>
      <c r="P25" s="2"/>
    </row>
    <row r="26" spans="1:16" ht="18" customHeight="1">
      <c r="A26" s="2" t="s">
        <v>24</v>
      </c>
      <c r="B26" s="2"/>
      <c r="C26" s="2">
        <f>January!C26+B26</f>
        <v>0</v>
      </c>
      <c r="D26" s="2"/>
      <c r="E26" s="2"/>
      <c r="F26" s="2">
        <v>10</v>
      </c>
      <c r="G26" s="2">
        <f>January!G26+F26</f>
        <v>10</v>
      </c>
      <c r="H26" s="2"/>
      <c r="I26" s="2">
        <f>January!I26+H26</f>
        <v>0</v>
      </c>
      <c r="J26" s="2">
        <v>3</v>
      </c>
      <c r="K26" s="2"/>
      <c r="L26" s="2">
        <f>January!L26+K26</f>
        <v>0</v>
      </c>
      <c r="M26" s="2"/>
      <c r="N26" s="2">
        <f>January!N26+M26</f>
        <v>0</v>
      </c>
      <c r="O26" s="2"/>
      <c r="P26" s="2"/>
    </row>
    <row r="27" spans="1:16" ht="18" customHeight="1">
      <c r="A27" s="2" t="s">
        <v>25</v>
      </c>
      <c r="B27" s="2">
        <v>5259</v>
      </c>
      <c r="C27" s="2">
        <f>January!C27+B27</f>
        <v>7283</v>
      </c>
      <c r="D27" s="2"/>
      <c r="E27" s="2"/>
      <c r="F27" s="2">
        <v>101</v>
      </c>
      <c r="G27" s="2">
        <f>January!G27+F27</f>
        <v>150</v>
      </c>
      <c r="H27" s="2">
        <v>605</v>
      </c>
      <c r="I27" s="2">
        <f>January!I27+H27</f>
        <v>854</v>
      </c>
      <c r="J27" s="2">
        <v>7</v>
      </c>
      <c r="K27" s="2">
        <v>311</v>
      </c>
      <c r="L27" s="2">
        <f>January!L27+K27</f>
        <v>368</v>
      </c>
      <c r="M27" s="2"/>
      <c r="N27" s="2">
        <f>January!N27+M27</f>
        <v>0</v>
      </c>
      <c r="O27" s="2"/>
      <c r="P27" s="2">
        <v>152</v>
      </c>
    </row>
    <row r="28" spans="1:16" ht="18" customHeight="1">
      <c r="A28" s="2" t="s">
        <v>26</v>
      </c>
      <c r="B28" s="2"/>
      <c r="C28" s="2">
        <f>January!C28+B28</f>
        <v>385</v>
      </c>
      <c r="D28" s="2"/>
      <c r="E28" s="2"/>
      <c r="F28" s="2"/>
      <c r="G28" s="2">
        <f>January!G28+F28</f>
        <v>0</v>
      </c>
      <c r="H28" s="2"/>
      <c r="I28" s="2">
        <f>January!I28+H28</f>
        <v>0</v>
      </c>
      <c r="J28" s="2"/>
      <c r="K28" s="2"/>
      <c r="L28" s="2">
        <f>January!L28+K28</f>
        <v>0</v>
      </c>
      <c r="M28" s="2"/>
      <c r="N28" s="2">
        <f>January!N28+M28</f>
        <v>0</v>
      </c>
      <c r="O28" s="2"/>
      <c r="P28" s="2"/>
    </row>
    <row r="29" spans="1:16" ht="18" customHeight="1">
      <c r="A29" s="2" t="s">
        <v>27</v>
      </c>
      <c r="B29" s="2">
        <v>9122</v>
      </c>
      <c r="C29" s="2">
        <f>January!C29+B29</f>
        <v>9122</v>
      </c>
      <c r="D29" s="2">
        <v>5</v>
      </c>
      <c r="E29" s="2"/>
      <c r="F29" s="2">
        <v>80</v>
      </c>
      <c r="G29" s="2">
        <f>January!G29+F29</f>
        <v>80</v>
      </c>
      <c r="H29" s="2">
        <v>143</v>
      </c>
      <c r="I29" s="2">
        <f>January!I29+H29</f>
        <v>143</v>
      </c>
      <c r="J29" s="2">
        <v>5</v>
      </c>
      <c r="K29" s="2">
        <v>51</v>
      </c>
      <c r="L29" s="2">
        <f>January!L29+K29</f>
        <v>51</v>
      </c>
      <c r="M29" s="2"/>
      <c r="N29" s="2">
        <f>January!N29+M29</f>
        <v>0</v>
      </c>
      <c r="O29" s="2"/>
      <c r="P29" s="2"/>
    </row>
    <row r="30" spans="1:16" ht="18" customHeight="1">
      <c r="A30" s="2" t="s">
        <v>28</v>
      </c>
      <c r="B30" s="2">
        <v>11668</v>
      </c>
      <c r="C30" s="2">
        <f>January!C30+B30</f>
        <v>18909</v>
      </c>
      <c r="D30" s="2"/>
      <c r="E30" s="2"/>
      <c r="F30" s="2">
        <v>156</v>
      </c>
      <c r="G30" s="2">
        <f>January!G30+F30</f>
        <v>366</v>
      </c>
      <c r="H30" s="2"/>
      <c r="I30" s="2">
        <f>January!I30+H30</f>
        <v>0</v>
      </c>
      <c r="J30" s="2"/>
      <c r="K30" s="2">
        <v>32</v>
      </c>
      <c r="L30" s="2">
        <f>January!L30+K30</f>
        <v>32</v>
      </c>
      <c r="M30" s="2"/>
      <c r="N30" s="2">
        <f>January!N30+M30</f>
        <v>0</v>
      </c>
      <c r="O30" s="2"/>
      <c r="P30" s="2"/>
    </row>
    <row r="31" spans="1:16" ht="18" customHeight="1">
      <c r="A31" s="2" t="s">
        <v>29</v>
      </c>
      <c r="B31" s="2">
        <v>6645</v>
      </c>
      <c r="C31" s="2">
        <f>January!C31+B31</f>
        <v>9298</v>
      </c>
      <c r="D31" s="2"/>
      <c r="E31" s="2"/>
      <c r="F31" s="2">
        <v>614</v>
      </c>
      <c r="G31" s="2">
        <f>January!G31+F31</f>
        <v>857</v>
      </c>
      <c r="H31" s="2">
        <v>104</v>
      </c>
      <c r="I31" s="2">
        <f>January!I31+H31</f>
        <v>104</v>
      </c>
      <c r="J31" s="2">
        <v>10</v>
      </c>
      <c r="K31" s="2">
        <v>159</v>
      </c>
      <c r="L31" s="2">
        <f>January!L31+K31</f>
        <v>212</v>
      </c>
      <c r="M31" s="2"/>
      <c r="N31" s="2">
        <f>January!N31+M31</f>
        <v>48</v>
      </c>
      <c r="O31" s="2"/>
      <c r="P31" s="2"/>
    </row>
    <row r="32" spans="1:16" ht="18" customHeight="1">
      <c r="A32" s="2" t="s">
        <v>30</v>
      </c>
      <c r="B32" s="2"/>
      <c r="C32" s="2">
        <f>January!C32+B32</f>
        <v>0</v>
      </c>
      <c r="D32" s="2"/>
      <c r="E32" s="2"/>
      <c r="F32" s="2">
        <v>52</v>
      </c>
      <c r="G32" s="2">
        <f>January!G32+F32</f>
        <v>52</v>
      </c>
      <c r="H32" s="2">
        <v>60</v>
      </c>
      <c r="I32" s="2">
        <f>January!I32+H32</f>
        <v>60</v>
      </c>
      <c r="J32" s="2">
        <v>1</v>
      </c>
      <c r="K32" s="2"/>
      <c r="L32" s="2">
        <f>January!L32+K32</f>
        <v>0</v>
      </c>
      <c r="M32" s="2"/>
      <c r="N32" s="2">
        <f>January!N32+M32</f>
        <v>0</v>
      </c>
      <c r="O32" s="2"/>
      <c r="P32" s="2"/>
    </row>
    <row r="33" spans="1:16" ht="18" customHeight="1">
      <c r="A33" s="2" t="s">
        <v>31</v>
      </c>
      <c r="B33" s="2"/>
      <c r="C33" s="2">
        <f>January!C33+B33</f>
        <v>0</v>
      </c>
      <c r="D33" s="2"/>
      <c r="E33" s="2"/>
      <c r="F33" s="2"/>
      <c r="G33" s="2">
        <f>January!G33+F33</f>
        <v>0</v>
      </c>
      <c r="H33" s="2"/>
      <c r="I33" s="2">
        <f>January!I33+H33</f>
        <v>0</v>
      </c>
      <c r="J33" s="2"/>
      <c r="K33" s="2"/>
      <c r="L33" s="2">
        <f>January!L33+K33</f>
        <v>0</v>
      </c>
      <c r="M33" s="2"/>
      <c r="N33" s="2">
        <f>January!N33+M33</f>
        <v>0</v>
      </c>
      <c r="O33" s="2"/>
      <c r="P33" s="2"/>
    </row>
    <row r="34" spans="1:16" ht="18" customHeight="1">
      <c r="A34" s="2" t="s">
        <v>32</v>
      </c>
      <c r="B34" s="2"/>
      <c r="C34" s="2">
        <f>January!C34+B34</f>
        <v>0</v>
      </c>
      <c r="D34" s="2"/>
      <c r="E34" s="2"/>
      <c r="F34" s="2"/>
      <c r="G34" s="2">
        <f>January!G34+F34</f>
        <v>0</v>
      </c>
      <c r="H34" s="2"/>
      <c r="I34" s="2">
        <f>January!I34+H34</f>
        <v>0</v>
      </c>
      <c r="J34" s="2">
        <v>1</v>
      </c>
      <c r="K34" s="2"/>
      <c r="L34" s="2">
        <f>January!L34+K34</f>
        <v>0</v>
      </c>
      <c r="M34" s="2"/>
      <c r="N34" s="2">
        <f>January!N34+M34</f>
        <v>0</v>
      </c>
      <c r="O34" s="2"/>
      <c r="P34" s="2"/>
    </row>
    <row r="35" spans="1:16" ht="18" customHeight="1">
      <c r="A35" s="2" t="s">
        <v>33</v>
      </c>
      <c r="B35" s="2"/>
      <c r="C35" s="2">
        <f>January!C35+B35</f>
        <v>756</v>
      </c>
      <c r="D35" s="2"/>
      <c r="E35" s="2"/>
      <c r="F35" s="2"/>
      <c r="G35" s="2">
        <f>January!G35+F35</f>
        <v>4</v>
      </c>
      <c r="H35" s="2"/>
      <c r="I35" s="2">
        <f>January!I35+H35</f>
        <v>0</v>
      </c>
      <c r="J35" s="2"/>
      <c r="K35" s="2"/>
      <c r="L35" s="2">
        <f>January!L35+K35</f>
        <v>0</v>
      </c>
      <c r="M35" s="2"/>
      <c r="N35" s="2">
        <f>January!N35+M35</f>
        <v>0</v>
      </c>
      <c r="O35" s="2"/>
      <c r="P35" s="2"/>
    </row>
    <row r="36" spans="1:16" ht="18" customHeight="1">
      <c r="A36" s="2" t="s">
        <v>34</v>
      </c>
      <c r="B36" s="2"/>
      <c r="C36" s="2">
        <f>January!C36+B36</f>
        <v>0</v>
      </c>
      <c r="D36" s="2"/>
      <c r="E36" s="2"/>
      <c r="F36" s="2"/>
      <c r="G36" s="2">
        <f>January!G36+F36</f>
        <v>0</v>
      </c>
      <c r="H36" s="2">
        <v>39</v>
      </c>
      <c r="I36" s="2">
        <f>January!I36+H36</f>
        <v>116</v>
      </c>
      <c r="J36" s="2"/>
      <c r="K36" s="2"/>
      <c r="L36" s="2">
        <f>January!L36+K36</f>
        <v>0</v>
      </c>
      <c r="M36" s="2"/>
      <c r="N36" s="2">
        <f>January!N36+M36</f>
        <v>0</v>
      </c>
      <c r="O36" s="2"/>
      <c r="P36" s="2"/>
    </row>
    <row r="37" spans="1:16" ht="18" customHeight="1">
      <c r="A37" s="2" t="s">
        <v>35</v>
      </c>
      <c r="B37" s="2">
        <v>182</v>
      </c>
      <c r="C37" s="2">
        <f>January!C37+B37</f>
        <v>182</v>
      </c>
      <c r="D37" s="2"/>
      <c r="E37" s="2"/>
      <c r="F37" s="2"/>
      <c r="G37" s="2">
        <f>January!G37+F37</f>
        <v>0</v>
      </c>
      <c r="H37" s="2">
        <v>44</v>
      </c>
      <c r="I37" s="2">
        <f>January!I37+H37</f>
        <v>44</v>
      </c>
      <c r="J37" s="2">
        <v>1</v>
      </c>
      <c r="K37" s="2"/>
      <c r="L37" s="2">
        <f>January!L37+K37</f>
        <v>0</v>
      </c>
      <c r="M37" s="2"/>
      <c r="N37" s="2">
        <f>January!N37+M37</f>
        <v>0</v>
      </c>
      <c r="O37" s="2"/>
      <c r="P37" s="2"/>
    </row>
    <row r="38" spans="1:16" ht="18" customHeight="1">
      <c r="A38" s="2" t="s">
        <v>36</v>
      </c>
      <c r="B38" s="2">
        <v>8420</v>
      </c>
      <c r="C38" s="2">
        <f>January!C38+B38</f>
        <v>14089</v>
      </c>
      <c r="D38" s="2"/>
      <c r="E38" s="2"/>
      <c r="F38" s="2">
        <v>6</v>
      </c>
      <c r="G38" s="2">
        <f>January!G38+F38</f>
        <v>147</v>
      </c>
      <c r="H38" s="2"/>
      <c r="I38" s="2">
        <f>January!I38+H38</f>
        <v>0</v>
      </c>
      <c r="J38" s="2">
        <v>2</v>
      </c>
      <c r="K38" s="2">
        <v>173</v>
      </c>
      <c r="L38" s="2">
        <f>January!L38+K38</f>
        <v>173</v>
      </c>
      <c r="M38" s="2"/>
      <c r="N38" s="2">
        <f>January!N38+M38</f>
        <v>0</v>
      </c>
      <c r="O38" s="2"/>
      <c r="P38" s="2"/>
    </row>
    <row r="39" spans="1:16" ht="18" customHeight="1">
      <c r="A39" s="2" t="s">
        <v>37</v>
      </c>
      <c r="B39" s="2">
        <v>471</v>
      </c>
      <c r="C39" s="2">
        <f>January!C39+B39</f>
        <v>1113</v>
      </c>
      <c r="D39" s="2">
        <v>2</v>
      </c>
      <c r="E39" s="2"/>
      <c r="F39" s="2">
        <v>3</v>
      </c>
      <c r="G39" s="2">
        <f>January!G39+F39</f>
        <v>28</v>
      </c>
      <c r="H39" s="2"/>
      <c r="I39" s="2">
        <f>January!I39+H39</f>
        <v>1</v>
      </c>
      <c r="J39" s="2"/>
      <c r="K39" s="2"/>
      <c r="L39" s="2">
        <f>January!L39+K39</f>
        <v>0</v>
      </c>
      <c r="M39" s="2"/>
      <c r="N39" s="2">
        <f>January!N39+M39</f>
        <v>0</v>
      </c>
      <c r="O39" s="2"/>
      <c r="P39" s="2"/>
    </row>
    <row r="40" spans="1:16" ht="18" customHeight="1">
      <c r="A40" s="2" t="s">
        <v>38</v>
      </c>
      <c r="B40" s="2">
        <v>326</v>
      </c>
      <c r="C40" s="2">
        <f>January!C40+B40</f>
        <v>326</v>
      </c>
      <c r="D40" s="2"/>
      <c r="E40" s="2" t="s">
        <v>65</v>
      </c>
      <c r="F40" s="2">
        <v>22</v>
      </c>
      <c r="G40" s="2">
        <f>January!G40+F40</f>
        <v>25</v>
      </c>
      <c r="H40" s="2"/>
      <c r="I40" s="2">
        <f>January!I40+H40</f>
        <v>0</v>
      </c>
      <c r="J40" s="2">
        <v>3</v>
      </c>
      <c r="K40" s="2">
        <v>1</v>
      </c>
      <c r="L40" s="2">
        <f>January!L40+K40</f>
        <v>1</v>
      </c>
      <c r="M40" s="2"/>
      <c r="N40" s="2">
        <f>January!N40+M40</f>
        <v>0</v>
      </c>
      <c r="O40" s="2"/>
      <c r="P40" s="2"/>
    </row>
    <row r="41" spans="1:16" ht="18" customHeight="1">
      <c r="A41" s="2" t="s">
        <v>39</v>
      </c>
      <c r="B41" s="2">
        <v>58</v>
      </c>
      <c r="C41" s="2">
        <f>January!C41+B41</f>
        <v>329</v>
      </c>
      <c r="D41" s="2"/>
      <c r="E41" s="2"/>
      <c r="F41" s="2"/>
      <c r="G41" s="2">
        <f>January!G41+F41</f>
        <v>2</v>
      </c>
      <c r="H41" s="2"/>
      <c r="I41" s="2">
        <f>January!I41+H41</f>
        <v>0</v>
      </c>
      <c r="J41" s="2">
        <v>1</v>
      </c>
      <c r="K41" s="2"/>
      <c r="L41" s="2">
        <f>January!L41+K41</f>
        <v>0</v>
      </c>
      <c r="M41" s="2"/>
      <c r="N41" s="2">
        <f>January!N41+M41</f>
        <v>0</v>
      </c>
      <c r="O41" s="2"/>
      <c r="P41" s="2"/>
    </row>
    <row r="42" spans="1:16" ht="18" customHeight="1">
      <c r="A42" s="2" t="s">
        <v>40</v>
      </c>
      <c r="B42" s="2"/>
      <c r="C42" s="2">
        <f>January!C42+B42</f>
        <v>0</v>
      </c>
      <c r="D42" s="2">
        <v>1</v>
      </c>
      <c r="E42" s="2"/>
      <c r="F42" s="2"/>
      <c r="G42" s="2">
        <f>January!G42+F42</f>
        <v>12</v>
      </c>
      <c r="H42" s="2">
        <v>80</v>
      </c>
      <c r="I42" s="2">
        <f>January!I42+H42</f>
        <v>80</v>
      </c>
      <c r="J42" s="2"/>
      <c r="K42" s="2"/>
      <c r="L42" s="2">
        <f>January!L42+K42</f>
        <v>0</v>
      </c>
      <c r="M42" s="2"/>
      <c r="N42" s="2">
        <f>January!N42+M42</f>
        <v>0</v>
      </c>
      <c r="O42" s="2"/>
      <c r="P42" s="2"/>
    </row>
    <row r="43" spans="1:16" ht="18" customHeight="1">
      <c r="A43" s="2" t="s">
        <v>41</v>
      </c>
      <c r="B43" s="2"/>
      <c r="C43" s="2">
        <f>January!C43+B43</f>
        <v>0</v>
      </c>
      <c r="D43" s="2"/>
      <c r="E43" s="2"/>
      <c r="F43" s="2"/>
      <c r="G43" s="2">
        <f>January!G43+F43</f>
        <v>0</v>
      </c>
      <c r="H43" s="2"/>
      <c r="I43" s="2">
        <f>January!I43+H43</f>
        <v>0</v>
      </c>
      <c r="J43" s="2"/>
      <c r="K43" s="2"/>
      <c r="L43" s="2">
        <f>January!L43+K43</f>
        <v>0</v>
      </c>
      <c r="M43" s="2"/>
      <c r="N43" s="2">
        <f>January!N43+M43</f>
        <v>0</v>
      </c>
      <c r="O43" s="2"/>
      <c r="P43" s="2"/>
    </row>
    <row r="44" spans="1:16" ht="18" customHeight="1">
      <c r="A44" s="2" t="s">
        <v>42</v>
      </c>
      <c r="B44" s="2"/>
      <c r="C44" s="2">
        <f>January!C44+B44</f>
        <v>0</v>
      </c>
      <c r="D44" s="2"/>
      <c r="E44" s="2"/>
      <c r="F44" s="2"/>
      <c r="G44" s="2">
        <f>January!G44+F44</f>
        <v>0</v>
      </c>
      <c r="H44" s="2"/>
      <c r="I44" s="2">
        <f>January!I44+H44</f>
        <v>0</v>
      </c>
      <c r="J44" s="2">
        <v>1</v>
      </c>
      <c r="K44" s="2"/>
      <c r="L44" s="2">
        <f>January!L44+K44</f>
        <v>0</v>
      </c>
      <c r="M44" s="2"/>
      <c r="N44" s="2">
        <f>January!N44+M44</f>
        <v>0</v>
      </c>
      <c r="O44" s="2"/>
      <c r="P44" s="2"/>
    </row>
    <row r="45" spans="1:16" ht="18" customHeight="1">
      <c r="A45" s="2" t="s">
        <v>43</v>
      </c>
      <c r="B45" s="2">
        <v>23719</v>
      </c>
      <c r="C45" s="2">
        <f>January!C45+B45</f>
        <v>39805</v>
      </c>
      <c r="D45" s="2"/>
      <c r="E45" s="2"/>
      <c r="F45" s="2">
        <v>557</v>
      </c>
      <c r="G45" s="2">
        <f>January!G45+F45</f>
        <v>923</v>
      </c>
      <c r="H45" s="2">
        <v>91</v>
      </c>
      <c r="I45" s="2">
        <f>January!I45+H45</f>
        <v>136</v>
      </c>
      <c r="J45" s="2">
        <v>764</v>
      </c>
      <c r="K45" s="2">
        <v>918</v>
      </c>
      <c r="L45" s="2">
        <f>January!L45+K45</f>
        <v>2302</v>
      </c>
      <c r="M45" s="2">
        <v>107</v>
      </c>
      <c r="N45" s="2">
        <f>January!N45+M45</f>
        <v>308</v>
      </c>
      <c r="O45" s="2"/>
      <c r="P45" s="2">
        <v>123</v>
      </c>
    </row>
    <row r="46" spans="1:16" ht="18" customHeight="1">
      <c r="A46" s="2" t="s">
        <v>44</v>
      </c>
      <c r="B46" s="2">
        <v>564</v>
      </c>
      <c r="C46" s="2">
        <f>January!C46+B46</f>
        <v>1163</v>
      </c>
      <c r="D46" s="2"/>
      <c r="E46" s="2"/>
      <c r="F46" s="2">
        <v>2</v>
      </c>
      <c r="G46" s="2">
        <f>January!G46+F46</f>
        <v>3</v>
      </c>
      <c r="H46" s="2"/>
      <c r="I46" s="2">
        <f>January!I46+H46</f>
        <v>0</v>
      </c>
      <c r="J46" s="2">
        <v>1</v>
      </c>
      <c r="K46" s="2"/>
      <c r="L46" s="2">
        <f>January!L46+K46</f>
        <v>0</v>
      </c>
      <c r="M46" s="2"/>
      <c r="N46" s="2">
        <f>January!N46+M46</f>
        <v>0</v>
      </c>
      <c r="O46" s="2"/>
      <c r="P46" s="2"/>
    </row>
    <row r="47" spans="1:16" ht="18" customHeight="1">
      <c r="A47" s="2" t="s">
        <v>45</v>
      </c>
      <c r="B47" s="2">
        <v>1300</v>
      </c>
      <c r="C47" s="2">
        <f>January!C47+B47</f>
        <v>1300</v>
      </c>
      <c r="D47" s="2"/>
      <c r="E47" s="2"/>
      <c r="F47" s="2">
        <v>5</v>
      </c>
      <c r="G47" s="2">
        <f>January!G47+F47</f>
        <v>5</v>
      </c>
      <c r="H47" s="2">
        <v>101</v>
      </c>
      <c r="I47" s="2">
        <f>January!I47+H47</f>
        <v>101</v>
      </c>
      <c r="J47" s="2">
        <v>8</v>
      </c>
      <c r="K47" s="2"/>
      <c r="L47" s="2">
        <f>January!L47+K47</f>
        <v>0</v>
      </c>
      <c r="M47" s="2"/>
      <c r="N47" s="2">
        <f>January!N47+M47</f>
        <v>0</v>
      </c>
      <c r="O47" s="2"/>
      <c r="P47" s="2"/>
    </row>
    <row r="48" spans="1:16" ht="18" customHeight="1">
      <c r="A48" s="2" t="s">
        <v>46</v>
      </c>
      <c r="B48" s="2">
        <v>135</v>
      </c>
      <c r="C48" s="2">
        <f>January!C48+B48</f>
        <v>135</v>
      </c>
      <c r="D48" s="2"/>
      <c r="E48" s="2"/>
      <c r="F48" s="2">
        <v>2</v>
      </c>
      <c r="G48" s="2">
        <f>January!G48+F48</f>
        <v>2</v>
      </c>
      <c r="H48" s="2"/>
      <c r="I48" s="2">
        <f>January!I48+H48</f>
        <v>0</v>
      </c>
      <c r="J48" s="2">
        <v>58</v>
      </c>
      <c r="K48" s="2"/>
      <c r="L48" s="2">
        <f>January!L48+K48</f>
        <v>0</v>
      </c>
      <c r="M48" s="2"/>
      <c r="N48" s="2">
        <f>January!N48+M48</f>
        <v>0</v>
      </c>
      <c r="O48" s="2"/>
      <c r="P48" s="2"/>
    </row>
    <row r="49" spans="1:16" ht="18" customHeight="1">
      <c r="A49" s="2" t="s">
        <v>47</v>
      </c>
      <c r="B49" s="2"/>
      <c r="C49" s="2">
        <f>January!C49+B49</f>
        <v>0</v>
      </c>
      <c r="D49" s="2"/>
      <c r="E49" s="2"/>
      <c r="F49" s="2"/>
      <c r="G49" s="2">
        <f>January!G49+F49</f>
        <v>0</v>
      </c>
      <c r="H49" s="2"/>
      <c r="I49" s="2">
        <f>January!I49+H49</f>
        <v>0</v>
      </c>
      <c r="J49" s="2"/>
      <c r="K49" s="2"/>
      <c r="L49" s="2">
        <f>January!L49+K49</f>
        <v>0</v>
      </c>
      <c r="M49" s="2"/>
      <c r="N49" s="2">
        <f>January!N49+M49</f>
        <v>0</v>
      </c>
      <c r="O49" s="2"/>
      <c r="P49" s="2"/>
    </row>
    <row r="50" spans="1:16" ht="18" customHeight="1">
      <c r="A50" s="2" t="s">
        <v>48</v>
      </c>
      <c r="B50" s="2">
        <v>323</v>
      </c>
      <c r="C50" s="2">
        <f>January!C50+B50</f>
        <v>387</v>
      </c>
      <c r="D50" s="2"/>
      <c r="E50" s="2"/>
      <c r="F50" s="2"/>
      <c r="G50" s="2">
        <f>January!G50+F50</f>
        <v>0</v>
      </c>
      <c r="H50" s="2"/>
      <c r="I50" s="2">
        <f>January!I50+H50</f>
        <v>0</v>
      </c>
      <c r="J50" s="2"/>
      <c r="K50" s="2"/>
      <c r="L50" s="2">
        <f>January!L50+K50</f>
        <v>0</v>
      </c>
      <c r="M50" s="2"/>
      <c r="N50" s="2">
        <f>January!N50+M50</f>
        <v>0</v>
      </c>
      <c r="O50" s="2"/>
      <c r="P50" s="2"/>
    </row>
    <row r="51" spans="1:16" ht="18" customHeight="1">
      <c r="A51" s="2" t="s">
        <v>49</v>
      </c>
      <c r="B51" s="2">
        <v>875</v>
      </c>
      <c r="C51" s="2">
        <f>January!C51+B51</f>
        <v>1355</v>
      </c>
      <c r="D51" s="2"/>
      <c r="E51" s="2"/>
      <c r="F51" s="2"/>
      <c r="G51" s="2">
        <f>January!G51+F51</f>
        <v>0</v>
      </c>
      <c r="H51" s="2"/>
      <c r="I51" s="2">
        <f>January!I51+H51</f>
        <v>1</v>
      </c>
      <c r="J51" s="2"/>
      <c r="K51" s="2"/>
      <c r="L51" s="2">
        <f>January!L51+K51</f>
        <v>0</v>
      </c>
      <c r="M51" s="2"/>
      <c r="N51" s="2">
        <f>January!N51+M51</f>
        <v>0</v>
      </c>
      <c r="O51" s="2"/>
      <c r="P51" s="2"/>
    </row>
    <row r="52" spans="1:16" ht="18" customHeight="1">
      <c r="A52" s="2" t="s">
        <v>50</v>
      </c>
      <c r="B52" s="2">
        <v>160</v>
      </c>
      <c r="C52" s="2">
        <f>January!C52+B52</f>
        <v>1123</v>
      </c>
      <c r="D52" s="2"/>
      <c r="E52" s="2"/>
      <c r="F52" s="2"/>
      <c r="G52" s="2">
        <f>January!G52+F52</f>
        <v>0</v>
      </c>
      <c r="H52" s="2"/>
      <c r="I52" s="2">
        <f>January!I52+H52</f>
        <v>0</v>
      </c>
      <c r="J52" s="2"/>
      <c r="K52" s="2"/>
      <c r="L52" s="2">
        <f>January!L52+K52</f>
        <v>0</v>
      </c>
      <c r="M52" s="2"/>
      <c r="N52" s="2">
        <f>January!N52+M52</f>
        <v>0</v>
      </c>
      <c r="O52" s="2"/>
      <c r="P52" s="2"/>
    </row>
    <row r="53" spans="1:16" ht="18" customHeight="1">
      <c r="A53" s="2" t="s">
        <v>67</v>
      </c>
      <c r="B53" s="2">
        <v>2107</v>
      </c>
      <c r="C53" s="2">
        <f>January!C53+B53</f>
        <v>4021</v>
      </c>
      <c r="D53" s="2">
        <v>4</v>
      </c>
      <c r="E53" s="2" t="s">
        <v>65</v>
      </c>
      <c r="F53" s="2">
        <v>136</v>
      </c>
      <c r="G53" s="2">
        <f>January!G53+F53</f>
        <v>161</v>
      </c>
      <c r="H53" s="2">
        <v>346</v>
      </c>
      <c r="I53" s="2">
        <f>January!I53+H53</f>
        <v>866</v>
      </c>
      <c r="J53" s="2">
        <v>6</v>
      </c>
      <c r="K53" s="2"/>
      <c r="L53" s="2">
        <f>January!L53+K53</f>
        <v>0</v>
      </c>
      <c r="M53" s="2"/>
      <c r="N53" s="2">
        <f>January!N53+M53</f>
        <v>0</v>
      </c>
      <c r="O53" s="2"/>
      <c r="P53" s="2"/>
    </row>
    <row r="54" spans="1:16" ht="18" customHeight="1" thickBot="1">
      <c r="A54" s="3" t="s">
        <v>51</v>
      </c>
      <c r="B54" s="3">
        <v>599</v>
      </c>
      <c r="C54" s="2">
        <f>January!C54+B54</f>
        <v>599</v>
      </c>
      <c r="D54" s="2"/>
      <c r="E54" s="3"/>
      <c r="F54" s="3">
        <v>222</v>
      </c>
      <c r="G54" s="2">
        <f>January!G54+F54</f>
        <v>376</v>
      </c>
      <c r="H54" s="3"/>
      <c r="I54" s="2">
        <f>January!I54+H54</f>
        <v>0</v>
      </c>
      <c r="J54" s="3"/>
      <c r="K54" s="3"/>
      <c r="L54" s="2">
        <f>January!L54+K54</f>
        <v>0</v>
      </c>
      <c r="M54" s="3"/>
      <c r="N54" s="2">
        <f>January!N54+M54</f>
        <v>0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79499</v>
      </c>
      <c r="C55" s="1"/>
      <c r="D55" s="1">
        <f>SUM(D5:D54)</f>
        <v>33</v>
      </c>
      <c r="E55" s="1">
        <f>SUM(E5:E54)</f>
        <v>0</v>
      </c>
      <c r="F55" s="1">
        <f>SUM(F5:F54)</f>
        <v>2205</v>
      </c>
      <c r="G55" s="1"/>
      <c r="H55" s="1">
        <f>SUM(H5:H54)</f>
        <v>1829</v>
      </c>
      <c r="I55" s="1"/>
      <c r="J55" s="1">
        <f>SUM(J5:J54)</f>
        <v>1032</v>
      </c>
      <c r="K55" s="1">
        <f>SUM(K5:K54)</f>
        <v>1645</v>
      </c>
      <c r="L55" s="1"/>
      <c r="M55" s="1">
        <f>SUM(M5:M54)</f>
        <v>107</v>
      </c>
      <c r="N55" s="1"/>
      <c r="O55" s="1">
        <f>SUM(O5:O54)</f>
        <v>7</v>
      </c>
      <c r="P55" s="1">
        <f>SUM(P5:P54)</f>
        <v>275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January!C57+B55</f>
        <v>130915</v>
      </c>
      <c r="D57" s="1">
        <f>January!D57+D55</f>
        <v>35</v>
      </c>
      <c r="E57" s="1">
        <f>January!E57+E55</f>
        <v>0</v>
      </c>
      <c r="F57" s="1"/>
      <c r="G57" s="1">
        <f>January!G57+F55</f>
        <v>3784</v>
      </c>
      <c r="H57" s="1"/>
      <c r="I57" s="1">
        <f>January!I57+H55</f>
        <v>3181</v>
      </c>
      <c r="J57" s="1">
        <f>January!J57+J55</f>
        <v>1097</v>
      </c>
      <c r="K57" s="1"/>
      <c r="L57" s="1">
        <f>January!L57+K55</f>
        <v>3143</v>
      </c>
      <c r="M57" s="1"/>
      <c r="N57" s="1">
        <f>January!N57+M55</f>
        <v>356</v>
      </c>
      <c r="O57" s="1">
        <f>January!O57+O55</f>
        <v>9</v>
      </c>
      <c r="P57" s="1">
        <f>January!P57+P55</f>
        <v>1893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910</v>
      </c>
      <c r="G60" s="6"/>
      <c r="H60" s="6">
        <v>6600</v>
      </c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s="7" customFormat="1" ht="18" customHeight="1">
      <c r="A62" s="7" t="s">
        <v>69</v>
      </c>
      <c r="G62" s="7">
        <f>January!G62+F60</f>
        <v>1806</v>
      </c>
      <c r="I62" s="7">
        <f>January!I62+H60</f>
        <v>6600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="95" zoomScaleNormal="95" zoomScalePageLayoutView="0" workbookViewId="0" topLeftCell="A1">
      <pane ySplit="4" topLeftCell="BM51" activePane="bottomLeft" state="frozen"/>
      <selection pane="topLeft" activeCell="A1" sqref="A1"/>
      <selection pane="bottomLeft" activeCell="D70" sqref="D7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73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3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v>68</v>
      </c>
      <c r="C5" s="2">
        <f>February!C5+B5</f>
        <v>192</v>
      </c>
      <c r="D5" s="2"/>
      <c r="E5" s="2"/>
      <c r="F5" s="2"/>
      <c r="G5" s="2">
        <f>February!G5+F5</f>
        <v>0</v>
      </c>
      <c r="H5" s="2"/>
      <c r="I5" s="2">
        <f>February!I5+H5</f>
        <v>0</v>
      </c>
      <c r="J5" s="2"/>
      <c r="K5" s="2"/>
      <c r="L5" s="2">
        <f>February!L5+K5</f>
        <v>0</v>
      </c>
      <c r="M5" s="2"/>
      <c r="N5" s="2">
        <f>February!N5+M5</f>
        <v>0</v>
      </c>
      <c r="O5" s="2"/>
      <c r="P5" s="2"/>
    </row>
    <row r="6" spans="1:16" ht="18" customHeight="1">
      <c r="A6" s="2" t="s">
        <v>5</v>
      </c>
      <c r="B6" s="2"/>
      <c r="C6" s="2">
        <f>February!C6+B6</f>
        <v>0</v>
      </c>
      <c r="D6" s="2"/>
      <c r="E6" s="2"/>
      <c r="F6" s="2"/>
      <c r="G6" s="2">
        <f>February!G6+F6</f>
        <v>0</v>
      </c>
      <c r="H6" s="2"/>
      <c r="I6" s="2">
        <f>February!I6+H6</f>
        <v>0</v>
      </c>
      <c r="J6" s="2"/>
      <c r="K6" s="2"/>
      <c r="L6" s="2">
        <f>February!L6+K6</f>
        <v>0</v>
      </c>
      <c r="M6" s="2"/>
      <c r="N6" s="2">
        <f>February!N6+M6</f>
        <v>0</v>
      </c>
      <c r="O6" s="2"/>
      <c r="P6" s="2"/>
    </row>
    <row r="7" spans="1:16" ht="18" customHeight="1">
      <c r="A7" s="2" t="s">
        <v>6</v>
      </c>
      <c r="B7" s="2"/>
      <c r="C7" s="2">
        <f>February!C7+B7</f>
        <v>0</v>
      </c>
      <c r="D7" s="2"/>
      <c r="E7" s="2"/>
      <c r="F7" s="2"/>
      <c r="G7" s="2">
        <f>February!G7+F7</f>
        <v>1</v>
      </c>
      <c r="H7" s="2"/>
      <c r="I7" s="2">
        <f>February!I7+H7</f>
        <v>190</v>
      </c>
      <c r="J7" s="2">
        <v>2</v>
      </c>
      <c r="K7" s="2"/>
      <c r="L7" s="2">
        <f>February!L7+K7</f>
        <v>0</v>
      </c>
      <c r="M7" s="2"/>
      <c r="N7" s="2">
        <f>February!N7+M7</f>
        <v>0</v>
      </c>
      <c r="O7" s="2"/>
      <c r="P7" s="2"/>
    </row>
    <row r="8" spans="1:16" ht="18" customHeight="1">
      <c r="A8" s="2" t="s">
        <v>7</v>
      </c>
      <c r="B8" s="2"/>
      <c r="C8" s="2">
        <f>February!C8+B8</f>
        <v>261</v>
      </c>
      <c r="D8" s="2"/>
      <c r="E8" s="2"/>
      <c r="F8" s="2"/>
      <c r="G8" s="2">
        <f>February!G8+F8</f>
        <v>0</v>
      </c>
      <c r="H8" s="2"/>
      <c r="I8" s="2">
        <f>February!I8+H8</f>
        <v>37</v>
      </c>
      <c r="J8" s="2"/>
      <c r="K8" s="2"/>
      <c r="L8" s="2">
        <f>February!L8+K8</f>
        <v>0</v>
      </c>
      <c r="M8" s="2"/>
      <c r="N8" s="2">
        <f>February!N8+M8</f>
        <v>0</v>
      </c>
      <c r="O8" s="2"/>
      <c r="P8" s="2"/>
    </row>
    <row r="9" spans="1:16" ht="18" customHeight="1">
      <c r="A9" s="2" t="s">
        <v>8</v>
      </c>
      <c r="B9" s="2">
        <v>235</v>
      </c>
      <c r="C9" s="2">
        <f>February!C9+B9</f>
        <v>1460</v>
      </c>
      <c r="D9" s="2"/>
      <c r="E9" s="2"/>
      <c r="F9" s="2"/>
      <c r="G9" s="2">
        <f>February!G9+F9</f>
        <v>5</v>
      </c>
      <c r="H9" s="2"/>
      <c r="I9" s="2">
        <f>February!I9+H9</f>
        <v>1</v>
      </c>
      <c r="J9" s="2"/>
      <c r="K9" s="2"/>
      <c r="L9" s="2">
        <f>February!L9+K9</f>
        <v>0</v>
      </c>
      <c r="M9" s="2"/>
      <c r="N9" s="2">
        <f>February!N9+M9</f>
        <v>0</v>
      </c>
      <c r="O9" s="2"/>
      <c r="P9" s="2"/>
    </row>
    <row r="10" spans="1:16" ht="18" customHeight="1">
      <c r="A10" s="2" t="s">
        <v>10</v>
      </c>
      <c r="B10" s="2">
        <v>257</v>
      </c>
      <c r="C10" s="2">
        <f>February!C10+B10</f>
        <v>335</v>
      </c>
      <c r="D10" s="2"/>
      <c r="E10" s="2" t="s">
        <v>65</v>
      </c>
      <c r="F10" s="2">
        <v>1</v>
      </c>
      <c r="G10" s="2">
        <f>February!G10+F10</f>
        <v>113</v>
      </c>
      <c r="H10" s="2"/>
      <c r="I10" s="2">
        <f>February!I10+H10</f>
        <v>0</v>
      </c>
      <c r="J10" s="2">
        <v>22</v>
      </c>
      <c r="K10" s="2"/>
      <c r="L10" s="2">
        <f>February!L10+K10</f>
        <v>0</v>
      </c>
      <c r="M10" s="2"/>
      <c r="N10" s="2">
        <f>February!N10+M10</f>
        <v>0</v>
      </c>
      <c r="O10" s="2"/>
      <c r="P10" s="2"/>
    </row>
    <row r="11" spans="1:16" ht="18" customHeight="1">
      <c r="A11" s="2" t="s">
        <v>9</v>
      </c>
      <c r="B11" s="2"/>
      <c r="C11" s="2">
        <f>February!C11+B11</f>
        <v>963</v>
      </c>
      <c r="D11" s="2"/>
      <c r="E11" s="2"/>
      <c r="F11" s="2">
        <v>3</v>
      </c>
      <c r="G11" s="2">
        <f>February!G11+F11</f>
        <v>185</v>
      </c>
      <c r="H11" s="2">
        <v>172</v>
      </c>
      <c r="I11" s="2">
        <f>February!I11+H11</f>
        <v>379</v>
      </c>
      <c r="J11" s="2">
        <v>72</v>
      </c>
      <c r="K11" s="2"/>
      <c r="L11" s="2">
        <f>February!L11+K11</f>
        <v>4</v>
      </c>
      <c r="M11" s="2"/>
      <c r="N11" s="2">
        <f>February!N11+M11</f>
        <v>0</v>
      </c>
      <c r="O11" s="2"/>
      <c r="P11" s="2"/>
    </row>
    <row r="12" spans="1:16" ht="18" customHeight="1">
      <c r="A12" s="2" t="s">
        <v>11</v>
      </c>
      <c r="B12" s="2"/>
      <c r="C12" s="2">
        <f>February!C12+B12</f>
        <v>0</v>
      </c>
      <c r="D12" s="2"/>
      <c r="E12" s="2" t="s">
        <v>65</v>
      </c>
      <c r="F12" s="2"/>
      <c r="G12" s="2">
        <f>February!G12+F12</f>
        <v>0</v>
      </c>
      <c r="H12" s="2"/>
      <c r="I12" s="2">
        <f>February!I12+H12</f>
        <v>0</v>
      </c>
      <c r="J12" s="2"/>
      <c r="K12" s="2"/>
      <c r="L12" s="2">
        <f>February!L12+K12</f>
        <v>0</v>
      </c>
      <c r="M12" s="2"/>
      <c r="N12" s="2">
        <f>February!N12+M12</f>
        <v>0</v>
      </c>
      <c r="O12" s="2"/>
      <c r="P12" s="2"/>
    </row>
    <row r="13" spans="1:16" ht="18" customHeight="1">
      <c r="A13" s="2" t="s">
        <v>12</v>
      </c>
      <c r="B13" s="2"/>
      <c r="C13" s="2">
        <f>February!C13+B13</f>
        <v>0</v>
      </c>
      <c r="D13" s="2"/>
      <c r="E13" s="2"/>
      <c r="F13" s="2"/>
      <c r="G13" s="2">
        <f>February!G13+F13</f>
        <v>0</v>
      </c>
      <c r="H13" s="2"/>
      <c r="I13" s="2">
        <f>February!I13+H13</f>
        <v>0</v>
      </c>
      <c r="J13" s="2"/>
      <c r="K13" s="2"/>
      <c r="L13" s="2">
        <f>February!L13+K13</f>
        <v>0</v>
      </c>
      <c r="M13" s="2"/>
      <c r="N13" s="2">
        <f>February!N13+M13</f>
        <v>0</v>
      </c>
      <c r="O13" s="2"/>
      <c r="P13" s="2"/>
    </row>
    <row r="14" spans="1:16" ht="18" customHeight="1">
      <c r="A14" s="2" t="s">
        <v>13</v>
      </c>
      <c r="B14" s="2"/>
      <c r="C14" s="2">
        <f>February!C14+B14</f>
        <v>0</v>
      </c>
      <c r="D14" s="2"/>
      <c r="E14" s="2"/>
      <c r="F14" s="2"/>
      <c r="G14" s="2">
        <f>February!G14+F14</f>
        <v>43</v>
      </c>
      <c r="H14" s="2"/>
      <c r="I14" s="2">
        <f>February!I14+H14</f>
        <v>10</v>
      </c>
      <c r="J14" s="2">
        <v>5</v>
      </c>
      <c r="K14" s="2"/>
      <c r="L14" s="2">
        <f>February!L14+K14</f>
        <v>0</v>
      </c>
      <c r="M14" s="2"/>
      <c r="N14" s="2">
        <f>February!N14+M14</f>
        <v>0</v>
      </c>
      <c r="O14" s="2"/>
      <c r="P14" s="2"/>
    </row>
    <row r="15" spans="1:16" ht="18" customHeight="1">
      <c r="A15" s="2" t="s">
        <v>14</v>
      </c>
      <c r="B15" s="2">
        <v>280</v>
      </c>
      <c r="C15" s="2">
        <f>February!C15+B15</f>
        <v>771</v>
      </c>
      <c r="D15" s="2"/>
      <c r="E15" s="2"/>
      <c r="F15" s="2"/>
      <c r="G15" s="2">
        <f>February!G15+F15</f>
        <v>0</v>
      </c>
      <c r="H15" s="2"/>
      <c r="I15" s="2">
        <f>February!I15+H15</f>
        <v>1</v>
      </c>
      <c r="J15" s="2"/>
      <c r="K15" s="2"/>
      <c r="L15" s="2">
        <f>February!L15+K15</f>
        <v>0</v>
      </c>
      <c r="M15" s="2"/>
      <c r="N15" s="2">
        <f>February!N15+M15</f>
        <v>0</v>
      </c>
      <c r="O15" s="2"/>
      <c r="P15" s="2"/>
    </row>
    <row r="16" spans="1:16" ht="18" customHeight="1">
      <c r="A16" s="2" t="s">
        <v>15</v>
      </c>
      <c r="B16" s="2"/>
      <c r="C16" s="2">
        <f>February!C16+B16</f>
        <v>0</v>
      </c>
      <c r="D16" s="2"/>
      <c r="E16" s="2"/>
      <c r="F16" s="2"/>
      <c r="G16" s="2">
        <f>February!G16+F16</f>
        <v>0</v>
      </c>
      <c r="H16" s="2"/>
      <c r="I16" s="2">
        <f>February!I16+H16</f>
        <v>0</v>
      </c>
      <c r="J16" s="2"/>
      <c r="K16" s="2"/>
      <c r="L16" s="2">
        <f>February!L16+K16</f>
        <v>0</v>
      </c>
      <c r="M16" s="2"/>
      <c r="N16" s="2">
        <f>February!N16+M16</f>
        <v>0</v>
      </c>
      <c r="O16" s="2"/>
      <c r="P16" s="2"/>
    </row>
    <row r="17" spans="1:16" ht="18" customHeight="1">
      <c r="A17" s="2" t="s">
        <v>16</v>
      </c>
      <c r="B17" s="2">
        <v>1901</v>
      </c>
      <c r="C17" s="2">
        <f>February!C17+B17</f>
        <v>5124</v>
      </c>
      <c r="D17" s="2"/>
      <c r="E17" s="2"/>
      <c r="F17" s="2">
        <v>1</v>
      </c>
      <c r="G17" s="2">
        <f>February!G17+F17</f>
        <v>129</v>
      </c>
      <c r="H17" s="2">
        <v>39</v>
      </c>
      <c r="I17" s="2">
        <f>February!I17+H17</f>
        <v>39</v>
      </c>
      <c r="J17" s="2">
        <v>11</v>
      </c>
      <c r="K17" s="2"/>
      <c r="L17" s="2">
        <f>February!L17+K17</f>
        <v>0</v>
      </c>
      <c r="M17" s="2"/>
      <c r="N17" s="2">
        <f>February!N17+M17</f>
        <v>0</v>
      </c>
      <c r="O17" s="2"/>
      <c r="P17" s="2"/>
    </row>
    <row r="18" spans="1:16" ht="18" customHeight="1">
      <c r="A18" s="2" t="s">
        <v>17</v>
      </c>
      <c r="B18" s="2">
        <v>277</v>
      </c>
      <c r="C18" s="2">
        <f>February!C18+B18</f>
        <v>1518</v>
      </c>
      <c r="D18" s="2">
        <v>1</v>
      </c>
      <c r="E18" s="2" t="s">
        <v>65</v>
      </c>
      <c r="F18" s="2">
        <v>76</v>
      </c>
      <c r="G18" s="2">
        <f>February!G18+F18</f>
        <v>98</v>
      </c>
      <c r="H18" s="2">
        <v>6</v>
      </c>
      <c r="I18" s="2">
        <f>February!I18+H18</f>
        <v>48</v>
      </c>
      <c r="J18" s="2">
        <v>20</v>
      </c>
      <c r="K18" s="2"/>
      <c r="L18" s="2">
        <f>February!L18+K18</f>
        <v>0</v>
      </c>
      <c r="M18" s="2"/>
      <c r="N18" s="2">
        <f>February!N18+M18</f>
        <v>0</v>
      </c>
      <c r="O18" s="2"/>
      <c r="P18" s="2"/>
    </row>
    <row r="19" spans="1:16" ht="18" customHeight="1">
      <c r="A19" s="2" t="s">
        <v>18</v>
      </c>
      <c r="B19" s="2">
        <v>567</v>
      </c>
      <c r="C19" s="2">
        <f>February!C19+B19</f>
        <v>1318</v>
      </c>
      <c r="D19" s="2">
        <v>2</v>
      </c>
      <c r="E19" s="2"/>
      <c r="F19" s="2"/>
      <c r="G19" s="2">
        <f>February!G19+F19</f>
        <v>0</v>
      </c>
      <c r="H19" s="2">
        <v>431</v>
      </c>
      <c r="I19" s="2">
        <f>February!I19+H19</f>
        <v>617</v>
      </c>
      <c r="J19" s="2">
        <v>10</v>
      </c>
      <c r="K19" s="2"/>
      <c r="L19" s="2">
        <f>February!L19+K19</f>
        <v>0</v>
      </c>
      <c r="M19" s="2"/>
      <c r="N19" s="2">
        <f>February!N19+M19</f>
        <v>0</v>
      </c>
      <c r="O19" s="2"/>
      <c r="P19" s="2"/>
    </row>
    <row r="20" spans="1:16" ht="18" customHeight="1">
      <c r="A20" s="2" t="s">
        <v>19</v>
      </c>
      <c r="B20" s="2">
        <v>2775</v>
      </c>
      <c r="C20" s="2">
        <f>February!C20+B20</f>
        <v>5794</v>
      </c>
      <c r="D20" s="2"/>
      <c r="E20" s="2"/>
      <c r="F20" s="2">
        <v>41</v>
      </c>
      <c r="G20" s="2">
        <f>February!G20+F20</f>
        <v>112</v>
      </c>
      <c r="H20" s="2">
        <v>32</v>
      </c>
      <c r="I20" s="2">
        <f>February!I20+H20</f>
        <v>32</v>
      </c>
      <c r="J20" s="2">
        <v>6</v>
      </c>
      <c r="K20" s="2"/>
      <c r="L20" s="2">
        <f>February!L20+K20</f>
        <v>0</v>
      </c>
      <c r="M20" s="2"/>
      <c r="N20" s="2">
        <f>February!N20+M20</f>
        <v>0</v>
      </c>
      <c r="O20" s="2"/>
      <c r="P20" s="2"/>
    </row>
    <row r="21" spans="1:16" ht="18" customHeight="1">
      <c r="A21" s="2" t="s">
        <v>20</v>
      </c>
      <c r="B21" s="2">
        <v>9142</v>
      </c>
      <c r="C21" s="2">
        <f>February!C21+B21</f>
        <v>17001</v>
      </c>
      <c r="D21" s="2"/>
      <c r="E21" s="2"/>
      <c r="F21" s="2">
        <v>2</v>
      </c>
      <c r="G21" s="2">
        <f>February!G21+F21</f>
        <v>2</v>
      </c>
      <c r="H21" s="2">
        <v>83</v>
      </c>
      <c r="I21" s="2">
        <f>February!I21+H21</f>
        <v>83</v>
      </c>
      <c r="J21" s="2">
        <v>5</v>
      </c>
      <c r="K21" s="2"/>
      <c r="L21" s="2">
        <f>February!L21+K21</f>
        <v>0</v>
      </c>
      <c r="M21" s="2"/>
      <c r="N21" s="2">
        <f>February!N21+M21</f>
        <v>0</v>
      </c>
      <c r="O21" s="2"/>
      <c r="P21" s="2"/>
    </row>
    <row r="22" spans="1:16" ht="18" customHeight="1">
      <c r="A22" s="2" t="s">
        <v>21</v>
      </c>
      <c r="B22" s="2"/>
      <c r="C22" s="2">
        <f>February!C22+B22</f>
        <v>0</v>
      </c>
      <c r="D22" s="2"/>
      <c r="E22" s="2"/>
      <c r="F22" s="2">
        <v>1</v>
      </c>
      <c r="G22" s="2">
        <f>February!G22+F22</f>
        <v>1</v>
      </c>
      <c r="H22" s="2"/>
      <c r="I22" s="2">
        <f>February!I22+H22</f>
        <v>0</v>
      </c>
      <c r="J22" s="2"/>
      <c r="K22" s="2"/>
      <c r="L22" s="2">
        <f>February!L22+K22</f>
        <v>0</v>
      </c>
      <c r="M22" s="2"/>
      <c r="N22" s="2">
        <f>February!N22+M22</f>
        <v>0</v>
      </c>
      <c r="O22" s="2"/>
      <c r="P22" s="2"/>
    </row>
    <row r="23" spans="1:16" ht="18" customHeight="1">
      <c r="A23" s="2" t="s">
        <v>22</v>
      </c>
      <c r="B23" s="2"/>
      <c r="C23" s="2">
        <f>February!C23+B23</f>
        <v>0</v>
      </c>
      <c r="D23" s="2"/>
      <c r="E23" s="2"/>
      <c r="F23" s="2"/>
      <c r="G23" s="2">
        <f>February!G23+F23</f>
        <v>0</v>
      </c>
      <c r="H23" s="2"/>
      <c r="I23" s="2">
        <f>February!I23+H23</f>
        <v>0</v>
      </c>
      <c r="J23" s="2"/>
      <c r="K23" s="2"/>
      <c r="L23" s="2">
        <f>February!L23+K23</f>
        <v>0</v>
      </c>
      <c r="M23" s="2"/>
      <c r="N23" s="2">
        <f>February!N23+M23</f>
        <v>0</v>
      </c>
      <c r="O23" s="2"/>
      <c r="P23" s="2"/>
    </row>
    <row r="24" spans="1:16" ht="18" customHeight="1">
      <c r="A24" s="2" t="s">
        <v>23</v>
      </c>
      <c r="B24" s="2"/>
      <c r="C24" s="2">
        <f>February!C24+B24</f>
        <v>0</v>
      </c>
      <c r="D24" s="2"/>
      <c r="E24" s="2"/>
      <c r="F24" s="2"/>
      <c r="G24" s="2">
        <f>February!G24+F24</f>
        <v>0</v>
      </c>
      <c r="H24" s="2">
        <v>2</v>
      </c>
      <c r="I24" s="2">
        <f>February!I24+H24</f>
        <v>3</v>
      </c>
      <c r="J24" s="2">
        <v>1</v>
      </c>
      <c r="K24" s="2"/>
      <c r="L24" s="2">
        <f>February!L24+K24</f>
        <v>0</v>
      </c>
      <c r="M24" s="2"/>
      <c r="N24" s="2">
        <f>February!N24+M24</f>
        <v>0</v>
      </c>
      <c r="O24" s="2"/>
      <c r="P24" s="2"/>
    </row>
    <row r="25" spans="1:16" ht="18" customHeight="1">
      <c r="A25" s="2" t="s">
        <v>68</v>
      </c>
      <c r="B25" s="2"/>
      <c r="C25" s="2">
        <f>February!C25+B25</f>
        <v>0</v>
      </c>
      <c r="D25" s="2"/>
      <c r="E25" s="2"/>
      <c r="F25" s="2"/>
      <c r="G25" s="2">
        <f>February!G25+F25</f>
        <v>17</v>
      </c>
      <c r="H25" s="2"/>
      <c r="I25" s="2">
        <f>February!I25+H25</f>
        <v>0</v>
      </c>
      <c r="J25" s="2"/>
      <c r="K25" s="2"/>
      <c r="L25" s="2">
        <f>February!L25+K25</f>
        <v>0</v>
      </c>
      <c r="M25" s="2"/>
      <c r="N25" s="2">
        <f>February!N25+M25</f>
        <v>0</v>
      </c>
      <c r="O25" s="2"/>
      <c r="P25" s="2"/>
    </row>
    <row r="26" spans="1:16" ht="18" customHeight="1">
      <c r="A26" s="2" t="s">
        <v>24</v>
      </c>
      <c r="B26" s="2"/>
      <c r="C26" s="2">
        <f>February!C26+B26</f>
        <v>0</v>
      </c>
      <c r="D26" s="2"/>
      <c r="E26" s="2"/>
      <c r="F26" s="2"/>
      <c r="G26" s="2">
        <f>February!G26+F26</f>
        <v>10</v>
      </c>
      <c r="H26" s="2">
        <v>4</v>
      </c>
      <c r="I26" s="2">
        <f>February!I26+H26</f>
        <v>4</v>
      </c>
      <c r="J26" s="2">
        <v>1</v>
      </c>
      <c r="K26" s="2"/>
      <c r="L26" s="2">
        <f>February!L26+K26</f>
        <v>0</v>
      </c>
      <c r="M26" s="2"/>
      <c r="N26" s="2">
        <f>February!N26+M26</f>
        <v>0</v>
      </c>
      <c r="O26" s="2"/>
      <c r="P26" s="2"/>
    </row>
    <row r="27" spans="1:16" ht="18" customHeight="1">
      <c r="A27" s="2" t="s">
        <v>25</v>
      </c>
      <c r="B27" s="2">
        <v>3871</v>
      </c>
      <c r="C27" s="2">
        <f>February!C27+B27</f>
        <v>11154</v>
      </c>
      <c r="D27" s="2">
        <v>2</v>
      </c>
      <c r="E27" s="2"/>
      <c r="F27" s="2">
        <v>186</v>
      </c>
      <c r="G27" s="2">
        <f>February!G27+F27</f>
        <v>336</v>
      </c>
      <c r="H27" s="2">
        <v>584</v>
      </c>
      <c r="I27" s="2">
        <f>February!I27+H27</f>
        <v>1438</v>
      </c>
      <c r="J27" s="2">
        <v>22</v>
      </c>
      <c r="K27" s="2">
        <v>50</v>
      </c>
      <c r="L27" s="2">
        <f>February!L27+K27</f>
        <v>418</v>
      </c>
      <c r="M27" s="2"/>
      <c r="N27" s="2">
        <f>February!N27+M27</f>
        <v>0</v>
      </c>
      <c r="O27" s="2"/>
      <c r="P27" s="2"/>
    </row>
    <row r="28" spans="1:16" ht="18" customHeight="1">
      <c r="A28" s="2" t="s">
        <v>26</v>
      </c>
      <c r="B28" s="2"/>
      <c r="C28" s="2">
        <f>February!C28+B28</f>
        <v>385</v>
      </c>
      <c r="D28" s="2"/>
      <c r="E28" s="2"/>
      <c r="F28" s="2"/>
      <c r="G28" s="2">
        <f>February!G28+F28</f>
        <v>0</v>
      </c>
      <c r="H28" s="2"/>
      <c r="I28" s="2">
        <f>February!I28+H28</f>
        <v>0</v>
      </c>
      <c r="J28" s="2">
        <v>1</v>
      </c>
      <c r="K28" s="2"/>
      <c r="L28" s="2">
        <f>February!L28+K28</f>
        <v>0</v>
      </c>
      <c r="M28" s="2"/>
      <c r="N28" s="2">
        <f>February!N28+M28</f>
        <v>0</v>
      </c>
      <c r="O28" s="2"/>
      <c r="P28" s="2"/>
    </row>
    <row r="29" spans="1:16" ht="18" customHeight="1">
      <c r="A29" s="2" t="s">
        <v>27</v>
      </c>
      <c r="B29" s="2">
        <v>14859</v>
      </c>
      <c r="C29" s="2">
        <f>February!C29+B29</f>
        <v>23981</v>
      </c>
      <c r="D29" s="2">
        <v>30</v>
      </c>
      <c r="E29" s="2"/>
      <c r="F29" s="2">
        <v>128</v>
      </c>
      <c r="G29" s="2">
        <f>February!G29+F29</f>
        <v>208</v>
      </c>
      <c r="H29" s="2"/>
      <c r="I29" s="2">
        <f>February!I29+H29</f>
        <v>143</v>
      </c>
      <c r="J29" s="2">
        <v>9</v>
      </c>
      <c r="K29" s="2"/>
      <c r="L29" s="2">
        <f>February!L29+K29</f>
        <v>51</v>
      </c>
      <c r="M29" s="2"/>
      <c r="N29" s="2">
        <f>February!N29+M29</f>
        <v>0</v>
      </c>
      <c r="O29" s="2"/>
      <c r="P29" s="2"/>
    </row>
    <row r="30" spans="1:16" ht="18" customHeight="1">
      <c r="A30" s="2" t="s">
        <v>28</v>
      </c>
      <c r="B30" s="2">
        <v>3914</v>
      </c>
      <c r="C30" s="2">
        <f>February!C30+B30</f>
        <v>22823</v>
      </c>
      <c r="D30" s="2"/>
      <c r="E30" s="2"/>
      <c r="F30" s="2">
        <v>2715</v>
      </c>
      <c r="G30" s="2">
        <f>February!G30+F30</f>
        <v>3081</v>
      </c>
      <c r="H30" s="2"/>
      <c r="I30" s="2">
        <f>February!I30+H30</f>
        <v>0</v>
      </c>
      <c r="J30" s="2">
        <v>12</v>
      </c>
      <c r="K30" s="2">
        <v>2130</v>
      </c>
      <c r="L30" s="2">
        <f>February!L30+K30</f>
        <v>2162</v>
      </c>
      <c r="M30" s="2"/>
      <c r="N30" s="2">
        <f>February!N30+M30</f>
        <v>0</v>
      </c>
      <c r="O30" s="2"/>
      <c r="P30" s="2"/>
    </row>
    <row r="31" spans="1:16" ht="18" customHeight="1">
      <c r="A31" s="2" t="s">
        <v>29</v>
      </c>
      <c r="B31" s="2">
        <v>5298</v>
      </c>
      <c r="C31" s="2">
        <f>February!C31+B31</f>
        <v>14596</v>
      </c>
      <c r="D31" s="2"/>
      <c r="E31" s="2"/>
      <c r="F31" s="2">
        <v>1131</v>
      </c>
      <c r="G31" s="2">
        <f>February!G31+F31</f>
        <v>1988</v>
      </c>
      <c r="H31" s="2">
        <v>21</v>
      </c>
      <c r="I31" s="2">
        <f>February!I31+H31</f>
        <v>125</v>
      </c>
      <c r="J31" s="2">
        <v>35</v>
      </c>
      <c r="K31" s="2">
        <v>27</v>
      </c>
      <c r="L31" s="2">
        <f>February!L31+K31</f>
        <v>239</v>
      </c>
      <c r="M31" s="2">
        <v>6</v>
      </c>
      <c r="N31" s="2">
        <f>February!N31+M31</f>
        <v>54</v>
      </c>
      <c r="O31" s="2"/>
      <c r="P31" s="2"/>
    </row>
    <row r="32" spans="1:16" ht="18" customHeight="1">
      <c r="A32" s="2" t="s">
        <v>30</v>
      </c>
      <c r="B32" s="2"/>
      <c r="C32" s="2">
        <f>February!C32+B32</f>
        <v>0</v>
      </c>
      <c r="D32" s="2"/>
      <c r="E32" s="2"/>
      <c r="F32" s="2"/>
      <c r="G32" s="2">
        <f>February!G32+F32</f>
        <v>52</v>
      </c>
      <c r="H32" s="2"/>
      <c r="I32" s="2">
        <f>February!I32+H32</f>
        <v>60</v>
      </c>
      <c r="J32" s="2"/>
      <c r="K32" s="2"/>
      <c r="L32" s="2">
        <f>February!L32+K32</f>
        <v>0</v>
      </c>
      <c r="M32" s="2"/>
      <c r="N32" s="2">
        <f>February!N32+M32</f>
        <v>0</v>
      </c>
      <c r="O32" s="2"/>
      <c r="P32" s="2"/>
    </row>
    <row r="33" spans="1:16" ht="18" customHeight="1">
      <c r="A33" s="2" t="s">
        <v>31</v>
      </c>
      <c r="B33" s="2"/>
      <c r="C33" s="2">
        <f>February!C33+B33</f>
        <v>0</v>
      </c>
      <c r="D33" s="2"/>
      <c r="E33" s="2"/>
      <c r="F33" s="2"/>
      <c r="G33" s="2">
        <f>February!G33+F33</f>
        <v>0</v>
      </c>
      <c r="H33" s="2"/>
      <c r="I33" s="2">
        <f>February!I33+H33</f>
        <v>0</v>
      </c>
      <c r="J33" s="2"/>
      <c r="K33" s="2"/>
      <c r="L33" s="2">
        <f>February!L33+K33</f>
        <v>0</v>
      </c>
      <c r="M33" s="2"/>
      <c r="N33" s="2">
        <f>February!N33+M33</f>
        <v>0</v>
      </c>
      <c r="O33" s="2"/>
      <c r="P33" s="2"/>
    </row>
    <row r="34" spans="1:16" ht="18" customHeight="1">
      <c r="A34" s="2" t="s">
        <v>32</v>
      </c>
      <c r="B34" s="2"/>
      <c r="C34" s="2">
        <f>February!C34+B34</f>
        <v>0</v>
      </c>
      <c r="D34" s="2"/>
      <c r="E34" s="2"/>
      <c r="F34" s="2"/>
      <c r="G34" s="2">
        <f>February!G34+F34</f>
        <v>0</v>
      </c>
      <c r="H34" s="2"/>
      <c r="I34" s="2">
        <f>February!I34+H34</f>
        <v>0</v>
      </c>
      <c r="J34" s="2"/>
      <c r="K34" s="2"/>
      <c r="L34" s="2">
        <f>February!L34+K34</f>
        <v>0</v>
      </c>
      <c r="M34" s="2"/>
      <c r="N34" s="2">
        <f>February!N34+M34</f>
        <v>0</v>
      </c>
      <c r="O34" s="2"/>
      <c r="P34" s="2"/>
    </row>
    <row r="35" spans="1:16" ht="18" customHeight="1">
      <c r="A35" s="2" t="s">
        <v>33</v>
      </c>
      <c r="B35" s="2"/>
      <c r="C35" s="2">
        <f>February!C35+B35</f>
        <v>756</v>
      </c>
      <c r="D35" s="2"/>
      <c r="E35" s="2"/>
      <c r="F35" s="2"/>
      <c r="G35" s="2">
        <f>February!G35+F35</f>
        <v>4</v>
      </c>
      <c r="H35" s="2"/>
      <c r="I35" s="2">
        <f>February!I35+H35</f>
        <v>0</v>
      </c>
      <c r="J35" s="2"/>
      <c r="K35" s="2"/>
      <c r="L35" s="2">
        <f>February!L35+K35</f>
        <v>0</v>
      </c>
      <c r="M35" s="2"/>
      <c r="N35" s="2">
        <f>February!N35+M35</f>
        <v>0</v>
      </c>
      <c r="O35" s="2"/>
      <c r="P35" s="2"/>
    </row>
    <row r="36" spans="1:16" ht="18" customHeight="1">
      <c r="A36" s="2" t="s">
        <v>34</v>
      </c>
      <c r="B36" s="2"/>
      <c r="C36" s="2">
        <f>February!C36+B36</f>
        <v>0</v>
      </c>
      <c r="D36" s="2"/>
      <c r="E36" s="2"/>
      <c r="F36" s="2"/>
      <c r="G36" s="2">
        <f>February!G36+F36</f>
        <v>0</v>
      </c>
      <c r="H36" s="2">
        <v>42</v>
      </c>
      <c r="I36" s="2">
        <f>February!I36+H36</f>
        <v>158</v>
      </c>
      <c r="J36" s="2"/>
      <c r="K36" s="2"/>
      <c r="L36" s="2">
        <f>February!L36+K36</f>
        <v>0</v>
      </c>
      <c r="M36" s="2"/>
      <c r="N36" s="2">
        <f>February!N36+M36</f>
        <v>0</v>
      </c>
      <c r="O36" s="2"/>
      <c r="P36" s="2"/>
    </row>
    <row r="37" spans="1:16" ht="18" customHeight="1">
      <c r="A37" s="2" t="s">
        <v>35</v>
      </c>
      <c r="B37" s="2">
        <v>58</v>
      </c>
      <c r="C37" s="2">
        <f>February!C37+B37</f>
        <v>240</v>
      </c>
      <c r="D37" s="2"/>
      <c r="E37" s="2"/>
      <c r="F37" s="2">
        <v>1</v>
      </c>
      <c r="G37" s="2">
        <f>February!G37+F37</f>
        <v>1</v>
      </c>
      <c r="H37" s="2">
        <v>3</v>
      </c>
      <c r="I37" s="2">
        <f>February!I37+H37</f>
        <v>47</v>
      </c>
      <c r="J37" s="2">
        <v>1</v>
      </c>
      <c r="K37" s="2"/>
      <c r="L37" s="2">
        <f>February!L37+K37</f>
        <v>0</v>
      </c>
      <c r="M37" s="2"/>
      <c r="N37" s="2">
        <f>February!N37+M37</f>
        <v>0</v>
      </c>
      <c r="O37" s="2"/>
      <c r="P37" s="2"/>
    </row>
    <row r="38" spans="1:16" ht="18" customHeight="1">
      <c r="A38" s="2" t="s">
        <v>36</v>
      </c>
      <c r="B38" s="2">
        <v>12861</v>
      </c>
      <c r="C38" s="2">
        <f>February!C38+B38</f>
        <v>26950</v>
      </c>
      <c r="D38" s="2"/>
      <c r="E38" s="2"/>
      <c r="F38" s="2">
        <v>174</v>
      </c>
      <c r="G38" s="2">
        <f>February!G38+F38</f>
        <v>321</v>
      </c>
      <c r="H38" s="2"/>
      <c r="I38" s="2">
        <f>February!I38+H38</f>
        <v>0</v>
      </c>
      <c r="J38" s="2">
        <v>2</v>
      </c>
      <c r="K38" s="2">
        <v>1733</v>
      </c>
      <c r="L38" s="2">
        <f>February!L38+K38</f>
        <v>1906</v>
      </c>
      <c r="M38" s="2">
        <v>8</v>
      </c>
      <c r="N38" s="2">
        <f>February!N38+M38</f>
        <v>8</v>
      </c>
      <c r="O38" s="2"/>
      <c r="P38" s="2"/>
    </row>
    <row r="39" spans="1:16" ht="18" customHeight="1">
      <c r="A39" s="2" t="s">
        <v>37</v>
      </c>
      <c r="B39" s="2">
        <v>690</v>
      </c>
      <c r="C39" s="2">
        <f>February!C39+B39</f>
        <v>1803</v>
      </c>
      <c r="D39" s="2">
        <v>2</v>
      </c>
      <c r="E39" s="2"/>
      <c r="F39" s="2">
        <v>3</v>
      </c>
      <c r="G39" s="2">
        <f>February!G39+F39</f>
        <v>31</v>
      </c>
      <c r="H39" s="2">
        <v>410</v>
      </c>
      <c r="I39" s="2">
        <f>February!I39+H39</f>
        <v>411</v>
      </c>
      <c r="J39" s="2"/>
      <c r="K39" s="2">
        <v>10</v>
      </c>
      <c r="L39" s="2">
        <f>February!L39+K39</f>
        <v>10</v>
      </c>
      <c r="M39" s="2"/>
      <c r="N39" s="2">
        <f>February!N39+M39</f>
        <v>0</v>
      </c>
      <c r="O39" s="2"/>
      <c r="P39" s="2"/>
    </row>
    <row r="40" spans="1:16" ht="18" customHeight="1">
      <c r="A40" s="2" t="s">
        <v>38</v>
      </c>
      <c r="B40" s="2">
        <v>664</v>
      </c>
      <c r="C40" s="2">
        <f>February!C40+B40</f>
        <v>990</v>
      </c>
      <c r="D40" s="2">
        <v>1</v>
      </c>
      <c r="E40" s="2" t="s">
        <v>65</v>
      </c>
      <c r="F40" s="2">
        <v>11</v>
      </c>
      <c r="G40" s="2">
        <f>February!G40+F40</f>
        <v>36</v>
      </c>
      <c r="H40" s="2"/>
      <c r="I40" s="2">
        <f>February!I40+H40</f>
        <v>0</v>
      </c>
      <c r="J40" s="2">
        <v>37</v>
      </c>
      <c r="K40" s="2"/>
      <c r="L40" s="2">
        <f>February!L40+K40</f>
        <v>1</v>
      </c>
      <c r="M40" s="2"/>
      <c r="N40" s="2">
        <f>February!N40+M40</f>
        <v>0</v>
      </c>
      <c r="O40" s="2"/>
      <c r="P40" s="2"/>
    </row>
    <row r="41" spans="1:16" ht="18" customHeight="1">
      <c r="A41" s="2" t="s">
        <v>39</v>
      </c>
      <c r="B41" s="2"/>
      <c r="C41" s="2">
        <f>February!C41+B41</f>
        <v>329</v>
      </c>
      <c r="D41" s="2"/>
      <c r="E41" s="2"/>
      <c r="F41" s="2"/>
      <c r="G41" s="2">
        <f>February!G41+F41</f>
        <v>2</v>
      </c>
      <c r="H41" s="2"/>
      <c r="I41" s="2">
        <f>February!I41+H41</f>
        <v>0</v>
      </c>
      <c r="J41" s="2"/>
      <c r="K41" s="2"/>
      <c r="L41" s="2">
        <f>February!L41+K41</f>
        <v>0</v>
      </c>
      <c r="M41" s="2"/>
      <c r="N41" s="2">
        <f>February!N41+M41</f>
        <v>0</v>
      </c>
      <c r="O41" s="2"/>
      <c r="P41" s="2"/>
    </row>
    <row r="42" spans="1:16" ht="18" customHeight="1">
      <c r="A42" s="2" t="s">
        <v>40</v>
      </c>
      <c r="B42" s="2">
        <v>138</v>
      </c>
      <c r="C42" s="2">
        <f>February!C42+B42</f>
        <v>138</v>
      </c>
      <c r="D42" s="2">
        <v>2</v>
      </c>
      <c r="E42" s="2"/>
      <c r="F42" s="2">
        <v>155</v>
      </c>
      <c r="G42" s="2">
        <f>February!G42+F42</f>
        <v>167</v>
      </c>
      <c r="H42" s="2">
        <v>80</v>
      </c>
      <c r="I42" s="2">
        <f>February!I42+H42</f>
        <v>160</v>
      </c>
      <c r="J42" s="2">
        <v>1</v>
      </c>
      <c r="K42" s="2"/>
      <c r="L42" s="2">
        <f>February!L42+K42</f>
        <v>0</v>
      </c>
      <c r="M42" s="2"/>
      <c r="N42" s="2">
        <f>February!N42+M42</f>
        <v>0</v>
      </c>
      <c r="O42" s="2"/>
      <c r="P42" s="2"/>
    </row>
    <row r="43" spans="1:16" ht="18" customHeight="1">
      <c r="A43" s="2" t="s">
        <v>41</v>
      </c>
      <c r="B43" s="2"/>
      <c r="C43" s="2">
        <f>February!C43+B43</f>
        <v>0</v>
      </c>
      <c r="D43" s="2"/>
      <c r="E43" s="2"/>
      <c r="F43" s="2"/>
      <c r="G43" s="2">
        <f>February!G43+F43</f>
        <v>0</v>
      </c>
      <c r="H43" s="2"/>
      <c r="I43" s="2">
        <f>February!I43+H43</f>
        <v>0</v>
      </c>
      <c r="J43" s="2"/>
      <c r="K43" s="2"/>
      <c r="L43" s="2">
        <f>February!L43+K43</f>
        <v>0</v>
      </c>
      <c r="M43" s="2"/>
      <c r="N43" s="2">
        <f>February!N43+M43</f>
        <v>0</v>
      </c>
      <c r="O43" s="2"/>
      <c r="P43" s="2"/>
    </row>
    <row r="44" spans="1:16" ht="18" customHeight="1">
      <c r="A44" s="2" t="s">
        <v>42</v>
      </c>
      <c r="B44" s="2"/>
      <c r="C44" s="2">
        <f>February!C44+B44</f>
        <v>0</v>
      </c>
      <c r="D44" s="2"/>
      <c r="E44" s="2"/>
      <c r="F44" s="2"/>
      <c r="G44" s="2">
        <f>February!G44+F44</f>
        <v>0</v>
      </c>
      <c r="H44" s="2"/>
      <c r="I44" s="2">
        <f>February!I44+H44</f>
        <v>0</v>
      </c>
      <c r="J44" s="2"/>
      <c r="K44" s="2"/>
      <c r="L44" s="2">
        <f>February!L44+K44</f>
        <v>0</v>
      </c>
      <c r="M44" s="2"/>
      <c r="N44" s="2">
        <f>February!N44+M44</f>
        <v>0</v>
      </c>
      <c r="O44" s="2"/>
      <c r="P44" s="2"/>
    </row>
    <row r="45" spans="1:16" ht="18" customHeight="1">
      <c r="A45" s="2" t="s">
        <v>43</v>
      </c>
      <c r="B45" s="2">
        <v>43121</v>
      </c>
      <c r="C45" s="2">
        <f>February!C45+B45</f>
        <v>82926</v>
      </c>
      <c r="D45" s="2">
        <v>2</v>
      </c>
      <c r="E45" s="2" t="s">
        <v>65</v>
      </c>
      <c r="F45" s="2">
        <v>1409</v>
      </c>
      <c r="G45" s="2">
        <f>February!G45+F45</f>
        <v>2332</v>
      </c>
      <c r="H45" s="2">
        <v>8</v>
      </c>
      <c r="I45" s="2">
        <f>February!I45+H45</f>
        <v>144</v>
      </c>
      <c r="J45" s="2">
        <v>15</v>
      </c>
      <c r="K45" s="2">
        <v>1611</v>
      </c>
      <c r="L45" s="2">
        <f>February!L45+K45</f>
        <v>3913</v>
      </c>
      <c r="M45" s="2">
        <v>63</v>
      </c>
      <c r="N45" s="2">
        <f>February!N45+M45</f>
        <v>371</v>
      </c>
      <c r="O45" s="2">
        <v>8</v>
      </c>
      <c r="P45" s="2">
        <v>145</v>
      </c>
    </row>
    <row r="46" spans="1:16" ht="18" customHeight="1">
      <c r="A46" s="2" t="s">
        <v>44</v>
      </c>
      <c r="B46" s="2">
        <v>834</v>
      </c>
      <c r="C46" s="2">
        <f>February!C46+B46</f>
        <v>1997</v>
      </c>
      <c r="D46" s="2"/>
      <c r="E46" s="2"/>
      <c r="F46" s="2">
        <v>5</v>
      </c>
      <c r="G46" s="2">
        <f>February!G46+F46</f>
        <v>8</v>
      </c>
      <c r="H46" s="2">
        <v>1</v>
      </c>
      <c r="I46" s="2">
        <f>February!I46+H46</f>
        <v>1</v>
      </c>
      <c r="J46" s="2">
        <v>1</v>
      </c>
      <c r="K46" s="2"/>
      <c r="L46" s="2">
        <f>February!L46+K46</f>
        <v>0</v>
      </c>
      <c r="M46" s="2"/>
      <c r="N46" s="2">
        <f>February!N46+M46</f>
        <v>0</v>
      </c>
      <c r="O46" s="2"/>
      <c r="P46" s="2"/>
    </row>
    <row r="47" spans="1:16" ht="18" customHeight="1">
      <c r="A47" s="2" t="s">
        <v>45</v>
      </c>
      <c r="B47" s="2">
        <v>580</v>
      </c>
      <c r="C47" s="2">
        <f>February!C47+B47</f>
        <v>1880</v>
      </c>
      <c r="D47" s="2"/>
      <c r="E47" s="2"/>
      <c r="F47" s="2">
        <v>11</v>
      </c>
      <c r="G47" s="2">
        <f>February!G47+F47</f>
        <v>16</v>
      </c>
      <c r="H47" s="2"/>
      <c r="I47" s="2">
        <f>February!I47+H47</f>
        <v>101</v>
      </c>
      <c r="J47" s="2">
        <v>1</v>
      </c>
      <c r="K47" s="2"/>
      <c r="L47" s="2">
        <f>February!L47+K47</f>
        <v>0</v>
      </c>
      <c r="M47" s="2"/>
      <c r="N47" s="2">
        <f>February!N47+M47</f>
        <v>0</v>
      </c>
      <c r="O47" s="2"/>
      <c r="P47" s="2"/>
    </row>
    <row r="48" spans="1:16" ht="18" customHeight="1">
      <c r="A48" s="2" t="s">
        <v>46</v>
      </c>
      <c r="B48" s="2"/>
      <c r="C48" s="2">
        <f>February!C48+B48</f>
        <v>135</v>
      </c>
      <c r="D48" s="2"/>
      <c r="E48" s="2"/>
      <c r="F48" s="2"/>
      <c r="G48" s="2">
        <f>February!G48+F48</f>
        <v>2</v>
      </c>
      <c r="H48" s="2"/>
      <c r="I48" s="2">
        <f>February!I48+H48</f>
        <v>0</v>
      </c>
      <c r="J48" s="2"/>
      <c r="K48" s="2"/>
      <c r="L48" s="2">
        <f>February!L48+K48</f>
        <v>0</v>
      </c>
      <c r="M48" s="2"/>
      <c r="N48" s="2">
        <f>February!N48+M48</f>
        <v>0</v>
      </c>
      <c r="O48" s="2"/>
      <c r="P48" s="2"/>
    </row>
    <row r="49" spans="1:16" ht="18" customHeight="1">
      <c r="A49" s="2" t="s">
        <v>47</v>
      </c>
      <c r="B49" s="2"/>
      <c r="C49" s="2">
        <f>February!C49+B49</f>
        <v>0</v>
      </c>
      <c r="D49" s="2"/>
      <c r="E49" s="2"/>
      <c r="F49" s="2"/>
      <c r="G49" s="2">
        <f>February!G49+F49</f>
        <v>0</v>
      </c>
      <c r="H49" s="2">
        <v>4</v>
      </c>
      <c r="I49" s="2">
        <f>February!I49+H49</f>
        <v>4</v>
      </c>
      <c r="J49" s="2"/>
      <c r="K49" s="2"/>
      <c r="L49" s="2">
        <f>February!L49+K49</f>
        <v>0</v>
      </c>
      <c r="M49" s="2"/>
      <c r="N49" s="2">
        <f>February!N49+M49</f>
        <v>0</v>
      </c>
      <c r="O49" s="2"/>
      <c r="P49" s="2"/>
    </row>
    <row r="50" spans="1:16" ht="18" customHeight="1">
      <c r="A50" s="2" t="s">
        <v>48</v>
      </c>
      <c r="B50" s="2">
        <v>790</v>
      </c>
      <c r="C50" s="2">
        <f>February!C50+B50</f>
        <v>1177</v>
      </c>
      <c r="D50" s="2"/>
      <c r="E50" s="2"/>
      <c r="F50" s="2"/>
      <c r="G50" s="2">
        <f>February!G50+F50</f>
        <v>0</v>
      </c>
      <c r="H50" s="2"/>
      <c r="I50" s="2">
        <f>February!I50+H50</f>
        <v>0</v>
      </c>
      <c r="J50" s="2">
        <v>2</v>
      </c>
      <c r="K50" s="2"/>
      <c r="L50" s="2">
        <f>February!L50+K50</f>
        <v>0</v>
      </c>
      <c r="M50" s="2"/>
      <c r="N50" s="2">
        <f>February!N50+M50</f>
        <v>0</v>
      </c>
      <c r="O50" s="2"/>
      <c r="P50" s="2"/>
    </row>
    <row r="51" spans="1:16" ht="18" customHeight="1">
      <c r="A51" s="2" t="s">
        <v>49</v>
      </c>
      <c r="B51" s="2">
        <v>580</v>
      </c>
      <c r="C51" s="2">
        <f>February!C51+B51</f>
        <v>1935</v>
      </c>
      <c r="D51" s="2"/>
      <c r="E51" s="2"/>
      <c r="F51" s="2"/>
      <c r="G51" s="2">
        <f>February!G51+F51</f>
        <v>0</v>
      </c>
      <c r="H51" s="2">
        <v>3</v>
      </c>
      <c r="I51" s="2">
        <f>February!I51+H51</f>
        <v>4</v>
      </c>
      <c r="J51" s="2">
        <v>3</v>
      </c>
      <c r="K51" s="2"/>
      <c r="L51" s="2">
        <f>February!L51+K51</f>
        <v>0</v>
      </c>
      <c r="M51" s="2"/>
      <c r="N51" s="2">
        <f>February!N51+M51</f>
        <v>0</v>
      </c>
      <c r="O51" s="2"/>
      <c r="P51" s="2"/>
    </row>
    <row r="52" spans="1:16" ht="18" customHeight="1">
      <c r="A52" s="2" t="s">
        <v>50</v>
      </c>
      <c r="B52" s="2">
        <v>373</v>
      </c>
      <c r="C52" s="2">
        <f>February!C52+B52</f>
        <v>1496</v>
      </c>
      <c r="D52" s="2"/>
      <c r="E52" s="2"/>
      <c r="F52" s="2"/>
      <c r="G52" s="2">
        <f>February!G52+F52</f>
        <v>0</v>
      </c>
      <c r="H52" s="2"/>
      <c r="I52" s="2">
        <f>February!I52+H52</f>
        <v>0</v>
      </c>
      <c r="J52" s="2">
        <v>1</v>
      </c>
      <c r="K52" s="2"/>
      <c r="L52" s="2">
        <f>February!L52+K52</f>
        <v>0</v>
      </c>
      <c r="M52" s="2"/>
      <c r="N52" s="2">
        <f>February!N52+M52</f>
        <v>0</v>
      </c>
      <c r="O52" s="2"/>
      <c r="P52" s="2"/>
    </row>
    <row r="53" spans="1:16" ht="18" customHeight="1">
      <c r="A53" s="2" t="s">
        <v>67</v>
      </c>
      <c r="B53" s="2">
        <v>3832</v>
      </c>
      <c r="C53" s="2">
        <f>February!C53+B53</f>
        <v>7853</v>
      </c>
      <c r="D53" s="2">
        <v>2</v>
      </c>
      <c r="E53" s="2" t="s">
        <v>65</v>
      </c>
      <c r="F53" s="2">
        <v>59</v>
      </c>
      <c r="G53" s="2">
        <f>February!G53+F53</f>
        <v>220</v>
      </c>
      <c r="H53" s="2">
        <v>521</v>
      </c>
      <c r="I53" s="2">
        <f>February!I53+H53</f>
        <v>1387</v>
      </c>
      <c r="J53" s="2">
        <v>36</v>
      </c>
      <c r="K53" s="2">
        <v>7</v>
      </c>
      <c r="L53" s="2">
        <f>February!L53+K53</f>
        <v>7</v>
      </c>
      <c r="M53" s="2">
        <v>2</v>
      </c>
      <c r="N53" s="2">
        <f>February!N53+M53</f>
        <v>2</v>
      </c>
      <c r="O53" s="2"/>
      <c r="P53" s="2"/>
    </row>
    <row r="54" spans="1:16" ht="18" customHeight="1" thickBot="1">
      <c r="A54" s="3" t="s">
        <v>51</v>
      </c>
      <c r="B54" s="3">
        <v>259</v>
      </c>
      <c r="C54" s="2">
        <f>February!C54+B54</f>
        <v>858</v>
      </c>
      <c r="D54" s="3"/>
      <c r="E54" s="3"/>
      <c r="F54" s="3">
        <v>63</v>
      </c>
      <c r="G54" s="2">
        <f>February!G54+F54</f>
        <v>439</v>
      </c>
      <c r="H54" s="3"/>
      <c r="I54" s="2">
        <f>February!I54+H54</f>
        <v>0</v>
      </c>
      <c r="J54" s="3">
        <v>35</v>
      </c>
      <c r="K54" s="3"/>
      <c r="L54" s="2">
        <f>February!L54+K54</f>
        <v>0</v>
      </c>
      <c r="M54" s="3">
        <v>57</v>
      </c>
      <c r="N54" s="2">
        <f>February!N54+M54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108224</v>
      </c>
      <c r="C55" s="1"/>
      <c r="D55" s="1">
        <f t="shared" si="0"/>
        <v>44</v>
      </c>
      <c r="E55" s="1">
        <f t="shared" si="0"/>
        <v>0</v>
      </c>
      <c r="F55" s="1">
        <f t="shared" si="0"/>
        <v>6176</v>
      </c>
      <c r="G55" s="1"/>
      <c r="H55" s="1">
        <f t="shared" si="0"/>
        <v>2446</v>
      </c>
      <c r="I55" s="1"/>
      <c r="J55" s="1">
        <f t="shared" si="0"/>
        <v>369</v>
      </c>
      <c r="K55" s="1">
        <f t="shared" si="0"/>
        <v>5568</v>
      </c>
      <c r="L55" s="1"/>
      <c r="M55" s="1">
        <f t="shared" si="0"/>
        <v>136</v>
      </c>
      <c r="N55" s="1"/>
      <c r="O55" s="1">
        <f t="shared" si="0"/>
        <v>8</v>
      </c>
      <c r="P55" s="1">
        <f t="shared" si="0"/>
        <v>145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February!C57+B55</f>
        <v>239139</v>
      </c>
      <c r="D57" s="1">
        <f>February!D57+D55</f>
        <v>79</v>
      </c>
      <c r="E57" s="1">
        <f>February!E57+E55</f>
        <v>0</v>
      </c>
      <c r="F57" s="1"/>
      <c r="G57" s="1">
        <f>February!G57+F55</f>
        <v>9960</v>
      </c>
      <c r="H57" s="1"/>
      <c r="I57" s="1">
        <f>February!I57+H55</f>
        <v>5627</v>
      </c>
      <c r="J57" s="1">
        <f>February!J57+J55</f>
        <v>1466</v>
      </c>
      <c r="K57" s="1"/>
      <c r="L57" s="1">
        <f>February!L57+K55</f>
        <v>8711</v>
      </c>
      <c r="M57" s="1"/>
      <c r="N57" s="1">
        <f>February!N57+M55</f>
        <v>492</v>
      </c>
      <c r="O57" s="1">
        <f>February!O57+O55</f>
        <v>17</v>
      </c>
      <c r="P57" s="1">
        <f>February!P57+P55</f>
        <v>2038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1264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6">
        <f>February!G62+F60</f>
        <v>3070</v>
      </c>
      <c r="I62" s="5">
        <f>February!I62+H60</f>
        <v>6600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>
      <c r="D70" s="2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xSplit="1" ySplit="4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:IV20"/>
    </sheetView>
  </sheetViews>
  <sheetFormatPr defaultColWidth="9.00390625" defaultRowHeight="15.75"/>
  <cols>
    <col min="1" max="1" width="18.125" style="5" customWidth="1"/>
    <col min="2" max="2" width="9.125" style="5" bestFit="1" customWidth="1"/>
    <col min="3" max="3" width="9.50390625" style="5" bestFit="1" customWidth="1"/>
    <col min="4" max="4" width="9.25390625" style="5" customWidth="1"/>
    <col min="5" max="5" width="7.00390625" style="5" customWidth="1"/>
    <col min="6" max="9" width="9.125" style="5" bestFit="1" customWidth="1"/>
    <col min="10" max="10" width="7.875" style="5" customWidth="1"/>
    <col min="11" max="14" width="9.125" style="5" bestFit="1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74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3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v>510</v>
      </c>
      <c r="C5" s="2">
        <f>March!C5+B5</f>
        <v>702</v>
      </c>
      <c r="D5" s="2"/>
      <c r="E5" s="2"/>
      <c r="F5" s="2">
        <f>1+1</f>
        <v>2</v>
      </c>
      <c r="G5" s="2">
        <f>March!G5+F5</f>
        <v>2</v>
      </c>
      <c r="H5" s="2">
        <v>60</v>
      </c>
      <c r="I5" s="2">
        <f>March!I5+H5</f>
        <v>60</v>
      </c>
      <c r="J5" s="2">
        <v>2</v>
      </c>
      <c r="K5" s="2"/>
      <c r="L5" s="2">
        <f>March!L5+K5</f>
        <v>0</v>
      </c>
      <c r="M5" s="2"/>
      <c r="N5" s="2">
        <f>March!N5+M5</f>
        <v>0</v>
      </c>
      <c r="O5" s="2"/>
      <c r="P5" s="2"/>
    </row>
    <row r="6" spans="1:16" ht="18" customHeight="1">
      <c r="A6" s="2" t="s">
        <v>5</v>
      </c>
      <c r="B6" s="2"/>
      <c r="C6" s="2">
        <f>March!C6+B6</f>
        <v>0</v>
      </c>
      <c r="D6" s="2"/>
      <c r="E6" s="2" t="s">
        <v>65</v>
      </c>
      <c r="F6" s="2"/>
      <c r="G6" s="2">
        <f>March!G6+F6</f>
        <v>0</v>
      </c>
      <c r="H6" s="2"/>
      <c r="I6" s="2">
        <f>March!I6+H6</f>
        <v>0</v>
      </c>
      <c r="J6" s="2"/>
      <c r="K6" s="2"/>
      <c r="L6" s="2">
        <f>March!L6+K6</f>
        <v>0</v>
      </c>
      <c r="M6" s="2"/>
      <c r="N6" s="2">
        <f>March!N6+M6</f>
        <v>0</v>
      </c>
      <c r="O6" s="2"/>
      <c r="P6" s="2"/>
    </row>
    <row r="7" spans="1:16" ht="18" customHeight="1">
      <c r="A7" s="2" t="s">
        <v>6</v>
      </c>
      <c r="B7" s="2"/>
      <c r="C7" s="2">
        <f>March!C7+B7</f>
        <v>0</v>
      </c>
      <c r="D7" s="2"/>
      <c r="E7" s="2"/>
      <c r="F7" s="2"/>
      <c r="G7" s="2">
        <f>March!G7+F7</f>
        <v>1</v>
      </c>
      <c r="H7" s="2"/>
      <c r="I7" s="2">
        <f>March!I7+H7</f>
        <v>190</v>
      </c>
      <c r="J7" s="2">
        <v>29</v>
      </c>
      <c r="K7" s="2"/>
      <c r="L7" s="2">
        <f>March!L7+K7</f>
        <v>0</v>
      </c>
      <c r="M7" s="2">
        <v>2</v>
      </c>
      <c r="N7" s="2">
        <f>March!N7+M7</f>
        <v>2</v>
      </c>
      <c r="O7" s="2"/>
      <c r="P7" s="2"/>
    </row>
    <row r="8" spans="1:16" ht="18" customHeight="1">
      <c r="A8" s="2" t="s">
        <v>7</v>
      </c>
      <c r="B8" s="2">
        <v>722</v>
      </c>
      <c r="C8" s="2">
        <f>March!C8+B8</f>
        <v>983</v>
      </c>
      <c r="D8" s="2"/>
      <c r="E8" s="2"/>
      <c r="F8" s="2">
        <v>5</v>
      </c>
      <c r="G8" s="2">
        <f>March!G8+F8</f>
        <v>5</v>
      </c>
      <c r="H8" s="2">
        <v>2</v>
      </c>
      <c r="I8" s="2">
        <f>March!I8+H8</f>
        <v>39</v>
      </c>
      <c r="J8" s="2">
        <v>17</v>
      </c>
      <c r="K8" s="2"/>
      <c r="L8" s="2">
        <f>March!L8+K8</f>
        <v>0</v>
      </c>
      <c r="M8" s="2"/>
      <c r="N8" s="2">
        <f>March!N8+M8</f>
        <v>0</v>
      </c>
      <c r="O8" s="2"/>
      <c r="P8" s="2"/>
    </row>
    <row r="9" spans="1:16" ht="18" customHeight="1">
      <c r="A9" s="2" t="s">
        <v>8</v>
      </c>
      <c r="B9" s="2">
        <v>1742</v>
      </c>
      <c r="C9" s="2">
        <f>March!C9+B9</f>
        <v>3202</v>
      </c>
      <c r="D9" s="2"/>
      <c r="E9" s="2"/>
      <c r="F9" s="2">
        <v>87</v>
      </c>
      <c r="G9" s="2">
        <f>March!G9+F9</f>
        <v>92</v>
      </c>
      <c r="H9" s="2">
        <v>2</v>
      </c>
      <c r="I9" s="2">
        <f>March!I9+H9</f>
        <v>3</v>
      </c>
      <c r="J9" s="2">
        <v>11</v>
      </c>
      <c r="K9" s="2"/>
      <c r="L9" s="2">
        <f>March!L9+K9</f>
        <v>0</v>
      </c>
      <c r="M9" s="2"/>
      <c r="N9" s="2">
        <f>March!N9+M9</f>
        <v>0</v>
      </c>
      <c r="O9" s="2"/>
      <c r="P9" s="2"/>
    </row>
    <row r="10" spans="1:16" ht="18" customHeight="1">
      <c r="A10" s="2" t="s">
        <v>10</v>
      </c>
      <c r="B10" s="2">
        <v>1064</v>
      </c>
      <c r="C10" s="2">
        <f>March!C10+B10</f>
        <v>1399</v>
      </c>
      <c r="D10" s="2"/>
      <c r="E10" s="2" t="s">
        <v>65</v>
      </c>
      <c r="F10" s="2">
        <v>2</v>
      </c>
      <c r="G10" s="2">
        <f>March!G10+F10</f>
        <v>115</v>
      </c>
      <c r="H10" s="2">
        <v>1</v>
      </c>
      <c r="I10" s="2">
        <f>March!I10+H10</f>
        <v>1</v>
      </c>
      <c r="J10" s="2">
        <v>26</v>
      </c>
      <c r="K10" s="2"/>
      <c r="L10" s="2">
        <f>March!L10+K10</f>
        <v>0</v>
      </c>
      <c r="M10" s="2"/>
      <c r="N10" s="2">
        <f>March!N10+M10</f>
        <v>0</v>
      </c>
      <c r="O10" s="2"/>
      <c r="P10" s="2"/>
    </row>
    <row r="11" spans="1:16" ht="18" customHeight="1">
      <c r="A11" s="2" t="s">
        <v>9</v>
      </c>
      <c r="B11" s="2">
        <v>67</v>
      </c>
      <c r="C11" s="2">
        <f>March!C11+B11</f>
        <v>1030</v>
      </c>
      <c r="D11" s="2"/>
      <c r="E11" s="2"/>
      <c r="F11" s="2">
        <v>16</v>
      </c>
      <c r="G11" s="2">
        <f>March!G11+F11</f>
        <v>201</v>
      </c>
      <c r="H11" s="2">
        <v>67</v>
      </c>
      <c r="I11" s="2">
        <f>March!I11+H11</f>
        <v>446</v>
      </c>
      <c r="J11" s="2">
        <v>6</v>
      </c>
      <c r="K11" s="2"/>
      <c r="L11" s="2">
        <f>March!L11+K11</f>
        <v>4</v>
      </c>
      <c r="M11" s="2"/>
      <c r="N11" s="2">
        <f>March!N11+M11</f>
        <v>0</v>
      </c>
      <c r="O11" s="2"/>
      <c r="P11" s="2"/>
    </row>
    <row r="12" spans="1:16" ht="18" customHeight="1">
      <c r="A12" s="2" t="s">
        <v>11</v>
      </c>
      <c r="B12" s="2"/>
      <c r="C12" s="2">
        <f>March!C12+B12</f>
        <v>0</v>
      </c>
      <c r="D12" s="2"/>
      <c r="E12" s="2" t="s">
        <v>65</v>
      </c>
      <c r="F12" s="2"/>
      <c r="G12" s="2">
        <f>March!G12+F12</f>
        <v>0</v>
      </c>
      <c r="H12" s="2"/>
      <c r="I12" s="2">
        <f>March!I12+H12</f>
        <v>0</v>
      </c>
      <c r="J12" s="2"/>
      <c r="K12" s="2"/>
      <c r="L12" s="2">
        <f>March!L12+K12</f>
        <v>0</v>
      </c>
      <c r="M12" s="2"/>
      <c r="N12" s="2">
        <f>March!N12+M12</f>
        <v>0</v>
      </c>
      <c r="O12" s="2"/>
      <c r="P12" s="2"/>
    </row>
    <row r="13" spans="1:16" ht="18" customHeight="1">
      <c r="A13" s="2" t="s">
        <v>12</v>
      </c>
      <c r="B13" s="2"/>
      <c r="C13" s="2">
        <f>March!C13+B13</f>
        <v>0</v>
      </c>
      <c r="D13" s="2"/>
      <c r="E13" s="2"/>
      <c r="F13" s="2"/>
      <c r="G13" s="2">
        <f>March!G13+F13</f>
        <v>0</v>
      </c>
      <c r="H13" s="2"/>
      <c r="I13" s="2">
        <f>March!I13+H13</f>
        <v>0</v>
      </c>
      <c r="J13" s="2"/>
      <c r="K13" s="2"/>
      <c r="L13" s="2">
        <f>March!L13+K13</f>
        <v>0</v>
      </c>
      <c r="M13" s="2"/>
      <c r="N13" s="2">
        <f>March!N13+M13</f>
        <v>0</v>
      </c>
      <c r="O13" s="2"/>
      <c r="P13" s="2"/>
    </row>
    <row r="14" spans="1:16" ht="18" customHeight="1">
      <c r="A14" s="2" t="s">
        <v>13</v>
      </c>
      <c r="B14" s="2"/>
      <c r="C14" s="2">
        <f>March!C14+B14</f>
        <v>0</v>
      </c>
      <c r="D14" s="2"/>
      <c r="E14" s="2" t="s">
        <v>65</v>
      </c>
      <c r="F14" s="2"/>
      <c r="G14" s="2">
        <f>March!G14+F14</f>
        <v>43</v>
      </c>
      <c r="H14" s="2"/>
      <c r="I14" s="2">
        <f>March!I14+H14</f>
        <v>10</v>
      </c>
      <c r="J14" s="2">
        <v>6</v>
      </c>
      <c r="K14" s="2"/>
      <c r="L14" s="2">
        <f>March!L14+K14</f>
        <v>0</v>
      </c>
      <c r="M14" s="2"/>
      <c r="N14" s="2">
        <f>March!N14+M14</f>
        <v>0</v>
      </c>
      <c r="O14" s="2"/>
      <c r="P14" s="2"/>
    </row>
    <row r="15" spans="1:16" ht="18" customHeight="1">
      <c r="A15" s="2" t="s">
        <v>14</v>
      </c>
      <c r="B15" s="2">
        <v>282</v>
      </c>
      <c r="C15" s="2">
        <f>March!C15+B15</f>
        <v>1053</v>
      </c>
      <c r="D15" s="2"/>
      <c r="E15" s="2"/>
      <c r="F15" s="2"/>
      <c r="G15" s="2">
        <f>March!G15+F15</f>
        <v>0</v>
      </c>
      <c r="H15" s="2"/>
      <c r="I15" s="2">
        <f>March!I15+H15</f>
        <v>1</v>
      </c>
      <c r="J15" s="2"/>
      <c r="K15" s="2"/>
      <c r="L15" s="2">
        <f>March!L15+K15</f>
        <v>0</v>
      </c>
      <c r="M15" s="2"/>
      <c r="N15" s="2">
        <f>March!N15+M15</f>
        <v>0</v>
      </c>
      <c r="O15" s="2"/>
      <c r="P15" s="2"/>
    </row>
    <row r="16" spans="1:16" ht="18" customHeight="1">
      <c r="A16" s="2" t="s">
        <v>15</v>
      </c>
      <c r="B16" s="2"/>
      <c r="C16" s="2">
        <f>March!C16+B16</f>
        <v>0</v>
      </c>
      <c r="D16" s="2"/>
      <c r="E16" s="2"/>
      <c r="F16" s="2"/>
      <c r="G16" s="2">
        <f>March!G16+F16</f>
        <v>0</v>
      </c>
      <c r="H16" s="2"/>
      <c r="I16" s="2">
        <f>March!I16+H16</f>
        <v>0</v>
      </c>
      <c r="J16" s="2"/>
      <c r="K16" s="2"/>
      <c r="L16" s="2">
        <f>March!L16+K16</f>
        <v>0</v>
      </c>
      <c r="M16" s="2"/>
      <c r="N16" s="2">
        <f>March!N16+M16</f>
        <v>0</v>
      </c>
      <c r="O16" s="2"/>
      <c r="P16" s="2"/>
    </row>
    <row r="17" spans="1:16" ht="18" customHeight="1">
      <c r="A17" s="2" t="s">
        <v>16</v>
      </c>
      <c r="B17" s="2">
        <v>904</v>
      </c>
      <c r="C17" s="2">
        <f>March!C17+B17</f>
        <v>6028</v>
      </c>
      <c r="D17" s="2"/>
      <c r="E17" s="2"/>
      <c r="F17" s="2"/>
      <c r="G17" s="2">
        <f>March!G17+F17</f>
        <v>129</v>
      </c>
      <c r="H17" s="2">
        <v>21</v>
      </c>
      <c r="I17" s="2">
        <f>March!I17+H17</f>
        <v>60</v>
      </c>
      <c r="J17" s="2">
        <v>3</v>
      </c>
      <c r="K17" s="2"/>
      <c r="L17" s="2">
        <f>March!L17+K17</f>
        <v>0</v>
      </c>
      <c r="M17" s="2"/>
      <c r="N17" s="2">
        <f>March!N17+M17</f>
        <v>0</v>
      </c>
      <c r="O17" s="2"/>
      <c r="P17" s="2"/>
    </row>
    <row r="18" spans="1:16" ht="18" customHeight="1">
      <c r="A18" s="2" t="s">
        <v>17</v>
      </c>
      <c r="B18" s="2">
        <v>650</v>
      </c>
      <c r="C18" s="2">
        <f>March!C18+B18</f>
        <v>2168</v>
      </c>
      <c r="D18" s="2"/>
      <c r="E18" s="2"/>
      <c r="F18" s="2">
        <v>30</v>
      </c>
      <c r="G18" s="2">
        <f>March!G18+F18</f>
        <v>128</v>
      </c>
      <c r="H18" s="2">
        <v>14</v>
      </c>
      <c r="I18" s="2">
        <f>March!I18+H18</f>
        <v>62</v>
      </c>
      <c r="J18" s="2">
        <v>46</v>
      </c>
      <c r="K18" s="2">
        <v>16</v>
      </c>
      <c r="L18" s="2">
        <f>March!L18+K18</f>
        <v>16</v>
      </c>
      <c r="M18" s="2"/>
      <c r="N18" s="2">
        <f>March!N18+M18</f>
        <v>0</v>
      </c>
      <c r="O18" s="2"/>
      <c r="P18" s="2"/>
    </row>
    <row r="19" spans="1:16" ht="18" customHeight="1">
      <c r="A19" s="2" t="s">
        <v>18</v>
      </c>
      <c r="B19" s="2">
        <v>1088</v>
      </c>
      <c r="C19" s="2">
        <f>March!C19+B19</f>
        <v>2406</v>
      </c>
      <c r="D19" s="2"/>
      <c r="E19" s="2"/>
      <c r="F19" s="2">
        <v>2</v>
      </c>
      <c r="G19" s="2">
        <f>March!G19+F19</f>
        <v>2</v>
      </c>
      <c r="H19" s="2">
        <v>125</v>
      </c>
      <c r="I19" s="2">
        <f>March!I19+H19</f>
        <v>742</v>
      </c>
      <c r="J19" s="2">
        <v>9</v>
      </c>
      <c r="K19" s="2">
        <v>2</v>
      </c>
      <c r="L19" s="2">
        <f>March!L19+K19</f>
        <v>2</v>
      </c>
      <c r="M19" s="2"/>
      <c r="N19" s="2">
        <f>March!N19+M19</f>
        <v>0</v>
      </c>
      <c r="O19" s="2"/>
      <c r="P19" s="2"/>
    </row>
    <row r="20" spans="1:16" ht="18" customHeight="1">
      <c r="A20" s="2" t="s">
        <v>19</v>
      </c>
      <c r="B20" s="2">
        <v>3564</v>
      </c>
      <c r="C20" s="2">
        <f>March!C20+B20</f>
        <v>9358</v>
      </c>
      <c r="D20" s="2"/>
      <c r="E20" s="2"/>
      <c r="F20" s="2">
        <v>99</v>
      </c>
      <c r="G20" s="2">
        <f>March!G20+F20</f>
        <v>211</v>
      </c>
      <c r="H20" s="2">
        <v>1</v>
      </c>
      <c r="I20" s="2">
        <f>March!I20+H20</f>
        <v>33</v>
      </c>
      <c r="J20" s="2">
        <v>14</v>
      </c>
      <c r="K20" s="2"/>
      <c r="L20" s="2">
        <f>March!L20+K20</f>
        <v>0</v>
      </c>
      <c r="M20" s="2"/>
      <c r="N20" s="2">
        <f>March!N20+M20</f>
        <v>0</v>
      </c>
      <c r="O20" s="2"/>
      <c r="P20" s="2"/>
    </row>
    <row r="21" spans="1:16" ht="18" customHeight="1">
      <c r="A21" s="2" t="s">
        <v>20</v>
      </c>
      <c r="B21" s="2">
        <v>7744</v>
      </c>
      <c r="C21" s="2">
        <f>March!C21+B21</f>
        <v>24745</v>
      </c>
      <c r="D21" s="2">
        <v>4</v>
      </c>
      <c r="E21" s="2"/>
      <c r="F21" s="2">
        <v>7</v>
      </c>
      <c r="G21" s="2">
        <f>March!G21+F21</f>
        <v>9</v>
      </c>
      <c r="H21" s="2">
        <v>3</v>
      </c>
      <c r="I21" s="2">
        <f>March!I21+H21</f>
        <v>86</v>
      </c>
      <c r="J21" s="2">
        <v>5</v>
      </c>
      <c r="K21" s="2"/>
      <c r="L21" s="2">
        <f>March!L21+K21</f>
        <v>0</v>
      </c>
      <c r="M21" s="2"/>
      <c r="N21" s="2">
        <f>March!N21+M21</f>
        <v>0</v>
      </c>
      <c r="O21" s="2"/>
      <c r="P21" s="2"/>
    </row>
    <row r="22" spans="1:16" ht="18" customHeight="1">
      <c r="A22" s="2" t="s">
        <v>21</v>
      </c>
      <c r="B22" s="2"/>
      <c r="C22" s="2">
        <f>March!C22+B22</f>
        <v>0</v>
      </c>
      <c r="D22" s="2"/>
      <c r="E22" s="2"/>
      <c r="F22" s="2"/>
      <c r="G22" s="2">
        <f>March!G22+F22</f>
        <v>1</v>
      </c>
      <c r="H22" s="2"/>
      <c r="I22" s="2">
        <f>March!I22+H22</f>
        <v>0</v>
      </c>
      <c r="J22" s="2"/>
      <c r="K22" s="2"/>
      <c r="L22" s="2">
        <f>March!L22+K22</f>
        <v>0</v>
      </c>
      <c r="M22" s="2"/>
      <c r="N22" s="2">
        <f>March!N22+M22</f>
        <v>0</v>
      </c>
      <c r="O22" s="2"/>
      <c r="P22" s="2"/>
    </row>
    <row r="23" spans="1:16" ht="18" customHeight="1">
      <c r="A23" s="2" t="s">
        <v>22</v>
      </c>
      <c r="B23" s="2"/>
      <c r="C23" s="2">
        <f>March!C23+B23</f>
        <v>0</v>
      </c>
      <c r="D23" s="2"/>
      <c r="E23" s="2"/>
      <c r="F23" s="2"/>
      <c r="G23" s="2">
        <f>March!G23+F23</f>
        <v>0</v>
      </c>
      <c r="H23" s="2"/>
      <c r="I23" s="2">
        <f>March!I23+H23</f>
        <v>0</v>
      </c>
      <c r="J23" s="2"/>
      <c r="K23" s="2"/>
      <c r="L23" s="2">
        <f>March!L23+K23</f>
        <v>0</v>
      </c>
      <c r="M23" s="2"/>
      <c r="N23" s="2">
        <f>March!N23+M23</f>
        <v>0</v>
      </c>
      <c r="O23" s="2"/>
      <c r="P23" s="2"/>
    </row>
    <row r="24" spans="1:16" ht="18" customHeight="1">
      <c r="A24" s="2" t="s">
        <v>23</v>
      </c>
      <c r="B24" s="2"/>
      <c r="C24" s="2">
        <f>March!C24+B24</f>
        <v>0</v>
      </c>
      <c r="D24" s="2"/>
      <c r="E24" s="2"/>
      <c r="F24" s="2"/>
      <c r="G24" s="2">
        <f>March!G24+F24</f>
        <v>0</v>
      </c>
      <c r="H24" s="2"/>
      <c r="I24" s="2">
        <f>March!I24+H24</f>
        <v>3</v>
      </c>
      <c r="J24" s="2"/>
      <c r="K24" s="2"/>
      <c r="L24" s="2">
        <f>March!L24+K24</f>
        <v>0</v>
      </c>
      <c r="M24" s="2"/>
      <c r="N24" s="2">
        <f>March!N24+M24</f>
        <v>0</v>
      </c>
      <c r="O24" s="2"/>
      <c r="P24" s="2"/>
    </row>
    <row r="25" spans="1:16" ht="18" customHeight="1">
      <c r="A25" s="2" t="s">
        <v>68</v>
      </c>
      <c r="B25" s="2"/>
      <c r="C25" s="2">
        <f>March!C25+B25</f>
        <v>0</v>
      </c>
      <c r="D25" s="2"/>
      <c r="E25" s="2"/>
      <c r="F25" s="2"/>
      <c r="G25" s="2">
        <f>March!G25+F25</f>
        <v>17</v>
      </c>
      <c r="H25" s="2">
        <v>2</v>
      </c>
      <c r="I25" s="2">
        <f>March!I25+H25</f>
        <v>2</v>
      </c>
      <c r="J25" s="2"/>
      <c r="K25" s="2"/>
      <c r="L25" s="2">
        <f>March!L25+K25</f>
        <v>0</v>
      </c>
      <c r="M25" s="2"/>
      <c r="N25" s="2">
        <f>March!N25+M25</f>
        <v>0</v>
      </c>
      <c r="O25" s="2"/>
      <c r="P25" s="2"/>
    </row>
    <row r="26" spans="1:16" ht="18" customHeight="1">
      <c r="A26" s="2" t="s">
        <v>24</v>
      </c>
      <c r="B26" s="2"/>
      <c r="C26" s="2">
        <f>March!C26+B26</f>
        <v>0</v>
      </c>
      <c r="D26" s="2"/>
      <c r="E26" s="2"/>
      <c r="F26" s="2"/>
      <c r="G26" s="2">
        <f>March!G26+F26</f>
        <v>10</v>
      </c>
      <c r="H26" s="2">
        <v>1</v>
      </c>
      <c r="I26" s="2">
        <f>March!I26+H26</f>
        <v>5</v>
      </c>
      <c r="J26" s="2">
        <v>1</v>
      </c>
      <c r="K26" s="2"/>
      <c r="L26" s="2">
        <f>March!L26+K26</f>
        <v>0</v>
      </c>
      <c r="M26" s="2"/>
      <c r="N26" s="2">
        <f>March!N26+M26</f>
        <v>0</v>
      </c>
      <c r="O26" s="2"/>
      <c r="P26" s="2"/>
    </row>
    <row r="27" spans="1:16" ht="18" customHeight="1">
      <c r="A27" s="2" t="s">
        <v>25</v>
      </c>
      <c r="B27" s="2">
        <v>3728</v>
      </c>
      <c r="C27" s="2">
        <f>March!C27+B27</f>
        <v>14882</v>
      </c>
      <c r="D27" s="2">
        <v>13</v>
      </c>
      <c r="E27" s="2"/>
      <c r="F27" s="2">
        <v>97</v>
      </c>
      <c r="G27" s="2">
        <f>March!G27+F27</f>
        <v>433</v>
      </c>
      <c r="H27" s="2">
        <v>689</v>
      </c>
      <c r="I27" s="2">
        <f>March!I27+H27</f>
        <v>2127</v>
      </c>
      <c r="J27" s="2">
        <v>154</v>
      </c>
      <c r="K27" s="2">
        <v>30</v>
      </c>
      <c r="L27" s="2">
        <f>March!L27+K27</f>
        <v>448</v>
      </c>
      <c r="M27" s="2">
        <v>10</v>
      </c>
      <c r="N27" s="2">
        <f>March!N27+M27</f>
        <v>10</v>
      </c>
      <c r="O27" s="2"/>
      <c r="P27" s="2"/>
    </row>
    <row r="28" spans="1:16" ht="18" customHeight="1">
      <c r="A28" s="2" t="s">
        <v>26</v>
      </c>
      <c r="B28" s="2">
        <v>97</v>
      </c>
      <c r="C28" s="2">
        <f>March!C28+B28</f>
        <v>482</v>
      </c>
      <c r="D28" s="2"/>
      <c r="E28" s="2"/>
      <c r="F28" s="2"/>
      <c r="G28" s="2">
        <f>March!G28+F28</f>
        <v>0</v>
      </c>
      <c r="H28" s="2"/>
      <c r="I28" s="2">
        <f>March!I28+H28</f>
        <v>0</v>
      </c>
      <c r="J28" s="2"/>
      <c r="K28" s="2"/>
      <c r="L28" s="2">
        <f>March!L28+K28</f>
        <v>0</v>
      </c>
      <c r="M28" s="2"/>
      <c r="N28" s="2">
        <f>March!N28+M28</f>
        <v>0</v>
      </c>
      <c r="O28" s="2"/>
      <c r="P28" s="2"/>
    </row>
    <row r="29" spans="1:16" ht="18" customHeight="1">
      <c r="A29" s="2" t="s">
        <v>27</v>
      </c>
      <c r="B29" s="2">
        <v>20833</v>
      </c>
      <c r="C29" s="2">
        <f>March!C29+B29</f>
        <v>44814</v>
      </c>
      <c r="D29" s="2">
        <v>1</v>
      </c>
      <c r="E29" s="2" t="s">
        <v>65</v>
      </c>
      <c r="F29" s="2">
        <v>450</v>
      </c>
      <c r="G29" s="2">
        <f>March!G29+F29</f>
        <v>658</v>
      </c>
      <c r="H29" s="2">
        <v>45</v>
      </c>
      <c r="I29" s="2">
        <f>March!I29+H29</f>
        <v>188</v>
      </c>
      <c r="J29" s="2">
        <v>122</v>
      </c>
      <c r="K29" s="2">
        <v>1</v>
      </c>
      <c r="L29" s="2">
        <f>March!L29+K29</f>
        <v>52</v>
      </c>
      <c r="M29" s="2">
        <v>88</v>
      </c>
      <c r="N29" s="2">
        <f>March!N29+M29</f>
        <v>88</v>
      </c>
      <c r="O29" s="2"/>
      <c r="P29" s="2"/>
    </row>
    <row r="30" spans="1:16" ht="18" customHeight="1">
      <c r="A30" s="2" t="s">
        <v>28</v>
      </c>
      <c r="B30" s="2">
        <v>3795</v>
      </c>
      <c r="C30" s="2">
        <f>March!C30+B30</f>
        <v>26618</v>
      </c>
      <c r="D30" s="2"/>
      <c r="E30" s="2" t="s">
        <v>65</v>
      </c>
      <c r="F30" s="2">
        <v>192</v>
      </c>
      <c r="G30" s="2">
        <f>March!G30+F30</f>
        <v>3273</v>
      </c>
      <c r="H30" s="2"/>
      <c r="I30" s="2">
        <f>March!I30+H30</f>
        <v>0</v>
      </c>
      <c r="J30" s="2">
        <v>9</v>
      </c>
      <c r="K30" s="2">
        <v>304</v>
      </c>
      <c r="L30" s="2">
        <f>March!L30+K30</f>
        <v>2466</v>
      </c>
      <c r="M30" s="2"/>
      <c r="N30" s="2">
        <f>March!N30+M30</f>
        <v>0</v>
      </c>
      <c r="O30" s="2"/>
      <c r="P30" s="2"/>
    </row>
    <row r="31" spans="1:16" ht="18" customHeight="1">
      <c r="A31" s="2" t="s">
        <v>29</v>
      </c>
      <c r="B31" s="2">
        <v>4034</v>
      </c>
      <c r="C31" s="2">
        <f>March!C31+B31</f>
        <v>18630</v>
      </c>
      <c r="D31" s="2"/>
      <c r="E31" s="2" t="s">
        <v>65</v>
      </c>
      <c r="F31" s="2">
        <v>756</v>
      </c>
      <c r="G31" s="2">
        <f>March!G31+F31</f>
        <v>2744</v>
      </c>
      <c r="H31" s="2">
        <v>46</v>
      </c>
      <c r="I31" s="2">
        <f>March!I31+H31</f>
        <v>171</v>
      </c>
      <c r="J31" s="2">
        <v>64</v>
      </c>
      <c r="K31" s="2">
        <v>76</v>
      </c>
      <c r="L31" s="2">
        <f>March!L31+K31</f>
        <v>315</v>
      </c>
      <c r="M31" s="2">
        <v>17</v>
      </c>
      <c r="N31" s="2">
        <f>March!N31+M31</f>
        <v>71</v>
      </c>
      <c r="O31" s="2"/>
      <c r="P31" s="2"/>
    </row>
    <row r="32" spans="1:16" ht="18" customHeight="1">
      <c r="A32" s="2" t="s">
        <v>30</v>
      </c>
      <c r="B32" s="2"/>
      <c r="C32" s="2">
        <f>March!C32+B32</f>
        <v>0</v>
      </c>
      <c r="D32" s="2"/>
      <c r="E32" s="2"/>
      <c r="F32" s="2">
        <v>4</v>
      </c>
      <c r="G32" s="2">
        <f>March!G32+F32</f>
        <v>56</v>
      </c>
      <c r="H32" s="2"/>
      <c r="I32" s="2">
        <f>March!I32+H32</f>
        <v>60</v>
      </c>
      <c r="J32" s="2">
        <v>5</v>
      </c>
      <c r="K32" s="2"/>
      <c r="L32" s="2">
        <f>March!L32+K32</f>
        <v>0</v>
      </c>
      <c r="M32" s="2"/>
      <c r="N32" s="2">
        <f>March!N32+M32</f>
        <v>0</v>
      </c>
      <c r="O32" s="2"/>
      <c r="P32" s="2"/>
    </row>
    <row r="33" spans="1:16" ht="18" customHeight="1">
      <c r="A33" s="2" t="s">
        <v>31</v>
      </c>
      <c r="B33" s="2"/>
      <c r="C33" s="2">
        <f>March!C33+B33</f>
        <v>0</v>
      </c>
      <c r="D33" s="2"/>
      <c r="E33" s="2"/>
      <c r="F33" s="2"/>
      <c r="G33" s="2">
        <f>March!G33+F33</f>
        <v>0</v>
      </c>
      <c r="H33" s="2"/>
      <c r="I33" s="2">
        <f>March!I33+H33</f>
        <v>0</v>
      </c>
      <c r="J33" s="2"/>
      <c r="K33" s="2"/>
      <c r="L33" s="2">
        <f>March!L33+K33</f>
        <v>0</v>
      </c>
      <c r="M33" s="2"/>
      <c r="N33" s="2">
        <f>March!N33+M33</f>
        <v>0</v>
      </c>
      <c r="O33" s="2"/>
      <c r="P33" s="2"/>
    </row>
    <row r="34" spans="1:16" ht="18" customHeight="1">
      <c r="A34" s="2" t="s">
        <v>32</v>
      </c>
      <c r="B34" s="2"/>
      <c r="C34" s="2">
        <f>March!C34+B34</f>
        <v>0</v>
      </c>
      <c r="D34" s="2"/>
      <c r="E34" s="2"/>
      <c r="F34" s="2"/>
      <c r="G34" s="2">
        <f>March!G34+F34</f>
        <v>0</v>
      </c>
      <c r="H34" s="2"/>
      <c r="I34" s="2">
        <f>March!I34+H34</f>
        <v>0</v>
      </c>
      <c r="J34" s="2"/>
      <c r="K34" s="2"/>
      <c r="L34" s="2">
        <f>March!L34+K34</f>
        <v>0</v>
      </c>
      <c r="M34" s="2"/>
      <c r="N34" s="2">
        <f>March!N34+M34</f>
        <v>0</v>
      </c>
      <c r="O34" s="2"/>
      <c r="P34" s="2"/>
    </row>
    <row r="35" spans="1:16" ht="18" customHeight="1">
      <c r="A35" s="2" t="s">
        <v>33</v>
      </c>
      <c r="B35" s="2">
        <v>300</v>
      </c>
      <c r="C35" s="2">
        <f>March!C35+B35</f>
        <v>1056</v>
      </c>
      <c r="D35" s="2"/>
      <c r="E35" s="2"/>
      <c r="F35" s="2">
        <v>1</v>
      </c>
      <c r="G35" s="2">
        <f>March!G35+F35</f>
        <v>5</v>
      </c>
      <c r="H35" s="2"/>
      <c r="I35" s="2">
        <f>March!I35+H35</f>
        <v>0</v>
      </c>
      <c r="J35" s="2">
        <v>2</v>
      </c>
      <c r="K35" s="2"/>
      <c r="L35" s="2">
        <f>March!L35+K35</f>
        <v>0</v>
      </c>
      <c r="M35" s="2"/>
      <c r="N35" s="2">
        <f>March!N35+M35</f>
        <v>0</v>
      </c>
      <c r="O35" s="2"/>
      <c r="P35" s="2"/>
    </row>
    <row r="36" spans="1:16" ht="18" customHeight="1">
      <c r="A36" s="2" t="s">
        <v>34</v>
      </c>
      <c r="B36" s="2"/>
      <c r="C36" s="2">
        <f>March!C36+B36</f>
        <v>0</v>
      </c>
      <c r="D36" s="2"/>
      <c r="E36" s="2"/>
      <c r="F36" s="2"/>
      <c r="G36" s="2">
        <f>March!G36+F36</f>
        <v>0</v>
      </c>
      <c r="H36" s="2">
        <v>77</v>
      </c>
      <c r="I36" s="2">
        <f>March!I36+H36</f>
        <v>235</v>
      </c>
      <c r="J36" s="2"/>
      <c r="K36" s="2"/>
      <c r="L36" s="2">
        <f>March!L36+K36</f>
        <v>0</v>
      </c>
      <c r="M36" s="2"/>
      <c r="N36" s="2">
        <f>March!N36+M36</f>
        <v>0</v>
      </c>
      <c r="O36" s="2"/>
      <c r="P36" s="2"/>
    </row>
    <row r="37" spans="1:16" ht="18" customHeight="1">
      <c r="A37" s="2" t="s">
        <v>35</v>
      </c>
      <c r="B37" s="2">
        <v>66</v>
      </c>
      <c r="C37" s="2">
        <f>March!C37+B37</f>
        <v>306</v>
      </c>
      <c r="D37" s="2"/>
      <c r="E37" s="2" t="s">
        <v>65</v>
      </c>
      <c r="F37" s="2"/>
      <c r="G37" s="2">
        <f>March!G37+F37</f>
        <v>1</v>
      </c>
      <c r="H37" s="2"/>
      <c r="I37" s="2">
        <f>March!I37+H37</f>
        <v>47</v>
      </c>
      <c r="J37" s="2">
        <v>2</v>
      </c>
      <c r="K37" s="2"/>
      <c r="L37" s="2">
        <f>March!L37+K37</f>
        <v>0</v>
      </c>
      <c r="M37" s="2"/>
      <c r="N37" s="2">
        <f>March!N37+M37</f>
        <v>0</v>
      </c>
      <c r="O37" s="2"/>
      <c r="P37" s="2"/>
    </row>
    <row r="38" spans="1:16" ht="18" customHeight="1">
      <c r="A38" s="2" t="s">
        <v>36</v>
      </c>
      <c r="B38" s="2">
        <v>2740</v>
      </c>
      <c r="C38" s="2">
        <f>March!C38+B38</f>
        <v>29690</v>
      </c>
      <c r="D38" s="2"/>
      <c r="E38" s="2"/>
      <c r="F38" s="2">
        <v>341</v>
      </c>
      <c r="G38" s="2">
        <f>March!G38+F38</f>
        <v>662</v>
      </c>
      <c r="H38" s="2"/>
      <c r="I38" s="2">
        <f>March!I38+H38</f>
        <v>0</v>
      </c>
      <c r="J38" s="2">
        <v>3</v>
      </c>
      <c r="K38" s="2">
        <v>270</v>
      </c>
      <c r="L38" s="2">
        <f>March!L38+K38</f>
        <v>2176</v>
      </c>
      <c r="M38" s="2"/>
      <c r="N38" s="2">
        <f>March!N38+M38</f>
        <v>8</v>
      </c>
      <c r="O38" s="2"/>
      <c r="P38" s="2"/>
    </row>
    <row r="39" spans="1:16" ht="18" customHeight="1">
      <c r="A39" s="2" t="s">
        <v>37</v>
      </c>
      <c r="B39" s="2"/>
      <c r="C39" s="2">
        <f>March!C39+B39</f>
        <v>1803</v>
      </c>
      <c r="D39" s="2">
        <v>1</v>
      </c>
      <c r="E39" s="2" t="s">
        <v>65</v>
      </c>
      <c r="F39" s="2">
        <v>1</v>
      </c>
      <c r="G39" s="2">
        <f>March!G39+F39</f>
        <v>32</v>
      </c>
      <c r="H39" s="2">
        <v>116</v>
      </c>
      <c r="I39" s="2">
        <f>March!I39+H39</f>
        <v>527</v>
      </c>
      <c r="J39" s="2"/>
      <c r="K39" s="2"/>
      <c r="L39" s="2">
        <f>March!L39+K39</f>
        <v>10</v>
      </c>
      <c r="M39" s="2"/>
      <c r="N39" s="2">
        <f>March!N39+M39</f>
        <v>0</v>
      </c>
      <c r="O39" s="2"/>
      <c r="P39" s="2"/>
    </row>
    <row r="40" spans="1:16" ht="18" customHeight="1">
      <c r="A40" s="2" t="s">
        <v>38</v>
      </c>
      <c r="B40" s="2">
        <v>221</v>
      </c>
      <c r="C40" s="2">
        <f>March!C40+B40</f>
        <v>1211</v>
      </c>
      <c r="D40" s="2"/>
      <c r="E40" s="2" t="s">
        <v>65</v>
      </c>
      <c r="F40" s="2">
        <v>13</v>
      </c>
      <c r="G40" s="2">
        <f>March!G40+F40</f>
        <v>49</v>
      </c>
      <c r="H40" s="2">
        <v>14</v>
      </c>
      <c r="I40" s="2">
        <f>March!I40+H40</f>
        <v>14</v>
      </c>
      <c r="J40" s="2">
        <v>18</v>
      </c>
      <c r="K40" s="2">
        <v>15</v>
      </c>
      <c r="L40" s="2">
        <f>March!L40+K40</f>
        <v>16</v>
      </c>
      <c r="M40" s="2"/>
      <c r="N40" s="2">
        <f>March!N40+M40</f>
        <v>0</v>
      </c>
      <c r="O40" s="2"/>
      <c r="P40" s="2"/>
    </row>
    <row r="41" spans="1:16" ht="18" customHeight="1">
      <c r="A41" s="2" t="s">
        <v>39</v>
      </c>
      <c r="B41" s="2"/>
      <c r="C41" s="2">
        <f>March!C41+B41</f>
        <v>329</v>
      </c>
      <c r="D41" s="2"/>
      <c r="E41" s="2"/>
      <c r="F41" s="2"/>
      <c r="G41" s="2">
        <f>March!G41+F41</f>
        <v>2</v>
      </c>
      <c r="H41" s="2"/>
      <c r="I41" s="2">
        <f>March!I41+H41</f>
        <v>0</v>
      </c>
      <c r="J41" s="2"/>
      <c r="K41" s="2"/>
      <c r="L41" s="2">
        <f>March!L41+K41</f>
        <v>0</v>
      </c>
      <c r="M41" s="2"/>
      <c r="N41" s="2">
        <f>March!N41+M41</f>
        <v>0</v>
      </c>
      <c r="O41" s="2"/>
      <c r="P41" s="2"/>
    </row>
    <row r="42" spans="1:16" ht="18" customHeight="1">
      <c r="A42" s="2" t="s">
        <v>40</v>
      </c>
      <c r="B42" s="2">
        <v>70</v>
      </c>
      <c r="C42" s="2">
        <f>March!C42+B42</f>
        <v>208</v>
      </c>
      <c r="D42" s="2"/>
      <c r="E42" s="2"/>
      <c r="F42" s="2"/>
      <c r="G42" s="2">
        <f>March!G42+F42</f>
        <v>167</v>
      </c>
      <c r="H42" s="2">
        <v>40</v>
      </c>
      <c r="I42" s="2">
        <f>March!I42+H42</f>
        <v>200</v>
      </c>
      <c r="J42" s="2">
        <v>1</v>
      </c>
      <c r="K42" s="2"/>
      <c r="L42" s="2">
        <f>March!L42+K42</f>
        <v>0</v>
      </c>
      <c r="M42" s="2"/>
      <c r="N42" s="2">
        <f>March!N42+M42</f>
        <v>0</v>
      </c>
      <c r="O42" s="2"/>
      <c r="P42" s="2"/>
    </row>
    <row r="43" spans="1:16" ht="18" customHeight="1">
      <c r="A43" s="2" t="s">
        <v>41</v>
      </c>
      <c r="B43" s="2"/>
      <c r="C43" s="2">
        <f>March!C43+B43</f>
        <v>0</v>
      </c>
      <c r="D43" s="2"/>
      <c r="E43" s="2"/>
      <c r="F43" s="2"/>
      <c r="G43" s="2">
        <f>March!G43+F43</f>
        <v>0</v>
      </c>
      <c r="H43" s="2"/>
      <c r="I43" s="2">
        <f>March!I43+H43</f>
        <v>0</v>
      </c>
      <c r="J43" s="2"/>
      <c r="K43" s="2"/>
      <c r="L43" s="2">
        <f>March!L43+K43</f>
        <v>0</v>
      </c>
      <c r="M43" s="2"/>
      <c r="N43" s="2">
        <f>March!N43+M43</f>
        <v>0</v>
      </c>
      <c r="O43" s="2"/>
      <c r="P43" s="2"/>
    </row>
    <row r="44" spans="1:16" ht="18" customHeight="1">
      <c r="A44" s="2" t="s">
        <v>42</v>
      </c>
      <c r="B44" s="2">
        <v>263</v>
      </c>
      <c r="C44" s="2">
        <f>March!C44+B44</f>
        <v>263</v>
      </c>
      <c r="D44" s="2"/>
      <c r="E44" s="2"/>
      <c r="F44" s="2"/>
      <c r="G44" s="2">
        <f>March!G44+F44</f>
        <v>0</v>
      </c>
      <c r="H44" s="2"/>
      <c r="I44" s="2">
        <f>March!I44+H44</f>
        <v>0</v>
      </c>
      <c r="J44" s="2">
        <v>3</v>
      </c>
      <c r="K44" s="2"/>
      <c r="L44" s="2">
        <f>March!L44+K44</f>
        <v>0</v>
      </c>
      <c r="M44" s="2"/>
      <c r="N44" s="2">
        <f>March!N44+M44</f>
        <v>0</v>
      </c>
      <c r="O44" s="2"/>
      <c r="P44" s="2"/>
    </row>
    <row r="45" spans="1:16" ht="18" customHeight="1">
      <c r="A45" s="2" t="s">
        <v>43</v>
      </c>
      <c r="B45" s="2">
        <v>18525</v>
      </c>
      <c r="C45" s="2">
        <f>March!C45+B45</f>
        <v>101451</v>
      </c>
      <c r="D45" s="2"/>
      <c r="E45" s="2" t="s">
        <v>65</v>
      </c>
      <c r="F45" s="2">
        <v>402</v>
      </c>
      <c r="G45" s="2">
        <f>March!G45+F45</f>
        <v>2734</v>
      </c>
      <c r="H45" s="2">
        <v>45</v>
      </c>
      <c r="I45" s="2">
        <f>March!I45+H45</f>
        <v>189</v>
      </c>
      <c r="J45" s="2">
        <v>3</v>
      </c>
      <c r="K45" s="2">
        <v>491</v>
      </c>
      <c r="L45" s="2">
        <f>March!L45+K45</f>
        <v>4404</v>
      </c>
      <c r="M45" s="2">
        <v>72</v>
      </c>
      <c r="N45" s="2">
        <f>March!N45+M45</f>
        <v>443</v>
      </c>
      <c r="O45" s="2">
        <v>3</v>
      </c>
      <c r="P45" s="2"/>
    </row>
    <row r="46" spans="1:16" ht="18" customHeight="1">
      <c r="A46" s="2" t="s">
        <v>44</v>
      </c>
      <c r="B46" s="2">
        <v>2162</v>
      </c>
      <c r="C46" s="2">
        <f>March!C46+B46</f>
        <v>4159</v>
      </c>
      <c r="D46" s="2"/>
      <c r="E46" s="2" t="s">
        <v>65</v>
      </c>
      <c r="F46" s="2"/>
      <c r="G46" s="2">
        <f>March!G46+F46</f>
        <v>8</v>
      </c>
      <c r="H46" s="2"/>
      <c r="I46" s="2">
        <f>March!I46+H46</f>
        <v>1</v>
      </c>
      <c r="J46" s="2">
        <v>2</v>
      </c>
      <c r="K46" s="2"/>
      <c r="L46" s="2">
        <f>March!L46+K46</f>
        <v>0</v>
      </c>
      <c r="M46" s="2"/>
      <c r="N46" s="2">
        <f>March!N46+M46</f>
        <v>0</v>
      </c>
      <c r="O46" s="2"/>
      <c r="P46" s="2"/>
    </row>
    <row r="47" spans="1:16" ht="18" customHeight="1">
      <c r="A47" s="2" t="s">
        <v>45</v>
      </c>
      <c r="B47" s="2">
        <f>1921+360</f>
        <v>2281</v>
      </c>
      <c r="C47" s="2">
        <f>March!C47+B47</f>
        <v>4161</v>
      </c>
      <c r="D47" s="2"/>
      <c r="E47" s="2"/>
      <c r="F47" s="2">
        <v>6</v>
      </c>
      <c r="G47" s="2">
        <f>March!G47+F47</f>
        <v>22</v>
      </c>
      <c r="H47" s="2">
        <v>169</v>
      </c>
      <c r="I47" s="2">
        <f>March!I47+H47</f>
        <v>270</v>
      </c>
      <c r="J47" s="2">
        <v>16</v>
      </c>
      <c r="K47" s="2"/>
      <c r="L47" s="2">
        <f>March!L47+K47</f>
        <v>0</v>
      </c>
      <c r="M47" s="2"/>
      <c r="N47" s="2">
        <f>March!N47+M47</f>
        <v>0</v>
      </c>
      <c r="O47" s="2"/>
      <c r="P47" s="2"/>
    </row>
    <row r="48" spans="1:16" ht="18" customHeight="1">
      <c r="A48" s="2" t="s">
        <v>46</v>
      </c>
      <c r="B48" s="2"/>
      <c r="C48" s="2">
        <f>March!C48+B48</f>
        <v>135</v>
      </c>
      <c r="D48" s="2"/>
      <c r="E48" s="2"/>
      <c r="F48" s="2"/>
      <c r="G48" s="2">
        <f>March!G48+F48</f>
        <v>2</v>
      </c>
      <c r="H48" s="2">
        <v>1</v>
      </c>
      <c r="I48" s="2">
        <f>March!I48+H48</f>
        <v>1</v>
      </c>
      <c r="J48" s="2"/>
      <c r="K48" s="2"/>
      <c r="L48" s="2">
        <f>March!L48+K48</f>
        <v>0</v>
      </c>
      <c r="M48" s="2"/>
      <c r="N48" s="2">
        <f>March!N48+M48</f>
        <v>0</v>
      </c>
      <c r="O48" s="2"/>
      <c r="P48" s="2"/>
    </row>
    <row r="49" spans="1:16" ht="18" customHeight="1">
      <c r="A49" s="2" t="s">
        <v>47</v>
      </c>
      <c r="B49" s="2"/>
      <c r="C49" s="2">
        <f>March!C49+B49</f>
        <v>0</v>
      </c>
      <c r="D49" s="2"/>
      <c r="E49" s="2"/>
      <c r="F49" s="2"/>
      <c r="G49" s="2">
        <f>March!G49+F49</f>
        <v>0</v>
      </c>
      <c r="H49" s="2"/>
      <c r="I49" s="2">
        <f>March!I49+H49</f>
        <v>4</v>
      </c>
      <c r="J49" s="2"/>
      <c r="K49" s="2"/>
      <c r="L49" s="2">
        <f>March!L49+K49</f>
        <v>0</v>
      </c>
      <c r="M49" s="2"/>
      <c r="N49" s="2">
        <f>March!N49+M49</f>
        <v>0</v>
      </c>
      <c r="O49" s="2"/>
      <c r="P49" s="2"/>
    </row>
    <row r="50" spans="1:16" ht="18" customHeight="1">
      <c r="A50" s="2" t="s">
        <v>48</v>
      </c>
      <c r="B50" s="2">
        <v>582</v>
      </c>
      <c r="C50" s="2">
        <f>March!C50+B50</f>
        <v>1759</v>
      </c>
      <c r="D50" s="2"/>
      <c r="E50" s="2"/>
      <c r="F50" s="2">
        <v>1</v>
      </c>
      <c r="G50" s="2">
        <f>March!G50+F50</f>
        <v>1</v>
      </c>
      <c r="H50" s="2"/>
      <c r="I50" s="2">
        <f>March!I50+H50</f>
        <v>0</v>
      </c>
      <c r="J50" s="2">
        <v>1</v>
      </c>
      <c r="K50" s="2"/>
      <c r="L50" s="2">
        <f>March!L50+K50</f>
        <v>0</v>
      </c>
      <c r="M50" s="2"/>
      <c r="N50" s="2">
        <f>March!N50+M50</f>
        <v>0</v>
      </c>
      <c r="O50" s="2"/>
      <c r="P50" s="2"/>
    </row>
    <row r="51" spans="1:16" ht="18" customHeight="1">
      <c r="A51" s="2" t="s">
        <v>49</v>
      </c>
      <c r="B51" s="2">
        <v>83</v>
      </c>
      <c r="C51" s="2">
        <f>March!C51+B51</f>
        <v>2018</v>
      </c>
      <c r="D51" s="2"/>
      <c r="E51" s="2"/>
      <c r="F51" s="2"/>
      <c r="G51" s="2">
        <f>March!G51+F51</f>
        <v>0</v>
      </c>
      <c r="H51" s="2">
        <v>42</v>
      </c>
      <c r="I51" s="2">
        <f>March!I51+H51</f>
        <v>46</v>
      </c>
      <c r="J51" s="2">
        <v>4</v>
      </c>
      <c r="K51" s="2"/>
      <c r="L51" s="2">
        <f>March!L51+K51</f>
        <v>0</v>
      </c>
      <c r="M51" s="2"/>
      <c r="N51" s="2">
        <f>March!N51+M51</f>
        <v>0</v>
      </c>
      <c r="O51" s="2"/>
      <c r="P51" s="2"/>
    </row>
    <row r="52" spans="1:16" ht="18" customHeight="1">
      <c r="A52" s="2" t="s">
        <v>50</v>
      </c>
      <c r="B52" s="2">
        <v>425</v>
      </c>
      <c r="C52" s="2">
        <f>March!C52+B52</f>
        <v>1921</v>
      </c>
      <c r="D52" s="2"/>
      <c r="E52" s="2"/>
      <c r="F52" s="2"/>
      <c r="G52" s="2">
        <f>March!G52+F52</f>
        <v>0</v>
      </c>
      <c r="H52" s="2"/>
      <c r="I52" s="2">
        <f>March!I52+H52</f>
        <v>0</v>
      </c>
      <c r="J52" s="2"/>
      <c r="K52" s="2"/>
      <c r="L52" s="2">
        <f>March!L52+K52</f>
        <v>0</v>
      </c>
      <c r="M52" s="2"/>
      <c r="N52" s="2">
        <f>March!N52+M52</f>
        <v>0</v>
      </c>
      <c r="O52" s="2"/>
      <c r="P52" s="2"/>
    </row>
    <row r="53" spans="1:16" ht="18" customHeight="1">
      <c r="A53" s="2" t="s">
        <v>67</v>
      </c>
      <c r="B53" s="2">
        <f>3967+123</f>
        <v>4090</v>
      </c>
      <c r="C53" s="2">
        <f>March!C53+B53</f>
        <v>11943</v>
      </c>
      <c r="D53" s="2">
        <v>2</v>
      </c>
      <c r="E53" s="2" t="s">
        <v>65</v>
      </c>
      <c r="F53" s="2">
        <v>79</v>
      </c>
      <c r="G53" s="2">
        <f>March!G53+F53</f>
        <v>299</v>
      </c>
      <c r="H53" s="2">
        <v>546</v>
      </c>
      <c r="I53" s="2">
        <f>March!I53+H53</f>
        <v>1933</v>
      </c>
      <c r="J53" s="2">
        <v>43</v>
      </c>
      <c r="K53" s="2">
        <v>6</v>
      </c>
      <c r="L53" s="2">
        <f>March!L53+K53</f>
        <v>13</v>
      </c>
      <c r="M53" s="2">
        <v>2</v>
      </c>
      <c r="N53" s="2">
        <f>March!N53+M53</f>
        <v>4</v>
      </c>
      <c r="O53" s="2"/>
      <c r="P53" s="2"/>
    </row>
    <row r="54" spans="1:16" ht="18" customHeight="1" thickBot="1">
      <c r="A54" s="3" t="s">
        <v>51</v>
      </c>
      <c r="B54" s="3">
        <v>1160</v>
      </c>
      <c r="C54" s="2">
        <f>March!C54+B54</f>
        <v>2018</v>
      </c>
      <c r="D54" s="3"/>
      <c r="E54" s="3"/>
      <c r="F54" s="3">
        <v>113</v>
      </c>
      <c r="G54" s="2">
        <f>March!G54+F54</f>
        <v>552</v>
      </c>
      <c r="H54" s="3"/>
      <c r="I54" s="2">
        <f>March!I54+H54</f>
        <v>0</v>
      </c>
      <c r="J54" s="3">
        <v>38</v>
      </c>
      <c r="K54" s="3"/>
      <c r="L54" s="2">
        <f>March!L54+K54</f>
        <v>0</v>
      </c>
      <c r="M54" s="3"/>
      <c r="N54" s="2">
        <f>March!N54+M54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83792</v>
      </c>
      <c r="C55" s="1"/>
      <c r="D55" s="1">
        <f t="shared" si="0"/>
        <v>21</v>
      </c>
      <c r="E55" s="1">
        <f t="shared" si="0"/>
        <v>0</v>
      </c>
      <c r="F55" s="1">
        <f t="shared" si="0"/>
        <v>2706</v>
      </c>
      <c r="G55" s="1"/>
      <c r="H55" s="1">
        <f t="shared" si="0"/>
        <v>2129</v>
      </c>
      <c r="I55" s="1"/>
      <c r="J55" s="1">
        <f t="shared" si="0"/>
        <v>665</v>
      </c>
      <c r="K55" s="1">
        <f t="shared" si="0"/>
        <v>1211</v>
      </c>
      <c r="L55" s="1"/>
      <c r="M55" s="1">
        <f t="shared" si="0"/>
        <v>191</v>
      </c>
      <c r="N55" s="1"/>
      <c r="O55" s="1">
        <f t="shared" si="0"/>
        <v>3</v>
      </c>
      <c r="P55" s="1">
        <f t="shared" si="0"/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March!C57+B55</f>
        <v>322931</v>
      </c>
      <c r="D57" s="1">
        <f>March!D57+D55</f>
        <v>100</v>
      </c>
      <c r="E57" s="1">
        <f>March!E57+E55</f>
        <v>0</v>
      </c>
      <c r="F57" s="1">
        <f>March!F57+F55</f>
        <v>2706</v>
      </c>
      <c r="G57" s="1">
        <f>March!G57+F55</f>
        <v>12666</v>
      </c>
      <c r="H57" s="1"/>
      <c r="I57" s="1">
        <f>March!I57+H55</f>
        <v>7756</v>
      </c>
      <c r="J57" s="1">
        <f>March!J57+J55</f>
        <v>2131</v>
      </c>
      <c r="K57" s="1"/>
      <c r="L57" s="1">
        <f>March!L57+K55</f>
        <v>9922</v>
      </c>
      <c r="M57" s="1"/>
      <c r="N57" s="1">
        <f>March!N57+M55</f>
        <v>683</v>
      </c>
      <c r="O57" s="1">
        <f>March!O57+O55</f>
        <v>20</v>
      </c>
      <c r="P57" s="1">
        <f>March!P57+P55</f>
        <v>2038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1455</v>
      </c>
      <c r="G60" s="6"/>
      <c r="H60" s="6">
        <v>7970</v>
      </c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March!G62+F60</f>
        <v>4525</v>
      </c>
      <c r="I62" s="5">
        <f>March!I62+H60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zoomScalePageLayoutView="0" workbookViewId="0" topLeftCell="A1">
      <pane ySplit="4" topLeftCell="BM65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6.125" style="5" customWidth="1"/>
    <col min="6" max="6" width="9.00390625" style="5" customWidth="1"/>
    <col min="7" max="7" width="7.875" style="5" customWidth="1"/>
    <col min="8" max="8" width="9.00390625" style="5" customWidth="1"/>
    <col min="9" max="9" width="7.625" style="5" customWidth="1"/>
    <col min="10" max="10" width="7.875" style="5" customWidth="1"/>
    <col min="11" max="11" width="9.00390625" style="5" customWidth="1"/>
    <col min="12" max="12" width="7.50390625" style="5" customWidth="1"/>
    <col min="13" max="13" width="9.00390625" style="5" customWidth="1"/>
    <col min="14" max="14" width="7.37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75</v>
      </c>
      <c r="J1" s="5" t="s">
        <v>71</v>
      </c>
    </row>
    <row r="2" spans="1:16" ht="18" customHeight="1">
      <c r="A2" s="6"/>
      <c r="B2" s="6"/>
      <c r="C2" s="6"/>
      <c r="D2" s="6"/>
      <c r="E2" s="6"/>
      <c r="F2" s="18"/>
      <c r="G2" s="18"/>
      <c r="H2" s="18"/>
      <c r="I2" s="18"/>
      <c r="J2" s="18"/>
      <c r="K2" s="18"/>
      <c r="L2" s="18"/>
      <c r="M2" s="18"/>
      <c r="N2" s="18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7" t="s">
        <v>58</v>
      </c>
      <c r="G3" s="59"/>
      <c r="H3" s="57" t="s">
        <v>59</v>
      </c>
      <c r="I3" s="59"/>
      <c r="J3" s="19" t="s">
        <v>60</v>
      </c>
      <c r="K3" s="57" t="s">
        <v>61</v>
      </c>
      <c r="L3" s="59"/>
      <c r="M3" s="57" t="s">
        <v>62</v>
      </c>
      <c r="N3" s="58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13"/>
      <c r="F4" s="19" t="s">
        <v>2</v>
      </c>
      <c r="G4" s="19" t="s">
        <v>3</v>
      </c>
      <c r="H4" s="19" t="s">
        <v>2</v>
      </c>
      <c r="I4" s="19" t="s">
        <v>3</v>
      </c>
      <c r="J4" s="19"/>
      <c r="K4" s="19" t="s">
        <v>2</v>
      </c>
      <c r="L4" s="19" t="s">
        <v>3</v>
      </c>
      <c r="M4" s="19" t="s">
        <v>2</v>
      </c>
      <c r="N4" s="19" t="s">
        <v>3</v>
      </c>
      <c r="O4" s="55"/>
      <c r="P4" s="55"/>
    </row>
    <row r="5" spans="1:16" ht="18" customHeight="1">
      <c r="A5" s="2" t="s">
        <v>4</v>
      </c>
      <c r="B5" s="2"/>
      <c r="C5" s="2">
        <f>April!C5+B5</f>
        <v>702</v>
      </c>
      <c r="D5" s="2"/>
      <c r="E5" s="14"/>
      <c r="F5" s="20"/>
      <c r="G5" s="20">
        <f>April!G5+F5</f>
        <v>2</v>
      </c>
      <c r="H5" s="20"/>
      <c r="I5" s="20">
        <f>April!I5+H5</f>
        <v>60</v>
      </c>
      <c r="J5" s="20"/>
      <c r="K5" s="20"/>
      <c r="L5" s="20">
        <f>April!L5+K5</f>
        <v>0</v>
      </c>
      <c r="M5" s="20"/>
      <c r="N5" s="20">
        <f>April!N5+M5</f>
        <v>0</v>
      </c>
      <c r="O5" s="2"/>
      <c r="P5" s="2"/>
    </row>
    <row r="6" spans="1:16" ht="18" customHeight="1">
      <c r="A6" s="2" t="s">
        <v>5</v>
      </c>
      <c r="B6" s="2"/>
      <c r="C6" s="2">
        <f>April!C6+B6</f>
        <v>0</v>
      </c>
      <c r="D6" s="2"/>
      <c r="E6" s="14"/>
      <c r="F6" s="20"/>
      <c r="G6" s="20">
        <f>April!G6+F6</f>
        <v>0</v>
      </c>
      <c r="H6" s="20"/>
      <c r="I6" s="20">
        <f>April!I6+H6</f>
        <v>0</v>
      </c>
      <c r="J6" s="20"/>
      <c r="K6" s="20"/>
      <c r="L6" s="20">
        <f>April!L6+K6</f>
        <v>0</v>
      </c>
      <c r="M6" s="20"/>
      <c r="N6" s="20">
        <f>April!N6+M6</f>
        <v>0</v>
      </c>
      <c r="O6" s="2"/>
      <c r="P6" s="2"/>
    </row>
    <row r="7" spans="1:16" ht="18" customHeight="1">
      <c r="A7" s="2" t="s">
        <v>6</v>
      </c>
      <c r="B7" s="2"/>
      <c r="C7" s="2">
        <f>April!C7+B7</f>
        <v>0</v>
      </c>
      <c r="D7" s="2"/>
      <c r="E7" s="14"/>
      <c r="F7" s="20">
        <f>10</f>
        <v>10</v>
      </c>
      <c r="G7" s="20">
        <f>April!G7+F7</f>
        <v>11</v>
      </c>
      <c r="H7" s="20">
        <f>523</f>
        <v>523</v>
      </c>
      <c r="I7" s="20">
        <f>April!I7+H7</f>
        <v>713</v>
      </c>
      <c r="J7" s="20">
        <f>1+6+11+1+2+15+6+3+9+5+2+2+2+7+10+1+9+1+15+1+2</f>
        <v>111</v>
      </c>
      <c r="K7" s="20">
        <f>1</f>
        <v>1</v>
      </c>
      <c r="L7" s="20">
        <f>April!L7+K7</f>
        <v>1</v>
      </c>
      <c r="M7" s="20"/>
      <c r="N7" s="20">
        <f>April!N7+M7</f>
        <v>2</v>
      </c>
      <c r="O7" s="2"/>
      <c r="P7" s="2"/>
    </row>
    <row r="8" spans="1:16" ht="18" customHeight="1">
      <c r="A8" s="2" t="s">
        <v>7</v>
      </c>
      <c r="B8" s="2">
        <f>140+65+61+60+55+32+180+54+72++56+116</f>
        <v>891</v>
      </c>
      <c r="C8" s="2">
        <f>April!C8+B8</f>
        <v>1874</v>
      </c>
      <c r="D8" s="2"/>
      <c r="E8" s="14"/>
      <c r="F8" s="20">
        <f>6+1</f>
        <v>7</v>
      </c>
      <c r="G8" s="20">
        <f>April!G8+F8</f>
        <v>12</v>
      </c>
      <c r="H8" s="20"/>
      <c r="I8" s="20">
        <f>April!I8+H8</f>
        <v>39</v>
      </c>
      <c r="J8" s="20">
        <f>5+4+3+1</f>
        <v>13</v>
      </c>
      <c r="K8" s="20"/>
      <c r="L8" s="20">
        <f>April!L8+K8</f>
        <v>0</v>
      </c>
      <c r="M8" s="20"/>
      <c r="N8" s="20">
        <f>April!N8+M8</f>
        <v>0</v>
      </c>
      <c r="O8" s="2"/>
      <c r="P8" s="2"/>
    </row>
    <row r="9" spans="1:16" ht="18" customHeight="1">
      <c r="A9" s="2" t="s">
        <v>8</v>
      </c>
      <c r="B9" s="2">
        <f>4+138</f>
        <v>142</v>
      </c>
      <c r="C9" s="2">
        <f>April!C9+B9</f>
        <v>3344</v>
      </c>
      <c r="D9" s="2"/>
      <c r="E9" s="14"/>
      <c r="F9" s="20"/>
      <c r="G9" s="20">
        <f>April!G9+F9</f>
        <v>92</v>
      </c>
      <c r="H9" s="20"/>
      <c r="I9" s="20">
        <f>April!I9+H9</f>
        <v>3</v>
      </c>
      <c r="J9" s="20"/>
      <c r="K9" s="20">
        <f>1</f>
        <v>1</v>
      </c>
      <c r="L9" s="20">
        <f>April!L9+K9</f>
        <v>1</v>
      </c>
      <c r="M9" s="20"/>
      <c r="N9" s="20">
        <f>April!N9+M9</f>
        <v>0</v>
      </c>
      <c r="O9" s="2"/>
      <c r="P9" s="2"/>
    </row>
    <row r="10" spans="1:16" ht="18" customHeight="1">
      <c r="A10" s="2" t="s">
        <v>10</v>
      </c>
      <c r="B10" s="2">
        <f>70+70+22+72+72+69+72+71+71+37+71+74++64</f>
        <v>835</v>
      </c>
      <c r="C10" s="2">
        <f>April!C10+B10</f>
        <v>2234</v>
      </c>
      <c r="D10" s="2"/>
      <c r="E10" s="14" t="s">
        <v>65</v>
      </c>
      <c r="F10" s="20">
        <f>1+2+2+11+1+28+3++2</f>
        <v>50</v>
      </c>
      <c r="G10" s="20">
        <f>April!G10+F10</f>
        <v>165</v>
      </c>
      <c r="H10" s="20">
        <f>36+2+54</f>
        <v>92</v>
      </c>
      <c r="I10" s="20">
        <f>April!I10+H10</f>
        <v>93</v>
      </c>
      <c r="J10" s="20">
        <f>1+1</f>
        <v>2</v>
      </c>
      <c r="K10" s="20"/>
      <c r="L10" s="20">
        <f>April!L10+K10</f>
        <v>0</v>
      </c>
      <c r="M10" s="20"/>
      <c r="N10" s="20">
        <f>April!N10+M10</f>
        <v>0</v>
      </c>
      <c r="O10" s="2">
        <f>71</f>
        <v>71</v>
      </c>
      <c r="P10" s="2"/>
    </row>
    <row r="11" spans="1:16" ht="18" customHeight="1">
      <c r="A11" s="2" t="s">
        <v>9</v>
      </c>
      <c r="B11" s="2"/>
      <c r="C11" s="2">
        <f>April!C11+B11</f>
        <v>1030</v>
      </c>
      <c r="D11" s="2"/>
      <c r="E11" s="14"/>
      <c r="F11" s="20">
        <f>5+1</f>
        <v>6</v>
      </c>
      <c r="G11" s="20">
        <f>April!G11+F11</f>
        <v>207</v>
      </c>
      <c r="H11" s="20">
        <f>13+192</f>
        <v>205</v>
      </c>
      <c r="I11" s="20">
        <f>April!I11+H11</f>
        <v>651</v>
      </c>
      <c r="J11" s="20">
        <f>2+1+3+1</f>
        <v>7</v>
      </c>
      <c r="K11" s="20"/>
      <c r="L11" s="20">
        <f>April!L11+K11</f>
        <v>4</v>
      </c>
      <c r="M11" s="20">
        <f>3</f>
        <v>3</v>
      </c>
      <c r="N11" s="20">
        <f>April!N11+M11</f>
        <v>3</v>
      </c>
      <c r="O11" s="2"/>
      <c r="P11" s="2"/>
    </row>
    <row r="12" spans="1:16" ht="18" customHeight="1">
      <c r="A12" s="2" t="s">
        <v>11</v>
      </c>
      <c r="B12" s="2"/>
      <c r="C12" s="2">
        <f>April!C12+B12</f>
        <v>0</v>
      </c>
      <c r="D12" s="2"/>
      <c r="E12" s="14" t="s">
        <v>65</v>
      </c>
      <c r="F12" s="20"/>
      <c r="G12" s="20">
        <f>April!G12+F12</f>
        <v>0</v>
      </c>
      <c r="H12" s="20"/>
      <c r="I12" s="20">
        <f>April!I12+H12</f>
        <v>0</v>
      </c>
      <c r="J12" s="20"/>
      <c r="K12" s="20"/>
      <c r="L12" s="20">
        <f>April!L12+K12</f>
        <v>0</v>
      </c>
      <c r="M12" s="20"/>
      <c r="N12" s="20">
        <f>April!N12+M12</f>
        <v>0</v>
      </c>
      <c r="O12" s="2"/>
      <c r="P12" s="2"/>
    </row>
    <row r="13" spans="1:16" ht="18" customHeight="1">
      <c r="A13" s="2" t="s">
        <v>12</v>
      </c>
      <c r="B13" s="2"/>
      <c r="C13" s="2">
        <f>April!C13+B13</f>
        <v>0</v>
      </c>
      <c r="D13" s="2"/>
      <c r="E13" s="14"/>
      <c r="F13" s="20"/>
      <c r="G13" s="20">
        <f>April!G13+F13</f>
        <v>0</v>
      </c>
      <c r="H13" s="20"/>
      <c r="I13" s="20">
        <f>April!I13+H13</f>
        <v>0</v>
      </c>
      <c r="J13" s="20"/>
      <c r="K13" s="20"/>
      <c r="L13" s="20">
        <f>April!L13+K13</f>
        <v>0</v>
      </c>
      <c r="M13" s="20"/>
      <c r="N13" s="20">
        <f>April!N13+M13</f>
        <v>0</v>
      </c>
      <c r="O13" s="2"/>
      <c r="P13" s="2"/>
    </row>
    <row r="14" spans="1:16" ht="18" customHeight="1">
      <c r="A14" s="2" t="s">
        <v>13</v>
      </c>
      <c r="B14" s="2"/>
      <c r="C14" s="2">
        <f>April!C14+B14</f>
        <v>0</v>
      </c>
      <c r="D14" s="2"/>
      <c r="E14" s="14" t="s">
        <v>65</v>
      </c>
      <c r="F14" s="20"/>
      <c r="G14" s="20">
        <f>April!G14+F14</f>
        <v>43</v>
      </c>
      <c r="H14" s="20"/>
      <c r="I14" s="20">
        <f>April!I14+H14</f>
        <v>10</v>
      </c>
      <c r="J14" s="20">
        <f>1+2++7</f>
        <v>10</v>
      </c>
      <c r="K14" s="20"/>
      <c r="L14" s="20">
        <f>April!L14+K14</f>
        <v>0</v>
      </c>
      <c r="M14" s="20"/>
      <c r="N14" s="20">
        <f>April!N14+M14</f>
        <v>0</v>
      </c>
      <c r="O14" s="2"/>
      <c r="P14" s="2"/>
    </row>
    <row r="15" spans="1:16" ht="18" customHeight="1">
      <c r="A15" s="2" t="s">
        <v>14</v>
      </c>
      <c r="B15" s="2">
        <f>72+65+61+65+87+88+60+55+70+55+90</f>
        <v>768</v>
      </c>
      <c r="C15" s="2">
        <f>April!C15+B15</f>
        <v>1821</v>
      </c>
      <c r="D15" s="2"/>
      <c r="E15" s="14"/>
      <c r="F15" s="20">
        <f>35</f>
        <v>35</v>
      </c>
      <c r="G15" s="20">
        <f>April!G15+F15</f>
        <v>35</v>
      </c>
      <c r="H15" s="20"/>
      <c r="I15" s="20">
        <f>April!I15+H15</f>
        <v>1</v>
      </c>
      <c r="J15" s="20"/>
      <c r="K15" s="20"/>
      <c r="L15" s="20">
        <f>April!L15+K15</f>
        <v>0</v>
      </c>
      <c r="M15" s="20"/>
      <c r="N15" s="20">
        <f>April!N15+M15</f>
        <v>0</v>
      </c>
      <c r="O15" s="2"/>
      <c r="P15" s="2"/>
    </row>
    <row r="16" spans="1:16" ht="18" customHeight="1">
      <c r="A16" s="2" t="s">
        <v>15</v>
      </c>
      <c r="B16" s="2"/>
      <c r="C16" s="2">
        <f>April!C16+B16</f>
        <v>0</v>
      </c>
      <c r="D16" s="2"/>
      <c r="E16" s="14"/>
      <c r="F16" s="20"/>
      <c r="G16" s="20">
        <f>April!G16+F16</f>
        <v>0</v>
      </c>
      <c r="H16" s="20"/>
      <c r="I16" s="20">
        <f>April!I16+H16</f>
        <v>0</v>
      </c>
      <c r="J16" s="20"/>
      <c r="K16" s="20"/>
      <c r="L16" s="20">
        <f>April!L16+K16</f>
        <v>0</v>
      </c>
      <c r="M16" s="20"/>
      <c r="N16" s="20">
        <f>April!N16+M16</f>
        <v>0</v>
      </c>
      <c r="O16" s="2"/>
      <c r="P16" s="2"/>
    </row>
    <row r="17" spans="1:16" ht="18" customHeight="1">
      <c r="A17" s="2" t="s">
        <v>16</v>
      </c>
      <c r="B17" s="2">
        <f>150+140+80+180+160+160+160+++115+115+160+160+62+170</f>
        <v>1812</v>
      </c>
      <c r="C17" s="2">
        <f>April!C17+B17</f>
        <v>7840</v>
      </c>
      <c r="D17" s="2"/>
      <c r="E17" s="14"/>
      <c r="F17" s="20">
        <f>2</f>
        <v>2</v>
      </c>
      <c r="G17" s="20">
        <f>April!G17+F17</f>
        <v>131</v>
      </c>
      <c r="H17" s="20"/>
      <c r="I17" s="20">
        <f>April!I17+H17</f>
        <v>60</v>
      </c>
      <c r="J17" s="20"/>
      <c r="K17" s="20"/>
      <c r="L17" s="20">
        <f>April!L17+K17</f>
        <v>0</v>
      </c>
      <c r="M17" s="20"/>
      <c r="N17" s="20">
        <f>April!N17+M17</f>
        <v>0</v>
      </c>
      <c r="O17" s="2"/>
      <c r="P17" s="2"/>
    </row>
    <row r="18" spans="1:16" ht="18" customHeight="1">
      <c r="A18" s="2" t="s">
        <v>17</v>
      </c>
      <c r="B18" s="2">
        <f>7+1+4+50+30+95+35+12+9+++233+110+72</f>
        <v>658</v>
      </c>
      <c r="C18" s="2">
        <f>April!C18+B18</f>
        <v>2826</v>
      </c>
      <c r="D18" s="2"/>
      <c r="E18" s="14"/>
      <c r="F18" s="20">
        <f>14+12+7+7+2+5+8+12+2++2+1+2</f>
        <v>74</v>
      </c>
      <c r="G18" s="20">
        <f>April!G18+F18</f>
        <v>202</v>
      </c>
      <c r="H18" s="20">
        <f>103+1+5+2+9</f>
        <v>120</v>
      </c>
      <c r="I18" s="20">
        <f>April!I18+H18</f>
        <v>182</v>
      </c>
      <c r="J18" s="20">
        <f>6+4+3+9+1+1+2+3+4+1</f>
        <v>34</v>
      </c>
      <c r="K18" s="20">
        <f>6</f>
        <v>6</v>
      </c>
      <c r="L18" s="20">
        <f>April!L18+K18</f>
        <v>22</v>
      </c>
      <c r="M18" s="20">
        <f>1</f>
        <v>1</v>
      </c>
      <c r="N18" s="20">
        <f>April!N18+M18</f>
        <v>1</v>
      </c>
      <c r="O18" s="2"/>
      <c r="P18" s="2"/>
    </row>
    <row r="19" spans="1:16" ht="18" customHeight="1">
      <c r="A19" s="2" t="s">
        <v>18</v>
      </c>
      <c r="B19" s="2">
        <f>150+100+1</f>
        <v>251</v>
      </c>
      <c r="C19" s="2">
        <f>April!C19+B19</f>
        <v>2657</v>
      </c>
      <c r="D19" s="2"/>
      <c r="E19" s="14"/>
      <c r="F19" s="20">
        <f>1+1</f>
        <v>2</v>
      </c>
      <c r="G19" s="20">
        <f>April!G19+F19</f>
        <v>4</v>
      </c>
      <c r="H19" s="20">
        <f>177+122+1+17+140+90</f>
        <v>547</v>
      </c>
      <c r="I19" s="20">
        <f>April!I19+H19</f>
        <v>1289</v>
      </c>
      <c r="J19" s="20">
        <f>2++2</f>
        <v>4</v>
      </c>
      <c r="K19" s="20"/>
      <c r="L19" s="20">
        <f>April!L19+K19</f>
        <v>2</v>
      </c>
      <c r="M19" s="20"/>
      <c r="N19" s="20">
        <f>April!N19+M19</f>
        <v>0</v>
      </c>
      <c r="O19" s="2"/>
      <c r="P19" s="2"/>
    </row>
    <row r="20" spans="1:16" ht="18" customHeight="1">
      <c r="A20" s="2" t="s">
        <v>19</v>
      </c>
      <c r="B20" s="2">
        <f>75+21+69+28+66+73+52+111+107+53+61+114+132+22+65+72+57+162+39+72+106+181+63+64+184+1++35+200+15+169+120+56</f>
        <v>2645</v>
      </c>
      <c r="C20" s="2">
        <f>April!C20+B20</f>
        <v>12003</v>
      </c>
      <c r="D20" s="2"/>
      <c r="E20" s="14"/>
      <c r="F20" s="20">
        <f>36+1+1+1+4+5+1++1</f>
        <v>50</v>
      </c>
      <c r="G20" s="20">
        <f>April!G20+F20</f>
        <v>261</v>
      </c>
      <c r="H20" s="20">
        <f>326</f>
        <v>326</v>
      </c>
      <c r="I20" s="20">
        <f>April!I20+H20</f>
        <v>359</v>
      </c>
      <c r="J20" s="20">
        <f>3+1++1+1+1</f>
        <v>7</v>
      </c>
      <c r="K20" s="20">
        <f>1+4</f>
        <v>5</v>
      </c>
      <c r="L20" s="20">
        <f>April!L20+K20</f>
        <v>5</v>
      </c>
      <c r="M20" s="20"/>
      <c r="N20" s="20">
        <f>April!N20+M20</f>
        <v>0</v>
      </c>
      <c r="O20" s="2"/>
      <c r="P20" s="2"/>
    </row>
    <row r="21" spans="1:16" ht="18" customHeight="1">
      <c r="A21" s="2" t="s">
        <v>20</v>
      </c>
      <c r="B21" s="2">
        <f>58+151+61+22+44+12+100+100+240+188+121+68+62+163+118+123+115+197+62+86+120+193+129+64+187+64+248+49+72+113+66+60+69+104+63+120+132+117+62+62+58+104+121+61+124+216+56+66+177+130+160+85+120+300+75+140+100+93+84+62+65+104+110+180+63+62+54+94+84+130+140+65+134+56+118+58+60+87+115+57+72+58+140+122+63+100+111+167+64+57+59+70+58+60+390+++88+129+77+58+77+65+65+64+75+214+70+59+63+174+57+134+71+100+88</f>
        <v>11672</v>
      </c>
      <c r="C21" s="2">
        <f>April!C21+B21</f>
        <v>36417</v>
      </c>
      <c r="D21" s="2"/>
      <c r="E21" s="14"/>
      <c r="F21" s="20">
        <f>1+1+1</f>
        <v>3</v>
      </c>
      <c r="G21" s="20">
        <f>April!G21+F21</f>
        <v>12</v>
      </c>
      <c r="H21" s="20">
        <f>4+1+1++6</f>
        <v>12</v>
      </c>
      <c r="I21" s="20">
        <f>April!I21+H21</f>
        <v>98</v>
      </c>
      <c r="J21" s="20">
        <f>8+1+4+1+1+1++2</f>
        <v>18</v>
      </c>
      <c r="K21" s="20"/>
      <c r="L21" s="20">
        <f>April!L21+K21</f>
        <v>0</v>
      </c>
      <c r="M21" s="20"/>
      <c r="N21" s="20">
        <f>April!N21+M21</f>
        <v>0</v>
      </c>
      <c r="O21" s="2"/>
      <c r="P21" s="2"/>
    </row>
    <row r="22" spans="1:16" ht="18" customHeight="1">
      <c r="A22" s="2" t="s">
        <v>21</v>
      </c>
      <c r="B22" s="2"/>
      <c r="C22" s="2">
        <f>April!C22+B22</f>
        <v>0</v>
      </c>
      <c r="D22" s="2"/>
      <c r="E22" s="14"/>
      <c r="F22" s="20"/>
      <c r="G22" s="20">
        <f>April!G22+F22</f>
        <v>1</v>
      </c>
      <c r="H22" s="20"/>
      <c r="I22" s="20">
        <f>April!I22+H22</f>
        <v>0</v>
      </c>
      <c r="J22" s="20">
        <f>2+2+15</f>
        <v>19</v>
      </c>
      <c r="K22" s="20"/>
      <c r="L22" s="20">
        <f>April!L22+K22</f>
        <v>0</v>
      </c>
      <c r="M22" s="20"/>
      <c r="N22" s="20">
        <f>April!N22+M22</f>
        <v>0</v>
      </c>
      <c r="O22" s="2"/>
      <c r="P22" s="2"/>
    </row>
    <row r="23" spans="1:16" ht="18" customHeight="1">
      <c r="A23" s="2" t="s">
        <v>22</v>
      </c>
      <c r="B23" s="2"/>
      <c r="C23" s="2">
        <f>April!C23+B23</f>
        <v>0</v>
      </c>
      <c r="D23" s="2"/>
      <c r="E23" s="14"/>
      <c r="F23" s="20"/>
      <c r="G23" s="20">
        <f>April!G23+F23</f>
        <v>0</v>
      </c>
      <c r="H23" s="20"/>
      <c r="I23" s="20">
        <f>April!I23+H23</f>
        <v>0</v>
      </c>
      <c r="J23" s="20"/>
      <c r="K23" s="20"/>
      <c r="L23" s="20">
        <f>April!L23+K23</f>
        <v>0</v>
      </c>
      <c r="M23" s="20"/>
      <c r="N23" s="20">
        <f>April!N23+M23</f>
        <v>0</v>
      </c>
      <c r="O23" s="2"/>
      <c r="P23" s="2"/>
    </row>
    <row r="24" spans="1:16" ht="18" customHeight="1">
      <c r="A24" s="2" t="s">
        <v>23</v>
      </c>
      <c r="B24" s="2"/>
      <c r="C24" s="2">
        <f>April!C24+B24</f>
        <v>0</v>
      </c>
      <c r="D24" s="2"/>
      <c r="E24" s="14"/>
      <c r="F24" s="20"/>
      <c r="G24" s="20">
        <f>April!G24+F24</f>
        <v>0</v>
      </c>
      <c r="H24" s="20">
        <f>1+1+1+1</f>
        <v>4</v>
      </c>
      <c r="I24" s="20">
        <f>April!I24+H24</f>
        <v>7</v>
      </c>
      <c r="J24" s="20"/>
      <c r="K24" s="20"/>
      <c r="L24" s="20">
        <f>April!L24+K24</f>
        <v>0</v>
      </c>
      <c r="M24" s="20"/>
      <c r="N24" s="20">
        <f>April!N24+M24</f>
        <v>0</v>
      </c>
      <c r="O24" s="2"/>
      <c r="P24" s="2"/>
    </row>
    <row r="25" spans="1:16" ht="18" customHeight="1">
      <c r="A25" s="2" t="s">
        <v>68</v>
      </c>
      <c r="B25" s="2"/>
      <c r="C25" s="2">
        <f>April!C25+B25</f>
        <v>0</v>
      </c>
      <c r="D25" s="2"/>
      <c r="E25" s="14"/>
      <c r="F25" s="20"/>
      <c r="G25" s="20">
        <f>April!G25+F25</f>
        <v>17</v>
      </c>
      <c r="H25" s="20"/>
      <c r="I25" s="20">
        <f>April!I25+H25</f>
        <v>2</v>
      </c>
      <c r="J25" s="20"/>
      <c r="K25" s="20"/>
      <c r="L25" s="20">
        <f>April!L25+K25</f>
        <v>0</v>
      </c>
      <c r="M25" s="20"/>
      <c r="N25" s="20">
        <f>April!N25+M25</f>
        <v>0</v>
      </c>
      <c r="O25" s="2"/>
      <c r="P25" s="2"/>
    </row>
    <row r="26" spans="1:16" ht="18" customHeight="1">
      <c r="A26" s="2" t="s">
        <v>24</v>
      </c>
      <c r="B26" s="2"/>
      <c r="C26" s="2">
        <f>April!C26+B26</f>
        <v>0</v>
      </c>
      <c r="D26" s="2"/>
      <c r="E26" s="14"/>
      <c r="F26" s="20"/>
      <c r="G26" s="20">
        <f>April!G26+F26</f>
        <v>10</v>
      </c>
      <c r="H26" s="20">
        <f>3</f>
        <v>3</v>
      </c>
      <c r="I26" s="20">
        <f>April!I26+H26</f>
        <v>8</v>
      </c>
      <c r="J26" s="20">
        <f>2++1+1</f>
        <v>4</v>
      </c>
      <c r="K26" s="20">
        <f>1++1</f>
        <v>2</v>
      </c>
      <c r="L26" s="20">
        <f>April!L26+K26</f>
        <v>2</v>
      </c>
      <c r="M26" s="20"/>
      <c r="N26" s="20">
        <f>April!N26+M26</f>
        <v>0</v>
      </c>
      <c r="O26" s="2"/>
      <c r="P26" s="2"/>
    </row>
    <row r="27" spans="1:16" ht="18" customHeight="1">
      <c r="A27" s="2" t="s">
        <v>25</v>
      </c>
      <c r="B27" s="2">
        <f>39+80+1+11+2+4+210+77+70+239+50+20+5+20+30+2+8+20+30+3+6+16+6+21+38+23+48+12+12+1+7+72+31+14+4+4+18+21+12+5+2+3+6+31+14+5+4+20+37+7+88+110+76+79+58+15+30+18+17+41+11+10+8+15+6+9+12+2+5+4+16+21+15+29+13+44+19+27+2+8+3+12+3+50+7+10+15+50+97++14+55+28+72+167+24+24+17+10+83</f>
        <v>2970</v>
      </c>
      <c r="C27" s="2">
        <f>April!C27+B27</f>
        <v>17852</v>
      </c>
      <c r="D27" s="2"/>
      <c r="E27" s="14" t="s">
        <v>65</v>
      </c>
      <c r="F27" s="20">
        <f>2+1+5+1+1+3+8++1+2+15+17</f>
        <v>56</v>
      </c>
      <c r="G27" s="20">
        <f>April!G27+F27</f>
        <v>489</v>
      </c>
      <c r="H27" s="20">
        <f>101+1+4+2+3+1+1+1+4+132+2+1+18+4+12+2+12+1+1+1+3+44+25+30+6+4+8+8+12+10++88+17</f>
        <v>559</v>
      </c>
      <c r="I27" s="20">
        <f>April!I27+H27</f>
        <v>2686</v>
      </c>
      <c r="J27" s="20">
        <f>7+6+17+11+12+1+10+5+6+10+1+1+3+4+1+5+7+3+3+1+6+1+2+2+5+1+3+7+6+4+3+3+13</f>
        <v>170</v>
      </c>
      <c r="K27" s="20">
        <f>5+5+12+3+9+2++4</f>
        <v>40</v>
      </c>
      <c r="L27" s="20">
        <f>April!L27+K27</f>
        <v>488</v>
      </c>
      <c r="M27" s="20">
        <f>16</f>
        <v>16</v>
      </c>
      <c r="N27" s="20">
        <f>April!N27+M27</f>
        <v>26</v>
      </c>
      <c r="O27" s="2"/>
      <c r="P27" s="2">
        <f>15</f>
        <v>15</v>
      </c>
    </row>
    <row r="28" spans="1:16" ht="18" customHeight="1">
      <c r="A28" s="2" t="s">
        <v>26</v>
      </c>
      <c r="B28" s="2">
        <f>69+31+130</f>
        <v>230</v>
      </c>
      <c r="C28" s="2">
        <f>April!C28+B28</f>
        <v>712</v>
      </c>
      <c r="D28" s="2"/>
      <c r="E28" s="14"/>
      <c r="F28" s="20"/>
      <c r="G28" s="20">
        <f>April!G28+F28</f>
        <v>0</v>
      </c>
      <c r="H28" s="20"/>
      <c r="I28" s="20">
        <f>April!I28+H28</f>
        <v>0</v>
      </c>
      <c r="J28" s="20">
        <f>3</f>
        <v>3</v>
      </c>
      <c r="K28" s="20"/>
      <c r="L28" s="20">
        <f>April!L28+K28</f>
        <v>0</v>
      </c>
      <c r="M28" s="20"/>
      <c r="N28" s="20">
        <f>April!N28+M28</f>
        <v>0</v>
      </c>
      <c r="O28" s="2"/>
      <c r="P28" s="2"/>
    </row>
    <row r="29" spans="1:16" ht="18" customHeight="1">
      <c r="A29" s="2" t="s">
        <v>27</v>
      </c>
      <c r="B29" s="2">
        <f>87+72+40+75+65+70+87+87+35+88+47+120+60+77+114+103+62+75+125+71+39+45+51+61+48+56+91+65+3+110+109+73+71+80+89+117+120+65+70+120+9+7+80+100+35+1+76+3+49+197+25+20+34+34++++70+116+58+107+122+102+37+90+36+62+89+28+75+48+100+129+43+26+205+137+59+61+65+16+136+199+60+97+55+110+63+59+103+46+27+35+70+14+12+103+70+41+83+58+80+265+64+65+70+115+115+100+62+60+66+90+72+97+38+14+78+66+61+70+24+70+39+72+107+67+75+98+95+119+98+110+112+50+23+114+61+48+37+36+67+231+40+39+76+84+36+60+120+90+80+80+120+100+50+40+85+68+46+3+5+60+69+26+33+85+127+85+63+64+37+67+92++86+94+181+209+100+41+94+20+57+37+26+43+116+64+63+26+25+157+60+37+62+73+111+8+14+59+87+120+120+57+65+70+32+79+66+79+87+42+65+49+37+64+68+60+84+138+79+95+69+44+15+12+60+86+20+90+130+107+180+131+60</f>
        <v>16976</v>
      </c>
      <c r="C29" s="2">
        <f>April!C29+B29</f>
        <v>61790</v>
      </c>
      <c r="D29" s="2"/>
      <c r="E29" s="14"/>
      <c r="F29" s="20">
        <f>1+2+1+1+10+10+7+4++6+1+1+3</f>
        <v>47</v>
      </c>
      <c r="G29" s="20">
        <f>April!G29+F29</f>
        <v>705</v>
      </c>
      <c r="H29" s="20">
        <f>1+1+13+2+1+1</f>
        <v>19</v>
      </c>
      <c r="I29" s="20">
        <f>April!I29+H29</f>
        <v>207</v>
      </c>
      <c r="J29" s="20">
        <f>2+1+1+2+1+1+1+2+4+1+6+2+1+3+6</f>
        <v>34</v>
      </c>
      <c r="K29" s="20"/>
      <c r="L29" s="20">
        <f>April!L29+K29</f>
        <v>52</v>
      </c>
      <c r="M29" s="20"/>
      <c r="N29" s="20">
        <f>April!N29+M29</f>
        <v>88</v>
      </c>
      <c r="O29" s="2"/>
      <c r="P29" s="2"/>
    </row>
    <row r="30" spans="1:16" ht="18" customHeight="1">
      <c r="A30" s="2" t="s">
        <v>28</v>
      </c>
      <c r="B30" s="2">
        <f>5+63+130+71+225+73+77+71+60+81+210+19+27+18+36+94+60+20+20+81+2+5+202+63+102+17+9+76+345+459+86+3++3+23+3+17+22+5+11+18+10</f>
        <v>2922</v>
      </c>
      <c r="C30" s="2">
        <f>April!C30+B30</f>
        <v>29540</v>
      </c>
      <c r="D30" s="2"/>
      <c r="E30" s="14"/>
      <c r="F30" s="20">
        <f>1+2+1+5+2+1+2+1+1+148+150+151++38</f>
        <v>503</v>
      </c>
      <c r="G30" s="20">
        <f>April!G30+F30</f>
        <v>3776</v>
      </c>
      <c r="H30" s="20"/>
      <c r="I30" s="20">
        <f>April!I30+H30</f>
        <v>0</v>
      </c>
      <c r="J30" s="20"/>
      <c r="K30" s="20">
        <v>5</v>
      </c>
      <c r="L30" s="20">
        <f>April!L30+K30</f>
        <v>2471</v>
      </c>
      <c r="M30" s="20"/>
      <c r="N30" s="20">
        <f>April!N30+M30</f>
        <v>0</v>
      </c>
      <c r="O30" s="2"/>
      <c r="P30" s="2"/>
    </row>
    <row r="31" spans="1:16" ht="18" customHeight="1">
      <c r="A31" s="2" t="s">
        <v>29</v>
      </c>
      <c r="B31" s="2">
        <f>127+73+310+39+70+18+122+35+18+14+155+2+85+158+76+90+1+34+36+80+48+78+35+221++70+57+106+67+21+70+10+75+331+80+74+62+115+121+90+29+66+57+57+93+28+57+92+52+101+18+159+225</f>
        <v>4308</v>
      </c>
      <c r="C31" s="2">
        <f>April!C31+B31</f>
        <v>22938</v>
      </c>
      <c r="D31" s="2"/>
      <c r="E31" s="14" t="s">
        <v>65</v>
      </c>
      <c r="F31" s="20">
        <f>4+2+1+3+3+2+2+25+3+46+6+9+64+4+50+18+2+6+1+2+1+100+30+2+106+4+61+18+56+41+2+30+1+4+11+22+24+2+84+1+12+3+28+1+1+47+15++27</f>
        <v>987</v>
      </c>
      <c r="G31" s="20">
        <f>April!G31+F31</f>
        <v>3731</v>
      </c>
      <c r="H31" s="20">
        <f>52+43+1</f>
        <v>96</v>
      </c>
      <c r="I31" s="20">
        <f>April!I31+H31</f>
        <v>267</v>
      </c>
      <c r="J31" s="20">
        <f>7+6+4+4+1+12+10+7+1+1</f>
        <v>53</v>
      </c>
      <c r="K31" s="20">
        <f>14+5+15+33++2+8+5+4+8+6+3+3</f>
        <v>106</v>
      </c>
      <c r="L31" s="20">
        <f>April!L31+K31</f>
        <v>421</v>
      </c>
      <c r="M31" s="20">
        <f>2+2+4++7+4+1+1+2+1</f>
        <v>24</v>
      </c>
      <c r="N31" s="20">
        <f>April!N31+M31</f>
        <v>95</v>
      </c>
      <c r="O31" s="2"/>
      <c r="P31" s="2"/>
    </row>
    <row r="32" spans="1:16" ht="18" customHeight="1">
      <c r="A32" s="2" t="s">
        <v>30</v>
      </c>
      <c r="B32" s="2"/>
      <c r="C32" s="2">
        <f>April!C32+B32</f>
        <v>0</v>
      </c>
      <c r="D32" s="2"/>
      <c r="E32" s="14"/>
      <c r="F32" s="20"/>
      <c r="G32" s="20">
        <f>April!G32+F32</f>
        <v>56</v>
      </c>
      <c r="H32" s="20"/>
      <c r="I32" s="20">
        <f>April!I32+H32</f>
        <v>60</v>
      </c>
      <c r="J32" s="20"/>
      <c r="K32" s="20"/>
      <c r="L32" s="20">
        <f>April!L32+K32</f>
        <v>0</v>
      </c>
      <c r="M32" s="20"/>
      <c r="N32" s="20">
        <f>April!N32+M32</f>
        <v>0</v>
      </c>
      <c r="O32" s="2"/>
      <c r="P32" s="2"/>
    </row>
    <row r="33" spans="1:16" ht="18" customHeight="1">
      <c r="A33" s="2" t="s">
        <v>31</v>
      </c>
      <c r="B33" s="2"/>
      <c r="C33" s="2">
        <f>April!C33+B33</f>
        <v>0</v>
      </c>
      <c r="D33" s="2"/>
      <c r="E33" s="14"/>
      <c r="F33" s="20"/>
      <c r="G33" s="20">
        <f>April!G33+F33</f>
        <v>0</v>
      </c>
      <c r="H33" s="20"/>
      <c r="I33" s="20">
        <f>April!I33+H33</f>
        <v>0</v>
      </c>
      <c r="J33" s="20"/>
      <c r="K33" s="20"/>
      <c r="L33" s="20">
        <f>April!L33+K33</f>
        <v>0</v>
      </c>
      <c r="M33" s="20"/>
      <c r="N33" s="20">
        <f>April!N33+M33</f>
        <v>0</v>
      </c>
      <c r="O33" s="2"/>
      <c r="P33" s="2"/>
    </row>
    <row r="34" spans="1:16" ht="18" customHeight="1">
      <c r="A34" s="2" t="s">
        <v>32</v>
      </c>
      <c r="B34" s="2"/>
      <c r="C34" s="2">
        <f>April!C34+B34</f>
        <v>0</v>
      </c>
      <c r="D34" s="2"/>
      <c r="E34" s="14"/>
      <c r="F34" s="20"/>
      <c r="G34" s="20">
        <f>April!G34+F34</f>
        <v>0</v>
      </c>
      <c r="H34" s="20"/>
      <c r="I34" s="20">
        <f>April!I34+H34</f>
        <v>0</v>
      </c>
      <c r="J34" s="20"/>
      <c r="K34" s="20"/>
      <c r="L34" s="20">
        <f>April!L34+K34</f>
        <v>0</v>
      </c>
      <c r="M34" s="20"/>
      <c r="N34" s="20">
        <f>April!N34+M34</f>
        <v>0</v>
      </c>
      <c r="O34" s="2"/>
      <c r="P34" s="2"/>
    </row>
    <row r="35" spans="1:16" ht="18" customHeight="1">
      <c r="A35" s="2" t="s">
        <v>33</v>
      </c>
      <c r="B35" s="2">
        <f>65++300</f>
        <v>365</v>
      </c>
      <c r="C35" s="2">
        <f>April!C35+B35</f>
        <v>1421</v>
      </c>
      <c r="D35" s="2"/>
      <c r="E35" s="14"/>
      <c r="F35" s="20"/>
      <c r="G35" s="20">
        <f>April!G35+F35</f>
        <v>5</v>
      </c>
      <c r="H35" s="20">
        <f>300+82+300</f>
        <v>682</v>
      </c>
      <c r="I35" s="20">
        <f>April!I35+H35</f>
        <v>682</v>
      </c>
      <c r="J35" s="20">
        <f>1</f>
        <v>1</v>
      </c>
      <c r="K35" s="20">
        <f>1+2</f>
        <v>3</v>
      </c>
      <c r="L35" s="20">
        <f>April!L35+K35</f>
        <v>3</v>
      </c>
      <c r="M35" s="20"/>
      <c r="N35" s="20">
        <f>April!N35+M35</f>
        <v>0</v>
      </c>
      <c r="O35" s="2"/>
      <c r="P35" s="2"/>
    </row>
    <row r="36" spans="1:16" ht="18" customHeight="1">
      <c r="A36" s="2" t="s">
        <v>34</v>
      </c>
      <c r="B36" s="2"/>
      <c r="C36" s="2">
        <f>April!C36+B36</f>
        <v>0</v>
      </c>
      <c r="D36" s="2"/>
      <c r="E36" s="14" t="s">
        <v>65</v>
      </c>
      <c r="F36" s="20"/>
      <c r="G36" s="20">
        <f>April!G36+F36</f>
        <v>0</v>
      </c>
      <c r="H36" s="20">
        <f>2+123+38+1+38+1</f>
        <v>203</v>
      </c>
      <c r="I36" s="20">
        <f>April!I36+H36</f>
        <v>438</v>
      </c>
      <c r="J36" s="20">
        <f>1</f>
        <v>1</v>
      </c>
      <c r="K36" s="20"/>
      <c r="L36" s="20">
        <f>April!L36+K36</f>
        <v>0</v>
      </c>
      <c r="M36" s="20"/>
      <c r="N36" s="20">
        <f>April!N36+M36</f>
        <v>0</v>
      </c>
      <c r="O36" s="2"/>
      <c r="P36" s="2"/>
    </row>
    <row r="37" spans="1:16" ht="18" customHeight="1">
      <c r="A37" s="2" t="s">
        <v>35</v>
      </c>
      <c r="B37" s="2">
        <f>60</f>
        <v>60</v>
      </c>
      <c r="C37" s="2">
        <f>April!C37+B37</f>
        <v>366</v>
      </c>
      <c r="D37" s="2"/>
      <c r="E37" s="14"/>
      <c r="F37" s="20"/>
      <c r="G37" s="20">
        <f>April!G37+F37</f>
        <v>1</v>
      </c>
      <c r="H37" s="20"/>
      <c r="I37" s="20">
        <f>April!I37+H37</f>
        <v>47</v>
      </c>
      <c r="J37" s="20"/>
      <c r="K37" s="20"/>
      <c r="L37" s="20">
        <f>April!L37+K37</f>
        <v>0</v>
      </c>
      <c r="M37" s="20"/>
      <c r="N37" s="20">
        <f>April!N37+M37</f>
        <v>0</v>
      </c>
      <c r="O37" s="2"/>
      <c r="P37" s="2"/>
    </row>
    <row r="38" spans="1:16" ht="18" customHeight="1">
      <c r="A38" s="2" t="s">
        <v>36</v>
      </c>
      <c r="B38" s="2">
        <f>168+38+73+52+73+89+84+85+132+146+63+70+140+164+142+146+85+84+130+167+167+88+50+97+230+240+68+355+154+76+278+146+262+210++84+56+68+44+79+66+61+77+19+54+71+77+89+109+197+90+235+88+74+75</f>
        <v>6265</v>
      </c>
      <c r="C38" s="2">
        <f>April!C38+B38</f>
        <v>35955</v>
      </c>
      <c r="D38" s="2"/>
      <c r="E38" s="14"/>
      <c r="F38" s="20">
        <f>2+211+1++1+2+5+2</f>
        <v>224</v>
      </c>
      <c r="G38" s="20">
        <f>April!G38+F38</f>
        <v>886</v>
      </c>
      <c r="H38" s="20"/>
      <c r="I38" s="20">
        <f>April!I38+H38</f>
        <v>0</v>
      </c>
      <c r="J38" s="20">
        <f>2++1+2+2</f>
        <v>7</v>
      </c>
      <c r="K38" s="20">
        <f>3</f>
        <v>3</v>
      </c>
      <c r="L38" s="20">
        <f>April!L38+K38</f>
        <v>2179</v>
      </c>
      <c r="M38" s="20"/>
      <c r="N38" s="20">
        <f>April!N38+M38</f>
        <v>8</v>
      </c>
      <c r="O38" s="2"/>
      <c r="P38" s="2"/>
    </row>
    <row r="39" spans="1:16" ht="18" customHeight="1">
      <c r="A39" s="2" t="s">
        <v>37</v>
      </c>
      <c r="B39" s="2">
        <f>110+110+160+125+65+100+250+200++118+100+100+100+240+100+120+100+86+86</f>
        <v>2270</v>
      </c>
      <c r="C39" s="2">
        <f>April!C39+B39</f>
        <v>4073</v>
      </c>
      <c r="D39" s="2"/>
      <c r="E39" s="14"/>
      <c r="F39" s="20">
        <f>3</f>
        <v>3</v>
      </c>
      <c r="G39" s="20">
        <f>April!G39+F39</f>
        <v>35</v>
      </c>
      <c r="H39" s="20">
        <f>1</f>
        <v>1</v>
      </c>
      <c r="I39" s="20">
        <f>April!I39+H39</f>
        <v>528</v>
      </c>
      <c r="J39" s="20">
        <f>1+1</f>
        <v>2</v>
      </c>
      <c r="K39" s="20">
        <f>1+3+1</f>
        <v>5</v>
      </c>
      <c r="L39" s="20">
        <f>April!L39+K39</f>
        <v>15</v>
      </c>
      <c r="M39" s="20"/>
      <c r="N39" s="20">
        <f>April!N39+M39</f>
        <v>0</v>
      </c>
      <c r="O39" s="2"/>
      <c r="P39" s="2"/>
    </row>
    <row r="40" spans="1:16" ht="18" customHeight="1">
      <c r="A40" s="2" t="s">
        <v>38</v>
      </c>
      <c r="B40" s="2">
        <f>120+63+130+63+63+57+38+51+120+65+65+130+57+134</f>
        <v>1156</v>
      </c>
      <c r="C40" s="2">
        <f>April!C40+B40</f>
        <v>2367</v>
      </c>
      <c r="D40" s="2"/>
      <c r="E40" s="14"/>
      <c r="F40" s="20">
        <f>3+4+3+2+1</f>
        <v>13</v>
      </c>
      <c r="G40" s="20">
        <f>April!G40+F40</f>
        <v>62</v>
      </c>
      <c r="H40" s="20"/>
      <c r="I40" s="20">
        <f>April!I40+H40</f>
        <v>14</v>
      </c>
      <c r="J40" s="20">
        <f>9+10+3+5+5+14+5+5+4+2+3</f>
        <v>65</v>
      </c>
      <c r="K40" s="20">
        <f>5+1+1+2</f>
        <v>9</v>
      </c>
      <c r="L40" s="20">
        <f>April!L40+K40</f>
        <v>25</v>
      </c>
      <c r="M40" s="20">
        <f>1</f>
        <v>1</v>
      </c>
      <c r="N40" s="20">
        <f>April!N40+M40</f>
        <v>1</v>
      </c>
      <c r="O40" s="2"/>
      <c r="P40" s="2"/>
    </row>
    <row r="41" spans="1:16" ht="18" customHeight="1">
      <c r="A41" s="2" t="s">
        <v>39</v>
      </c>
      <c r="B41" s="2">
        <f>55</f>
        <v>55</v>
      </c>
      <c r="C41" s="2">
        <f>April!C41+B41</f>
        <v>384</v>
      </c>
      <c r="D41" s="2"/>
      <c r="E41" s="14" t="s">
        <v>65</v>
      </c>
      <c r="F41" s="20"/>
      <c r="G41" s="20">
        <f>April!G41+F41</f>
        <v>2</v>
      </c>
      <c r="H41" s="20"/>
      <c r="I41" s="20">
        <f>April!I41+H41</f>
        <v>0</v>
      </c>
      <c r="J41" s="20"/>
      <c r="K41" s="20"/>
      <c r="L41" s="20">
        <f>April!L41+K41</f>
        <v>0</v>
      </c>
      <c r="M41" s="20"/>
      <c r="N41" s="20">
        <f>April!N41+M41</f>
        <v>0</v>
      </c>
      <c r="O41" s="2"/>
      <c r="P41" s="2"/>
    </row>
    <row r="42" spans="1:16" ht="18" customHeight="1">
      <c r="A42" s="2" t="s">
        <v>40</v>
      </c>
      <c r="B42" s="2">
        <f>35+117</f>
        <v>152</v>
      </c>
      <c r="C42" s="2">
        <f>April!C42+B42</f>
        <v>360</v>
      </c>
      <c r="D42" s="2"/>
      <c r="E42" s="14"/>
      <c r="F42" s="20"/>
      <c r="G42" s="20">
        <f>April!G42+F42</f>
        <v>167</v>
      </c>
      <c r="H42" s="20">
        <f>2+1+40+1+2</f>
        <v>46</v>
      </c>
      <c r="I42" s="20">
        <f>April!I42+H42</f>
        <v>246</v>
      </c>
      <c r="J42" s="20"/>
      <c r="K42" s="20"/>
      <c r="L42" s="20">
        <f>April!L42+K42</f>
        <v>0</v>
      </c>
      <c r="M42" s="20"/>
      <c r="N42" s="20">
        <f>April!N42+M42</f>
        <v>0</v>
      </c>
      <c r="O42" s="2"/>
      <c r="P42" s="2"/>
    </row>
    <row r="43" spans="1:16" ht="18" customHeight="1">
      <c r="A43" s="2" t="s">
        <v>41</v>
      </c>
      <c r="B43" s="2"/>
      <c r="C43" s="2">
        <f>April!C43+B43</f>
        <v>0</v>
      </c>
      <c r="D43" s="2"/>
      <c r="E43" s="14"/>
      <c r="F43" s="20"/>
      <c r="G43" s="20">
        <f>April!G43+F43</f>
        <v>0</v>
      </c>
      <c r="H43" s="20"/>
      <c r="I43" s="20">
        <f>April!I43+H43</f>
        <v>0</v>
      </c>
      <c r="J43" s="20"/>
      <c r="K43" s="20"/>
      <c r="L43" s="20">
        <f>April!L43+K43</f>
        <v>0</v>
      </c>
      <c r="M43" s="20"/>
      <c r="N43" s="20">
        <f>April!N43+M43</f>
        <v>0</v>
      </c>
      <c r="O43" s="2"/>
      <c r="P43" s="2"/>
    </row>
    <row r="44" spans="1:16" ht="18" customHeight="1">
      <c r="A44" s="2" t="s">
        <v>42</v>
      </c>
      <c r="B44" s="2">
        <f>74+91+74+57+95+101+85+75+103++100+102+92+116+53+101+74+103+38+34+98+94+18+98</f>
        <v>1876</v>
      </c>
      <c r="C44" s="2">
        <f>April!C44+B44</f>
        <v>2139</v>
      </c>
      <c r="D44" s="2"/>
      <c r="E44" s="14"/>
      <c r="F44" s="20"/>
      <c r="G44" s="20">
        <f>April!G44+F44</f>
        <v>0</v>
      </c>
      <c r="H44" s="20"/>
      <c r="I44" s="20">
        <f>April!I44+H44</f>
        <v>0</v>
      </c>
      <c r="J44" s="20">
        <f>3+1++7</f>
        <v>11</v>
      </c>
      <c r="K44" s="20"/>
      <c r="L44" s="20">
        <f>April!L44+K44</f>
        <v>0</v>
      </c>
      <c r="M44" s="20"/>
      <c r="N44" s="20">
        <f>April!N44+M44</f>
        <v>0</v>
      </c>
      <c r="O44" s="2"/>
      <c r="P44" s="2"/>
    </row>
    <row r="45" spans="1:16" ht="18" customHeight="1">
      <c r="A45" s="2" t="s">
        <v>43</v>
      </c>
      <c r="B45" s="2">
        <f>12275+62+86+51+71+124+75+46+35+25+70+77+81+200+72+35+12+18+8+67+220+90+53+90+32+57+85+260+8+75+169+94+24+106+62+57+74+37+44+118+140+99+138+366+85+280+18+6+28+70+61+60+65+93+7+82+50+10+39+11+10+49+17+18+12+6+56+9+197+75+131+6+59+39+5+2+25+62+89+70+27+2+178+109+184+126+37+63+86+124+16+50+6+19+6+70+9+40+92+80+84+79+173+17+11+19+8+7+60+13+8+9+23+26+10+2+3+5+18+10+4+10+27+67+14+6+54+1+25+51+29+14+11+51+6+56+6+179+3+70+39+76+69+66+2+2+20+48+49+63+6+20+3+58+75+35+136+30+76+49+55+574+63+70+219+179+117+150+92+49+88+72+74+65+90+102+14+47+8+60+113+72+9+184+60+108+138+47+21+70+144+104+191+60+60+180+139+64+37+280+70+33+16+22+49+298+76+52+95+30+10+55+40+30+73+39+63+58+61+203+157+82+92+108+10+150+64+76+68+71+123+74+64+64+46+70+19+119+77+19+41+66+4+28+11+90+24+12+34+11+202+39+99+26+92+145+29+69+22+31+15+13+32+4+62+23</f>
        <v>29824</v>
      </c>
      <c r="C45" s="2">
        <f>April!C45+B45</f>
        <v>131275</v>
      </c>
      <c r="D45" s="2"/>
      <c r="E45" s="14" t="s">
        <v>65</v>
      </c>
      <c r="F45" s="20">
        <f>16+5+44+47+2+8+8+6+8+46+46+2+2+1+10+1+6+3+4+80+5+20+3+1+1+21+1+3+5+2+1+1+4+5+1+18+4+1+3+2+28+19+4+2+8+2+6+2+6+22+18+30+2+2+3+12+16+11+4+8+12+13+2+3+12+3+30+5+6+20+4+11+8+10+16+25+3+1+12+7+8+6+9+2+40+109+1+10+30+2+11+15+3+2+1+3+2+3+1+2+15+3+4+7+2+4+3+6+52+9+1+40+20+76+2+2+2+1+1+1+6+1+9+2+2++100</f>
        <v>1486</v>
      </c>
      <c r="G45" s="20">
        <f>April!G45+F45</f>
        <v>4220</v>
      </c>
      <c r="H45" s="20">
        <f>501</f>
        <v>501</v>
      </c>
      <c r="I45" s="20">
        <f>April!I45+H45</f>
        <v>690</v>
      </c>
      <c r="J45" s="20">
        <f>2+1+1+4+1+3+1</f>
        <v>13</v>
      </c>
      <c r="K45" s="20">
        <f>29+27+10+35+74+69+20+192+289+4+104+6+119+40+7+4+80+112+37+15+9+36+116+10+149+9+14+65+3+18+1+38+77+81+5+111+84+45+168+4+36+54+292+8+2+24+54+1+93+89+15++70+283+37+107+34+74+39+23+20+16</f>
        <v>3687</v>
      </c>
      <c r="L45" s="20">
        <f>April!L45+K45</f>
        <v>8091</v>
      </c>
      <c r="M45" s="20">
        <f>69++9</f>
        <v>78</v>
      </c>
      <c r="N45" s="20">
        <f>April!N45+M45</f>
        <v>521</v>
      </c>
      <c r="O45" s="2">
        <f>23</f>
        <v>23</v>
      </c>
      <c r="P45" s="2"/>
    </row>
    <row r="46" spans="1:16" ht="18" customHeight="1">
      <c r="A46" s="2" t="s">
        <v>44</v>
      </c>
      <c r="B46" s="2">
        <f>108+57+106+120+140+53+53+200+190+127+58+55+105+64+131+62+70+53+53+53+86++61+53+56+56+190+110+45+195+115</f>
        <v>2825</v>
      </c>
      <c r="C46" s="2">
        <f>April!C46+B46</f>
        <v>6984</v>
      </c>
      <c r="D46" s="2"/>
      <c r="E46" s="14"/>
      <c r="F46" s="20">
        <f>16</f>
        <v>16</v>
      </c>
      <c r="G46" s="20">
        <f>April!G46+F46</f>
        <v>24</v>
      </c>
      <c r="H46" s="20"/>
      <c r="I46" s="20">
        <f>April!I46+H46</f>
        <v>1</v>
      </c>
      <c r="J46" s="20">
        <f>1+1</f>
        <v>2</v>
      </c>
      <c r="K46" s="20"/>
      <c r="L46" s="20">
        <f>April!L46+K46</f>
        <v>0</v>
      </c>
      <c r="M46" s="20"/>
      <c r="N46" s="20">
        <f>April!N46+M46</f>
        <v>0</v>
      </c>
      <c r="O46" s="2"/>
      <c r="P46" s="2"/>
    </row>
    <row r="47" spans="1:16" ht="18" customHeight="1">
      <c r="A47" s="2" t="s">
        <v>45</v>
      </c>
      <c r="B47" s="2">
        <f>170+176+176+151+80+161</f>
        <v>914</v>
      </c>
      <c r="C47" s="2">
        <f>April!C47+B47</f>
        <v>5075</v>
      </c>
      <c r="D47" s="2"/>
      <c r="E47" s="14"/>
      <c r="F47" s="20"/>
      <c r="G47" s="20">
        <f>April!G47+F47</f>
        <v>22</v>
      </c>
      <c r="H47" s="20">
        <f>173+4388</f>
        <v>4561</v>
      </c>
      <c r="I47" s="20">
        <f>April!I47+H47</f>
        <v>4831</v>
      </c>
      <c r="J47" s="20">
        <f>1+13+2+14</f>
        <v>30</v>
      </c>
      <c r="K47" s="20">
        <f>3</f>
        <v>3</v>
      </c>
      <c r="L47" s="20">
        <f>April!L47+K47</f>
        <v>3</v>
      </c>
      <c r="M47" s="20"/>
      <c r="N47" s="20">
        <f>April!N47+M47</f>
        <v>0</v>
      </c>
      <c r="O47" s="2"/>
      <c r="P47" s="2"/>
    </row>
    <row r="48" spans="1:16" ht="18" customHeight="1">
      <c r="A48" s="2" t="s">
        <v>46</v>
      </c>
      <c r="B48" s="2"/>
      <c r="C48" s="2">
        <f>April!C48+B48</f>
        <v>135</v>
      </c>
      <c r="D48" s="2"/>
      <c r="E48" s="14"/>
      <c r="F48" s="20">
        <f>5</f>
        <v>5</v>
      </c>
      <c r="G48" s="20">
        <f>April!G48+F48</f>
        <v>7</v>
      </c>
      <c r="H48" s="20"/>
      <c r="I48" s="20">
        <f>April!I48+H48</f>
        <v>1</v>
      </c>
      <c r="J48" s="20"/>
      <c r="K48" s="20"/>
      <c r="L48" s="20">
        <f>April!L48+K48</f>
        <v>0</v>
      </c>
      <c r="M48" s="20"/>
      <c r="N48" s="20">
        <f>April!N48+M48</f>
        <v>0</v>
      </c>
      <c r="O48" s="2"/>
      <c r="P48" s="2"/>
    </row>
    <row r="49" spans="1:16" ht="18" customHeight="1">
      <c r="A49" s="2" t="s">
        <v>47</v>
      </c>
      <c r="B49" s="2"/>
      <c r="C49" s="2">
        <f>April!C49+B49</f>
        <v>0</v>
      </c>
      <c r="D49" s="2"/>
      <c r="E49" s="14"/>
      <c r="F49" s="20"/>
      <c r="G49" s="20">
        <f>April!G49+F49</f>
        <v>0</v>
      </c>
      <c r="H49" s="20"/>
      <c r="I49" s="20">
        <f>April!I49+H49</f>
        <v>4</v>
      </c>
      <c r="J49" s="20"/>
      <c r="K49" s="20"/>
      <c r="L49" s="20">
        <f>April!L49+K49</f>
        <v>0</v>
      </c>
      <c r="M49" s="20"/>
      <c r="N49" s="20">
        <f>April!N49+M49</f>
        <v>0</v>
      </c>
      <c r="O49" s="2"/>
      <c r="P49" s="2"/>
    </row>
    <row r="50" spans="1:16" ht="18" customHeight="1">
      <c r="A50" s="2" t="s">
        <v>48</v>
      </c>
      <c r="B50" s="2">
        <f>316+60+107+65+110+68+59+58+89+108++59+90+86+63++321+58</f>
        <v>1717</v>
      </c>
      <c r="C50" s="2">
        <f>April!C50+B50</f>
        <v>3476</v>
      </c>
      <c r="D50" s="2"/>
      <c r="E50" s="14"/>
      <c r="F50" s="20"/>
      <c r="G50" s="20">
        <f>April!G50+F50</f>
        <v>1</v>
      </c>
      <c r="H50" s="20"/>
      <c r="I50" s="20">
        <f>April!I50+H50</f>
        <v>0</v>
      </c>
      <c r="J50" s="20">
        <f>1+1</f>
        <v>2</v>
      </c>
      <c r="K50" s="20">
        <f>2</f>
        <v>2</v>
      </c>
      <c r="L50" s="20">
        <f>April!L50+K50</f>
        <v>2</v>
      </c>
      <c r="M50" s="20"/>
      <c r="N50" s="20">
        <f>April!N50+M50</f>
        <v>0</v>
      </c>
      <c r="O50" s="2"/>
      <c r="P50" s="2"/>
    </row>
    <row r="51" spans="1:16" ht="18" customHeight="1">
      <c r="A51" s="2" t="s">
        <v>49</v>
      </c>
      <c r="B51" s="2">
        <f>300+70++300+160</f>
        <v>830</v>
      </c>
      <c r="C51" s="2">
        <f>April!C51+B51</f>
        <v>2848</v>
      </c>
      <c r="D51" s="2"/>
      <c r="E51" s="14"/>
      <c r="F51" s="20"/>
      <c r="G51" s="20">
        <f>April!G51+F51</f>
        <v>0</v>
      </c>
      <c r="H51" s="20">
        <f>1</f>
        <v>1</v>
      </c>
      <c r="I51" s="20">
        <f>April!I51+H51</f>
        <v>47</v>
      </c>
      <c r="J51" s="20">
        <f>1+1</f>
        <v>2</v>
      </c>
      <c r="K51" s="20"/>
      <c r="L51" s="20">
        <f>April!L51+K51</f>
        <v>0</v>
      </c>
      <c r="M51" s="20">
        <f>1</f>
        <v>1</v>
      </c>
      <c r="N51" s="20">
        <f>April!N51+M51</f>
        <v>1</v>
      </c>
      <c r="O51" s="2"/>
      <c r="P51" s="2"/>
    </row>
    <row r="52" spans="1:16" ht="18" customHeight="1">
      <c r="A52" s="2" t="s">
        <v>50</v>
      </c>
      <c r="B52" s="2">
        <f>54+25+64+92+70+16+126+110+55++94+110+95+62</f>
        <v>973</v>
      </c>
      <c r="C52" s="2">
        <f>April!C52+B52</f>
        <v>2894</v>
      </c>
      <c r="D52" s="2"/>
      <c r="E52" s="14"/>
      <c r="F52" s="20">
        <f>64</f>
        <v>64</v>
      </c>
      <c r="G52" s="20">
        <f>April!G52+F52</f>
        <v>64</v>
      </c>
      <c r="H52" s="20"/>
      <c r="I52" s="20">
        <f>April!I52+H52</f>
        <v>0</v>
      </c>
      <c r="J52" s="20"/>
      <c r="K52" s="20"/>
      <c r="L52" s="20">
        <f>April!L52+K52</f>
        <v>0</v>
      </c>
      <c r="M52" s="20"/>
      <c r="N52" s="20">
        <f>April!N52+M52</f>
        <v>0</v>
      </c>
      <c r="O52" s="2"/>
      <c r="P52" s="2"/>
    </row>
    <row r="53" spans="1:16" ht="18" customHeight="1">
      <c r="A53" s="2" t="s">
        <v>67</v>
      </c>
      <c r="B53" s="2">
        <f>13+35+36+120+28+61+12+18+67+55+120+20+20+18+24+1+48+12+20+24+47+8+89+2+15+86+13+19+21+6+1+33+2+38+31+12+7+6+25+28+42+18+66+7+42+43+50+30+26+120+280+120+80+3</f>
        <v>2168</v>
      </c>
      <c r="C53" s="2">
        <f>April!C53+B53</f>
        <v>14111</v>
      </c>
      <c r="D53" s="2"/>
      <c r="E53" s="14"/>
      <c r="F53" s="20">
        <f>1+1+4+1+1+14+4+18+12+2++1+4+4</f>
        <v>67</v>
      </c>
      <c r="G53" s="20">
        <f>April!G53+F53</f>
        <v>366</v>
      </c>
      <c r="H53" s="20">
        <f>1+4+9+5+75+41+19+1+10+10+1+1+1+18+35+8+7+2+1+1+1+28+1+1+30+1+1+1+9+39+1+78+4+1+1+1+10+4+4+8+12+1+33+4</f>
        <v>524</v>
      </c>
      <c r="I53" s="20">
        <f>April!I53+H53</f>
        <v>2457</v>
      </c>
      <c r="J53" s="20">
        <f>3+2+8+1+1+2+4+1+1+10+2+6+2+2+2+3+4+2+4+14+7+11+4+2+2+2+2+1+3+2+1+1+3+3+73</f>
        <v>191</v>
      </c>
      <c r="K53" s="20">
        <f>1+4+15</f>
        <v>20</v>
      </c>
      <c r="L53" s="20">
        <f>April!L53+K53</f>
        <v>33</v>
      </c>
      <c r="M53" s="20"/>
      <c r="N53" s="20">
        <f>April!N53+M53</f>
        <v>4</v>
      </c>
      <c r="O53" s="2"/>
      <c r="P53" s="2"/>
    </row>
    <row r="54" spans="1:16" ht="18" customHeight="1" thickBot="1">
      <c r="A54" s="3" t="s">
        <v>51</v>
      </c>
      <c r="B54" s="3">
        <f>625+54+90</f>
        <v>769</v>
      </c>
      <c r="C54" s="2">
        <f>April!C54+B54</f>
        <v>2787</v>
      </c>
      <c r="D54" s="3"/>
      <c r="E54" s="15"/>
      <c r="F54" s="21">
        <f>2+2+2+4+2+1++2+7+1+69</f>
        <v>92</v>
      </c>
      <c r="G54" s="20">
        <f>April!G54+F54</f>
        <v>644</v>
      </c>
      <c r="H54" s="21"/>
      <c r="I54" s="20">
        <f>April!I54+H54</f>
        <v>0</v>
      </c>
      <c r="J54" s="21">
        <f>1+2+11+4</f>
        <v>18</v>
      </c>
      <c r="K54" s="21">
        <f>51</f>
        <v>51</v>
      </c>
      <c r="L54" s="20">
        <f>April!L54+K54</f>
        <v>51</v>
      </c>
      <c r="M54" s="21"/>
      <c r="N54" s="20">
        <f>April!N54+M54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99299</v>
      </c>
      <c r="C55" s="1"/>
      <c r="D55" s="1">
        <f t="shared" si="0"/>
        <v>0</v>
      </c>
      <c r="E55" s="16">
        <f t="shared" si="0"/>
        <v>0</v>
      </c>
      <c r="F55" s="22">
        <f t="shared" si="0"/>
        <v>3802</v>
      </c>
      <c r="G55" s="22"/>
      <c r="H55" s="22">
        <f t="shared" si="0"/>
        <v>9025</v>
      </c>
      <c r="I55" s="22"/>
      <c r="J55" s="22">
        <f t="shared" si="0"/>
        <v>834</v>
      </c>
      <c r="K55" s="22">
        <f t="shared" si="0"/>
        <v>3949</v>
      </c>
      <c r="L55" s="22"/>
      <c r="M55" s="22">
        <f t="shared" si="0"/>
        <v>124</v>
      </c>
      <c r="N55" s="22"/>
      <c r="O55" s="1">
        <f t="shared" si="0"/>
        <v>94</v>
      </c>
      <c r="P55" s="1">
        <f t="shared" si="0"/>
        <v>15</v>
      </c>
    </row>
    <row r="56" spans="1:16" ht="18" customHeight="1" thickBot="1" thickTop="1">
      <c r="A56" s="11"/>
      <c r="B56" s="11"/>
      <c r="C56" s="11"/>
      <c r="D56" s="11"/>
      <c r="E56" s="17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</row>
    <row r="57" spans="1:16" ht="18" customHeight="1" thickBot="1" thickTop="1">
      <c r="A57" s="12" t="s">
        <v>53</v>
      </c>
      <c r="B57" s="1"/>
      <c r="C57" s="1">
        <f>April!C57+B55</f>
        <v>422230</v>
      </c>
      <c r="D57" s="1">
        <f>April!D57+D55</f>
        <v>100</v>
      </c>
      <c r="E57" s="16">
        <f>April!E57+E55</f>
        <v>0</v>
      </c>
      <c r="F57" s="22"/>
      <c r="G57" s="22">
        <f>April!G57+F55</f>
        <v>16468</v>
      </c>
      <c r="H57" s="22"/>
      <c r="I57" s="22">
        <f>April!I57+H55</f>
        <v>16781</v>
      </c>
      <c r="J57" s="22">
        <f>April!J57+J55</f>
        <v>2965</v>
      </c>
      <c r="K57" s="22"/>
      <c r="L57" s="22">
        <f>April!L57+K55</f>
        <v>13871</v>
      </c>
      <c r="M57" s="22"/>
      <c r="N57" s="22">
        <f>April!N57+M55</f>
        <v>807</v>
      </c>
      <c r="O57" s="1">
        <f>April!O57+O55</f>
        <v>114</v>
      </c>
      <c r="P57" s="1">
        <f>April!P57+P55</f>
        <v>2053</v>
      </c>
    </row>
    <row r="58" spans="1:16" ht="18" customHeight="1" thickTop="1">
      <c r="A58" s="6"/>
      <c r="B58" s="6"/>
      <c r="C58" s="6"/>
      <c r="D58" s="6"/>
      <c r="E58" s="6"/>
      <c r="F58" s="18"/>
      <c r="G58" s="18"/>
      <c r="H58" s="18"/>
      <c r="I58" s="18"/>
      <c r="J58" s="18"/>
      <c r="K58" s="18"/>
      <c r="L58" s="18"/>
      <c r="M58" s="18"/>
      <c r="N58" s="18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18"/>
      <c r="G59" s="18"/>
      <c r="H59" s="18"/>
      <c r="I59" s="18"/>
      <c r="J59" s="18"/>
      <c r="K59" s="18"/>
      <c r="L59" s="18"/>
      <c r="M59" s="18"/>
      <c r="N59" s="18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158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April!G62+F60</f>
        <v>4683</v>
      </c>
      <c r="I62" s="5">
        <f>April!I62+H60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.5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95" zoomScaleNormal="95" zoomScalePageLayoutView="0" workbookViewId="0" topLeftCell="A1">
      <pane ySplit="4" topLeftCell="BM17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10.1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76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7" t="s">
        <v>55</v>
      </c>
      <c r="C3" s="59"/>
      <c r="D3" s="19" t="s">
        <v>56</v>
      </c>
      <c r="E3" s="19" t="s">
        <v>57</v>
      </c>
      <c r="F3" s="57" t="s">
        <v>58</v>
      </c>
      <c r="G3" s="59"/>
      <c r="H3" s="57" t="s">
        <v>59</v>
      </c>
      <c r="I3" s="59"/>
      <c r="J3" s="19" t="s">
        <v>60</v>
      </c>
      <c r="K3" s="57" t="s">
        <v>61</v>
      </c>
      <c r="L3" s="59"/>
      <c r="M3" s="57" t="s">
        <v>62</v>
      </c>
      <c r="N3" s="58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19" t="s">
        <v>2</v>
      </c>
      <c r="C4" s="19" t="s">
        <v>3</v>
      </c>
      <c r="D4" s="19"/>
      <c r="E4" s="19"/>
      <c r="F4" s="19" t="s">
        <v>2</v>
      </c>
      <c r="G4" s="19" t="s">
        <v>3</v>
      </c>
      <c r="H4" s="19" t="s">
        <v>2</v>
      </c>
      <c r="I4" s="19" t="s">
        <v>3</v>
      </c>
      <c r="J4" s="19"/>
      <c r="K4" s="19" t="s">
        <v>2</v>
      </c>
      <c r="L4" s="19" t="s">
        <v>3</v>
      </c>
      <c r="M4" s="19" t="s">
        <v>2</v>
      </c>
      <c r="N4" s="19" t="s">
        <v>3</v>
      </c>
      <c r="O4" s="55"/>
      <c r="P4" s="55"/>
    </row>
    <row r="5" spans="1:16" ht="18" customHeight="1">
      <c r="A5" s="2" t="s">
        <v>4</v>
      </c>
      <c r="B5" s="20">
        <f>70</f>
        <v>70</v>
      </c>
      <c r="C5" s="20">
        <f>May!C5+B5</f>
        <v>772</v>
      </c>
      <c r="D5" s="20"/>
      <c r="E5" s="37"/>
      <c r="F5" s="20"/>
      <c r="G5" s="20">
        <f>May!G5+F5</f>
        <v>2</v>
      </c>
      <c r="H5" s="20"/>
      <c r="I5" s="20">
        <f>May!I5+H5</f>
        <v>60</v>
      </c>
      <c r="J5" s="20"/>
      <c r="K5" s="20"/>
      <c r="L5" s="20">
        <f>May!L5+K5</f>
        <v>0</v>
      </c>
      <c r="M5" s="20"/>
      <c r="N5" s="20">
        <f>May!N5+M5</f>
        <v>0</v>
      </c>
      <c r="O5" s="2"/>
      <c r="P5" s="2"/>
    </row>
    <row r="6" spans="1:16" ht="18" customHeight="1">
      <c r="A6" s="2" t="s">
        <v>5</v>
      </c>
      <c r="B6" s="20"/>
      <c r="C6" s="20">
        <f>May!C6+B6</f>
        <v>0</v>
      </c>
      <c r="D6" s="20"/>
      <c r="E6" s="37"/>
      <c r="F6" s="20"/>
      <c r="G6" s="20">
        <f>May!G6+F6</f>
        <v>0</v>
      </c>
      <c r="H6" s="20"/>
      <c r="I6" s="20">
        <f>May!I6+H6</f>
        <v>0</v>
      </c>
      <c r="J6" s="20"/>
      <c r="K6" s="20"/>
      <c r="L6" s="20">
        <f>May!L6+K6</f>
        <v>0</v>
      </c>
      <c r="M6" s="20"/>
      <c r="N6" s="20">
        <f>May!N6+M6</f>
        <v>0</v>
      </c>
      <c r="O6" s="2"/>
      <c r="P6" s="2"/>
    </row>
    <row r="7" spans="1:16" ht="18" customHeight="1">
      <c r="A7" s="2" t="s">
        <v>6</v>
      </c>
      <c r="B7" s="20"/>
      <c r="C7" s="20">
        <f>May!C7+B7</f>
        <v>0</v>
      </c>
      <c r="D7" s="20"/>
      <c r="E7" s="37"/>
      <c r="F7" s="20"/>
      <c r="G7" s="20">
        <f>May!G7+F7</f>
        <v>11</v>
      </c>
      <c r="H7" s="20"/>
      <c r="I7" s="20">
        <f>May!I7+H7</f>
        <v>713</v>
      </c>
      <c r="J7" s="20"/>
      <c r="K7" s="20"/>
      <c r="L7" s="20">
        <f>May!L7+K7</f>
        <v>1</v>
      </c>
      <c r="M7" s="20"/>
      <c r="N7" s="20">
        <f>May!N7+M7</f>
        <v>2</v>
      </c>
      <c r="O7" s="2"/>
      <c r="P7" s="2"/>
    </row>
    <row r="8" spans="1:16" ht="18" customHeight="1">
      <c r="A8" s="2" t="s">
        <v>7</v>
      </c>
      <c r="B8" s="20"/>
      <c r="C8" s="20">
        <f>May!C8+B8</f>
        <v>1874</v>
      </c>
      <c r="D8" s="20"/>
      <c r="E8" s="37"/>
      <c r="F8" s="20"/>
      <c r="G8" s="20">
        <f>May!G8+F8</f>
        <v>12</v>
      </c>
      <c r="H8" s="20"/>
      <c r="I8" s="20">
        <f>May!I8+H8</f>
        <v>39</v>
      </c>
      <c r="J8" s="20"/>
      <c r="K8" s="20"/>
      <c r="L8" s="20">
        <f>May!L8+K8</f>
        <v>0</v>
      </c>
      <c r="M8" s="20"/>
      <c r="N8" s="20">
        <f>May!N8+M8</f>
        <v>0</v>
      </c>
      <c r="O8" s="2"/>
      <c r="P8" s="2"/>
    </row>
    <row r="9" spans="1:16" ht="18" customHeight="1">
      <c r="A9" s="2" t="s">
        <v>8</v>
      </c>
      <c r="B9" s="20">
        <f>95+11+7+19+138+4+47+194+98+136+140+102+100</f>
        <v>1091</v>
      </c>
      <c r="C9" s="20">
        <f>May!C9+B9</f>
        <v>4435</v>
      </c>
      <c r="D9" s="20"/>
      <c r="E9" s="37"/>
      <c r="F9" s="20"/>
      <c r="G9" s="20">
        <f>May!G9+F9</f>
        <v>92</v>
      </c>
      <c r="H9" s="20">
        <f>1</f>
        <v>1</v>
      </c>
      <c r="I9" s="20">
        <f>May!I9+H9</f>
        <v>4</v>
      </c>
      <c r="J9" s="20"/>
      <c r="K9" s="20">
        <f>1+8+2</f>
        <v>11</v>
      </c>
      <c r="L9" s="20">
        <f>May!L9+K9</f>
        <v>12</v>
      </c>
      <c r="M9" s="20"/>
      <c r="N9" s="20">
        <f>May!N9+M9</f>
        <v>0</v>
      </c>
      <c r="O9" s="2"/>
      <c r="P9" s="2"/>
    </row>
    <row r="10" spans="1:16" ht="18" customHeight="1">
      <c r="A10" s="2" t="s">
        <v>10</v>
      </c>
      <c r="B10" s="20">
        <f>24+40+58++9+55</f>
        <v>186</v>
      </c>
      <c r="C10" s="20">
        <f>May!C10+B10</f>
        <v>2420</v>
      </c>
      <c r="D10" s="20"/>
      <c r="E10" s="37" t="s">
        <v>65</v>
      </c>
      <c r="F10" s="20"/>
      <c r="G10" s="20">
        <f>May!G10+F10</f>
        <v>165</v>
      </c>
      <c r="H10" s="20"/>
      <c r="I10" s="20">
        <f>May!I10+H10</f>
        <v>93</v>
      </c>
      <c r="J10" s="20">
        <f>1</f>
        <v>1</v>
      </c>
      <c r="K10" s="20"/>
      <c r="L10" s="20">
        <f>May!L10+K10</f>
        <v>0</v>
      </c>
      <c r="M10" s="20"/>
      <c r="N10" s="20">
        <f>May!N10+M10</f>
        <v>0</v>
      </c>
      <c r="O10" s="2"/>
      <c r="P10" s="2"/>
    </row>
    <row r="11" spans="1:16" ht="18" customHeight="1">
      <c r="A11" s="2" t="s">
        <v>9</v>
      </c>
      <c r="B11" s="20">
        <f>272+240+164</f>
        <v>676</v>
      </c>
      <c r="C11" s="20">
        <f>May!C11+B11</f>
        <v>1706</v>
      </c>
      <c r="D11" s="20"/>
      <c r="E11" s="37"/>
      <c r="F11" s="20">
        <f>1+3+60+2</f>
        <v>66</v>
      </c>
      <c r="G11" s="20">
        <f>May!G11+F11</f>
        <v>273</v>
      </c>
      <c r="H11" s="20">
        <f>5+78</f>
        <v>83</v>
      </c>
      <c r="I11" s="20">
        <f>May!I11+H11</f>
        <v>734</v>
      </c>
      <c r="J11" s="20">
        <f>1+2</f>
        <v>3</v>
      </c>
      <c r="K11" s="20"/>
      <c r="L11" s="20">
        <f>May!L11+K11</f>
        <v>4</v>
      </c>
      <c r="M11" s="20"/>
      <c r="N11" s="20">
        <f>May!N11+M11</f>
        <v>3</v>
      </c>
      <c r="O11" s="2"/>
      <c r="P11" s="2"/>
    </row>
    <row r="12" spans="1:16" ht="18" customHeight="1">
      <c r="A12" s="2" t="s">
        <v>11</v>
      </c>
      <c r="B12" s="20"/>
      <c r="C12" s="20">
        <f>May!C12+B12</f>
        <v>0</v>
      </c>
      <c r="D12" s="20"/>
      <c r="E12" s="37"/>
      <c r="F12" s="20"/>
      <c r="G12" s="20">
        <f>May!G12+F12</f>
        <v>0</v>
      </c>
      <c r="H12" s="20"/>
      <c r="I12" s="20">
        <f>May!I12+H12</f>
        <v>0</v>
      </c>
      <c r="J12" s="20"/>
      <c r="K12" s="20"/>
      <c r="L12" s="20">
        <f>May!L12+K12</f>
        <v>0</v>
      </c>
      <c r="M12" s="20"/>
      <c r="N12" s="20">
        <f>May!N12+M12</f>
        <v>0</v>
      </c>
      <c r="O12" s="2"/>
      <c r="P12" s="2"/>
    </row>
    <row r="13" spans="1:16" ht="18" customHeight="1">
      <c r="A13" s="2" t="s">
        <v>12</v>
      </c>
      <c r="B13" s="20"/>
      <c r="C13" s="20">
        <f>May!C13+B13</f>
        <v>0</v>
      </c>
      <c r="D13" s="20"/>
      <c r="E13" s="37"/>
      <c r="F13" s="20"/>
      <c r="G13" s="20">
        <f>May!G13+F13</f>
        <v>0</v>
      </c>
      <c r="H13" s="20"/>
      <c r="I13" s="20">
        <f>May!I13+H13</f>
        <v>0</v>
      </c>
      <c r="J13" s="20"/>
      <c r="K13" s="20"/>
      <c r="L13" s="20">
        <f>May!L13+K13</f>
        <v>0</v>
      </c>
      <c r="M13" s="20"/>
      <c r="N13" s="20">
        <f>May!N13+M13</f>
        <v>0</v>
      </c>
      <c r="O13" s="2"/>
      <c r="P13" s="2"/>
    </row>
    <row r="14" spans="1:16" ht="18" customHeight="1">
      <c r="A14" s="2" t="s">
        <v>13</v>
      </c>
      <c r="B14" s="20"/>
      <c r="C14" s="20">
        <f>May!C14+B14</f>
        <v>0</v>
      </c>
      <c r="D14" s="20"/>
      <c r="E14" s="37"/>
      <c r="F14" s="20"/>
      <c r="G14" s="20">
        <f>May!G14+F14</f>
        <v>43</v>
      </c>
      <c r="H14" s="20"/>
      <c r="I14" s="20">
        <f>May!I14+H14</f>
        <v>10</v>
      </c>
      <c r="J14" s="20">
        <f>2</f>
        <v>2</v>
      </c>
      <c r="K14" s="20"/>
      <c r="L14" s="20">
        <f>May!L14+K14</f>
        <v>0</v>
      </c>
      <c r="M14" s="20"/>
      <c r="N14" s="20">
        <f>May!N14+M14</f>
        <v>0</v>
      </c>
      <c r="O14" s="2"/>
      <c r="P14" s="2"/>
    </row>
    <row r="15" spans="1:16" ht="18" customHeight="1">
      <c r="A15" s="2" t="s">
        <v>14</v>
      </c>
      <c r="B15" s="20"/>
      <c r="C15" s="20">
        <f>May!C15+B15</f>
        <v>1821</v>
      </c>
      <c r="D15" s="20"/>
      <c r="E15" s="37"/>
      <c r="F15" s="20"/>
      <c r="G15" s="20">
        <f>May!G15+F15</f>
        <v>35</v>
      </c>
      <c r="H15" s="20"/>
      <c r="I15" s="20">
        <f>May!I15+H15</f>
        <v>1</v>
      </c>
      <c r="J15" s="20"/>
      <c r="K15" s="20"/>
      <c r="L15" s="20">
        <f>May!L15+K15</f>
        <v>0</v>
      </c>
      <c r="M15" s="20"/>
      <c r="N15" s="20">
        <f>May!N15+M15</f>
        <v>0</v>
      </c>
      <c r="O15" s="2"/>
      <c r="P15" s="2"/>
    </row>
    <row r="16" spans="1:16" ht="18" customHeight="1">
      <c r="A16" s="2" t="s">
        <v>15</v>
      </c>
      <c r="B16" s="20"/>
      <c r="C16" s="20">
        <f>May!C16+B16</f>
        <v>0</v>
      </c>
      <c r="D16" s="20"/>
      <c r="E16" s="37"/>
      <c r="F16" s="20"/>
      <c r="G16" s="20">
        <f>May!G16+F16</f>
        <v>0</v>
      </c>
      <c r="H16" s="20"/>
      <c r="I16" s="20">
        <f>May!I16+H16</f>
        <v>0</v>
      </c>
      <c r="J16" s="20"/>
      <c r="K16" s="20"/>
      <c r="L16" s="20">
        <f>May!L16+K16</f>
        <v>0</v>
      </c>
      <c r="M16" s="20"/>
      <c r="N16" s="20">
        <f>May!N16+M16</f>
        <v>0</v>
      </c>
      <c r="O16" s="2"/>
      <c r="P16" s="2"/>
    </row>
    <row r="17" spans="1:16" ht="18" customHeight="1">
      <c r="A17" s="2" t="s">
        <v>16</v>
      </c>
      <c r="B17" s="20"/>
      <c r="C17" s="20">
        <f>May!C17+B17</f>
        <v>7840</v>
      </c>
      <c r="D17" s="20"/>
      <c r="E17" s="37"/>
      <c r="F17" s="20"/>
      <c r="G17" s="20">
        <f>May!G17+F17</f>
        <v>131</v>
      </c>
      <c r="H17" s="20"/>
      <c r="I17" s="20">
        <f>May!I17+H17</f>
        <v>60</v>
      </c>
      <c r="J17" s="20"/>
      <c r="K17" s="20"/>
      <c r="L17" s="20">
        <f>May!L17+K17</f>
        <v>0</v>
      </c>
      <c r="M17" s="20"/>
      <c r="N17" s="20">
        <f>May!N17+M17</f>
        <v>0</v>
      </c>
      <c r="O17" s="2"/>
      <c r="P17" s="2"/>
    </row>
    <row r="18" spans="1:16" ht="18" customHeight="1">
      <c r="A18" s="2" t="s">
        <v>17</v>
      </c>
      <c r="B18" s="20">
        <f>78</f>
        <v>78</v>
      </c>
      <c r="C18" s="20">
        <f>May!C18+B18</f>
        <v>2904</v>
      </c>
      <c r="D18" s="20"/>
      <c r="E18" s="37"/>
      <c r="F18" s="20">
        <f>1+1+1+1+2+2+2+2+2+2+6</f>
        <v>22</v>
      </c>
      <c r="G18" s="20">
        <f>May!G18+F18</f>
        <v>224</v>
      </c>
      <c r="H18" s="20">
        <f>3</f>
        <v>3</v>
      </c>
      <c r="I18" s="20">
        <f>May!I18+H18</f>
        <v>185</v>
      </c>
      <c r="J18" s="20">
        <f>1+1+1+1+2+33+2+2+1+3+2+1+4+1</f>
        <v>55</v>
      </c>
      <c r="K18" s="20"/>
      <c r="L18" s="20">
        <f>May!L18+K18</f>
        <v>22</v>
      </c>
      <c r="M18" s="20"/>
      <c r="N18" s="20">
        <f>May!N18+M18</f>
        <v>1</v>
      </c>
      <c r="O18" s="2"/>
      <c r="P18" s="2"/>
    </row>
    <row r="19" spans="1:16" ht="18" customHeight="1">
      <c r="A19" s="2" t="s">
        <v>18</v>
      </c>
      <c r="B19" s="20"/>
      <c r="C19" s="20">
        <f>May!C19+B19</f>
        <v>2657</v>
      </c>
      <c r="D19" s="20"/>
      <c r="E19" s="37"/>
      <c r="F19" s="20"/>
      <c r="G19" s="20">
        <f>May!G19+F19</f>
        <v>4</v>
      </c>
      <c r="H19" s="20"/>
      <c r="I19" s="20">
        <f>May!I19+H19</f>
        <v>1289</v>
      </c>
      <c r="J19" s="20">
        <f>1+1</f>
        <v>2</v>
      </c>
      <c r="K19" s="20"/>
      <c r="L19" s="20">
        <f>May!L19+K19</f>
        <v>2</v>
      </c>
      <c r="M19" s="20"/>
      <c r="N19" s="20">
        <f>May!N19+M19</f>
        <v>0</v>
      </c>
      <c r="O19" s="2"/>
      <c r="P19" s="2"/>
    </row>
    <row r="20" spans="1:16" ht="18" customHeight="1">
      <c r="A20" s="2" t="s">
        <v>19</v>
      </c>
      <c r="B20" s="20">
        <f>63+124+120+19+147+103+143+125</f>
        <v>844</v>
      </c>
      <c r="C20" s="20">
        <f>May!C20+B20</f>
        <v>12847</v>
      </c>
      <c r="D20" s="20"/>
      <c r="E20" s="37"/>
      <c r="F20" s="20"/>
      <c r="G20" s="20">
        <f>May!G20+F20</f>
        <v>261</v>
      </c>
      <c r="H20" s="20">
        <f>2+1</f>
        <v>3</v>
      </c>
      <c r="I20" s="20">
        <f>May!I20+H20</f>
        <v>362</v>
      </c>
      <c r="J20" s="20">
        <f>7+7+1+1+1+4+4</f>
        <v>25</v>
      </c>
      <c r="K20" s="20"/>
      <c r="L20" s="20">
        <f>May!L20+K20</f>
        <v>5</v>
      </c>
      <c r="M20" s="20"/>
      <c r="N20" s="20">
        <f>May!N20+M20</f>
        <v>0</v>
      </c>
      <c r="O20" s="2"/>
      <c r="P20" s="2"/>
    </row>
    <row r="21" spans="1:16" ht="18" customHeight="1">
      <c r="A21" s="2" t="s">
        <v>20</v>
      </c>
      <c r="B21" s="20">
        <f>52+66+61+105+59+17+55+67+260+43+191+52+119+112+96+168+59+126+61+60+58+57+144+65+74+80+82+140+71+350+90+35+65+291+240+180+71+362+122+129+112+80+65+65+55+63+125+105+130+240+86+56</f>
        <v>5717</v>
      </c>
      <c r="C21" s="20">
        <f>May!C21+B21</f>
        <v>42134</v>
      </c>
      <c r="D21" s="20"/>
      <c r="E21" s="37"/>
      <c r="F21" s="20"/>
      <c r="G21" s="20">
        <f>May!G21+F21</f>
        <v>12</v>
      </c>
      <c r="H21" s="20"/>
      <c r="I21" s="20">
        <f>May!I21+H21</f>
        <v>98</v>
      </c>
      <c r="J21" s="20">
        <f>1+2+4+4</f>
        <v>11</v>
      </c>
      <c r="K21" s="20"/>
      <c r="L21" s="20">
        <f>May!L21+K21</f>
        <v>0</v>
      </c>
      <c r="M21" s="20"/>
      <c r="N21" s="20">
        <f>May!N21+M21</f>
        <v>0</v>
      </c>
      <c r="O21" s="2"/>
      <c r="P21" s="2"/>
    </row>
    <row r="22" spans="1:16" ht="18" customHeight="1">
      <c r="A22" s="2" t="s">
        <v>21</v>
      </c>
      <c r="B22" s="20"/>
      <c r="C22" s="20">
        <f>May!C22+B22</f>
        <v>0</v>
      </c>
      <c r="D22" s="20"/>
      <c r="E22" s="37"/>
      <c r="F22" s="20">
        <f>1</f>
        <v>1</v>
      </c>
      <c r="G22" s="20">
        <f>May!G22+F22</f>
        <v>2</v>
      </c>
      <c r="H22" s="20"/>
      <c r="I22" s="20">
        <f>May!I22+H22</f>
        <v>0</v>
      </c>
      <c r="J22" s="20"/>
      <c r="K22" s="20"/>
      <c r="L22" s="20">
        <f>May!L22+K22</f>
        <v>0</v>
      </c>
      <c r="M22" s="20"/>
      <c r="N22" s="20">
        <f>May!N22+M22</f>
        <v>0</v>
      </c>
      <c r="O22" s="2"/>
      <c r="P22" s="2"/>
    </row>
    <row r="23" spans="1:16" ht="18" customHeight="1">
      <c r="A23" s="2" t="s">
        <v>22</v>
      </c>
      <c r="B23" s="20"/>
      <c r="C23" s="20">
        <f>May!C23+B23</f>
        <v>0</v>
      </c>
      <c r="D23" s="20"/>
      <c r="E23" s="37"/>
      <c r="F23" s="20"/>
      <c r="G23" s="20">
        <f>May!G23+F23</f>
        <v>0</v>
      </c>
      <c r="H23" s="20"/>
      <c r="I23" s="20">
        <f>May!I23+H23</f>
        <v>0</v>
      </c>
      <c r="J23" s="20"/>
      <c r="K23" s="20"/>
      <c r="L23" s="20">
        <f>May!L23+K23</f>
        <v>0</v>
      </c>
      <c r="M23" s="20"/>
      <c r="N23" s="20">
        <f>May!N23+M23</f>
        <v>0</v>
      </c>
      <c r="O23" s="2"/>
      <c r="P23" s="2"/>
    </row>
    <row r="24" spans="1:16" ht="18" customHeight="1">
      <c r="A24" s="2" t="s">
        <v>23</v>
      </c>
      <c r="B24" s="20"/>
      <c r="C24" s="20">
        <f>May!C24+B24</f>
        <v>0</v>
      </c>
      <c r="D24" s="20"/>
      <c r="E24" s="37"/>
      <c r="F24" s="20"/>
      <c r="G24" s="20">
        <f>May!G24+F24</f>
        <v>0</v>
      </c>
      <c r="H24" s="20"/>
      <c r="I24" s="20">
        <f>May!I24+H24</f>
        <v>7</v>
      </c>
      <c r="J24" s="20"/>
      <c r="K24" s="20"/>
      <c r="L24" s="20">
        <f>May!L24+K24</f>
        <v>0</v>
      </c>
      <c r="M24" s="20"/>
      <c r="N24" s="20">
        <f>May!N24+M24</f>
        <v>0</v>
      </c>
      <c r="O24" s="2"/>
      <c r="P24" s="2"/>
    </row>
    <row r="25" spans="1:16" ht="18" customHeight="1">
      <c r="A25" s="2" t="s">
        <v>68</v>
      </c>
      <c r="B25" s="20"/>
      <c r="C25" s="20">
        <f>May!C25+B25</f>
        <v>0</v>
      </c>
      <c r="D25" s="20"/>
      <c r="E25" s="37"/>
      <c r="F25" s="20"/>
      <c r="G25" s="20">
        <f>May!G25+F25</f>
        <v>17</v>
      </c>
      <c r="H25" s="20"/>
      <c r="I25" s="20">
        <f>May!I25+H25</f>
        <v>2</v>
      </c>
      <c r="J25" s="20"/>
      <c r="K25" s="20"/>
      <c r="L25" s="20">
        <f>May!L25+K25</f>
        <v>0</v>
      </c>
      <c r="M25" s="20"/>
      <c r="N25" s="20">
        <f>May!N25+M25</f>
        <v>0</v>
      </c>
      <c r="O25" s="2"/>
      <c r="P25" s="2"/>
    </row>
    <row r="26" spans="1:16" ht="18" customHeight="1">
      <c r="A26" s="2" t="s">
        <v>24</v>
      </c>
      <c r="B26" s="20"/>
      <c r="C26" s="20">
        <f>May!C26+B26</f>
        <v>0</v>
      </c>
      <c r="D26" s="20"/>
      <c r="E26" s="37"/>
      <c r="F26" s="20"/>
      <c r="G26" s="20">
        <f>May!G26+F26</f>
        <v>10</v>
      </c>
      <c r="H26" s="20">
        <f>1</f>
        <v>1</v>
      </c>
      <c r="I26" s="20">
        <f>May!I26+H26</f>
        <v>9</v>
      </c>
      <c r="J26" s="20">
        <f>1+2+2+1+2</f>
        <v>8</v>
      </c>
      <c r="K26" s="20">
        <f>11+10</f>
        <v>21</v>
      </c>
      <c r="L26" s="20">
        <f>May!L26+K26</f>
        <v>23</v>
      </c>
      <c r="M26" s="20"/>
      <c r="N26" s="20">
        <f>May!N26+M26</f>
        <v>0</v>
      </c>
      <c r="O26" s="2"/>
      <c r="P26" s="2"/>
    </row>
    <row r="27" spans="1:16" ht="18" customHeight="1">
      <c r="A27" s="2" t="s">
        <v>25</v>
      </c>
      <c r="B27" s="40">
        <f>22+128+128+160+160+211+2+24+13+28+11+7+4+25+8+7+15+20+10+15+24+17+16+47+32+31+50+60+61+82+4+2+26+21+4+12+5+13+15+10+10+4+3+8+1+3+2+9+11+84+128+1+1+1+3+5+3+5+3+11+3+9+2+24+8+12+9+8+6+12+2+15+43+30+40</f>
        <v>2049</v>
      </c>
      <c r="C27" s="20">
        <f>May!C27+B27</f>
        <v>19901</v>
      </c>
      <c r="D27" s="20"/>
      <c r="E27" s="37"/>
      <c r="F27" s="20">
        <f>8+1+1+1+1+1+1+1+1+1+1+1+1+1+1+8+1+1+1+1+1+1+1+1+1+1+1+1+1+1+1+1+1+1+1+1+1+1+1+1+3+2</f>
        <v>59</v>
      </c>
      <c r="G27" s="20">
        <f>May!G27+F27</f>
        <v>548</v>
      </c>
      <c r="H27" s="20">
        <f>1+7+1+1+37+30+13+16+1+1+18+60+60+1+7+11+3+199+105+11+3+1</f>
        <v>587</v>
      </c>
      <c r="I27" s="20">
        <f>May!I27+H27</f>
        <v>3273</v>
      </c>
      <c r="J27" s="20">
        <f>1+1+1+1+1+3+1+2+1+2+2+2+1+1+1+1+1+4+2+1+1+1+1+1+4+2+1+2+1+1+1+2+1+1+4+2+1+1+1+3+1+2+1+1+1+3+1+1+15</f>
        <v>88</v>
      </c>
      <c r="K27" s="20">
        <f>6+6+2+4+14</f>
        <v>32</v>
      </c>
      <c r="L27" s="20">
        <f>May!L27+K27</f>
        <v>520</v>
      </c>
      <c r="M27" s="20">
        <f>10+6</f>
        <v>16</v>
      </c>
      <c r="N27" s="20">
        <f>May!N27+M27</f>
        <v>42</v>
      </c>
      <c r="O27" s="2"/>
      <c r="P27" s="2"/>
    </row>
    <row r="28" spans="1:16" ht="18" customHeight="1">
      <c r="A28" s="2" t="s">
        <v>26</v>
      </c>
      <c r="B28" s="20"/>
      <c r="C28" s="20">
        <f>May!C28+B28</f>
        <v>712</v>
      </c>
      <c r="D28" s="20"/>
      <c r="E28" s="37"/>
      <c r="F28" s="20">
        <v>3</v>
      </c>
      <c r="G28" s="20">
        <f>May!G28+F28</f>
        <v>3</v>
      </c>
      <c r="H28" s="20"/>
      <c r="I28" s="20">
        <f>May!I28+H28</f>
        <v>0</v>
      </c>
      <c r="J28" s="20"/>
      <c r="K28" s="20"/>
      <c r="L28" s="20">
        <f>May!L28+K28</f>
        <v>0</v>
      </c>
      <c r="M28" s="20"/>
      <c r="N28" s="20">
        <f>May!N28+M28</f>
        <v>0</v>
      </c>
      <c r="O28" s="2"/>
      <c r="P28" s="2"/>
    </row>
    <row r="29" spans="1:16" ht="18" customHeight="1">
      <c r="A29" s="2" t="s">
        <v>27</v>
      </c>
      <c r="B29" s="20">
        <f>120+120+180+61+116+60+60+60+18+58+89+21+40+120+127+256+99+56+143+79+80+60+57+55+78+20+29+21+109+16+60+60+180+83+102+80+80+89+70+87+14+37+29+10+72+80+40+87+9+112+3+113+78+115+114+98+69+116+120+85+71+90+120+33+100+54+63+71+112</f>
        <v>5414</v>
      </c>
      <c r="C29" s="20">
        <f>May!C29+B29</f>
        <v>67204</v>
      </c>
      <c r="D29" s="20"/>
      <c r="E29" s="37"/>
      <c r="F29" s="20">
        <f>3+1+2+22+22+19</f>
        <v>69</v>
      </c>
      <c r="G29" s="20">
        <f>May!G29+F29</f>
        <v>774</v>
      </c>
      <c r="H29" s="20">
        <f>22+10</f>
        <v>32</v>
      </c>
      <c r="I29" s="20">
        <f>May!I29+H29</f>
        <v>239</v>
      </c>
      <c r="J29" s="20">
        <f>1+1+1+2+2+3+1+1+2+1+1+2+3+3+1+1+2+1+1+2+4+17+5</f>
        <v>58</v>
      </c>
      <c r="K29" s="20"/>
      <c r="L29" s="20">
        <f>May!L29+K29</f>
        <v>52</v>
      </c>
      <c r="M29" s="20"/>
      <c r="N29" s="20">
        <f>May!N29+M29</f>
        <v>88</v>
      </c>
      <c r="O29" s="2"/>
      <c r="P29" s="2"/>
    </row>
    <row r="30" spans="1:16" ht="18" customHeight="1">
      <c r="A30" s="2" t="s">
        <v>28</v>
      </c>
      <c r="B30" s="20">
        <f>280+11+320+12+14+120+63+20+60</f>
        <v>900</v>
      </c>
      <c r="C30" s="20">
        <f>May!C30+B30</f>
        <v>30440</v>
      </c>
      <c r="D30" s="20"/>
      <c r="E30" s="37"/>
      <c r="F30" s="20">
        <f>7+1+1+147+53+50+162+107+154+157+5</f>
        <v>844</v>
      </c>
      <c r="G30" s="20">
        <f>May!G30+F30</f>
        <v>4620</v>
      </c>
      <c r="H30" s="20"/>
      <c r="I30" s="20">
        <f>May!I30+H30</f>
        <v>0</v>
      </c>
      <c r="J30" s="20"/>
      <c r="K30" s="20"/>
      <c r="L30" s="20">
        <f>May!L30+K30</f>
        <v>2471</v>
      </c>
      <c r="M30" s="20"/>
      <c r="N30" s="20">
        <f>May!N30+M30</f>
        <v>0</v>
      </c>
      <c r="O30" s="2"/>
      <c r="P30" s="2">
        <f>51</f>
        <v>51</v>
      </c>
    </row>
    <row r="31" spans="1:16" ht="18" customHeight="1">
      <c r="A31" s="2" t="s">
        <v>29</v>
      </c>
      <c r="B31" s="20">
        <f>25+172+66+144+49+93+126+43+123+183+190</f>
        <v>1214</v>
      </c>
      <c r="C31" s="20">
        <f>May!C31+B31</f>
        <v>24152</v>
      </c>
      <c r="D31" s="20"/>
      <c r="E31" s="37"/>
      <c r="F31" s="20">
        <f>1+2460+3+2+15+64+2</f>
        <v>2547</v>
      </c>
      <c r="G31" s="20">
        <f>May!G31+F31</f>
        <v>6278</v>
      </c>
      <c r="H31" s="20">
        <f>6</f>
        <v>6</v>
      </c>
      <c r="I31" s="20">
        <f>May!I31+H31</f>
        <v>273</v>
      </c>
      <c r="J31" s="20">
        <f>2+3+5+2+1+1+2+9+2+1+1+11+1+1+8+2+2+1+34</f>
        <v>89</v>
      </c>
      <c r="K31" s="20">
        <f>27+7+11+11+8+2+11+7</f>
        <v>84</v>
      </c>
      <c r="L31" s="20">
        <f>May!L31+K31</f>
        <v>505</v>
      </c>
      <c r="M31" s="20">
        <f>4</f>
        <v>4</v>
      </c>
      <c r="N31" s="20">
        <f>May!N31+M31</f>
        <v>99</v>
      </c>
      <c r="O31" s="2"/>
      <c r="P31" s="2"/>
    </row>
    <row r="32" spans="1:16" ht="18" customHeight="1">
      <c r="A32" s="2" t="s">
        <v>30</v>
      </c>
      <c r="B32" s="20"/>
      <c r="C32" s="20">
        <f>May!C32+B32</f>
        <v>0</v>
      </c>
      <c r="D32" s="20"/>
      <c r="E32" s="37"/>
      <c r="F32" s="20"/>
      <c r="G32" s="20">
        <f>May!G32+F32</f>
        <v>56</v>
      </c>
      <c r="H32" s="20"/>
      <c r="I32" s="20">
        <f>May!I32+H32</f>
        <v>60</v>
      </c>
      <c r="J32" s="20"/>
      <c r="K32" s="20"/>
      <c r="L32" s="20">
        <f>May!L32+K32</f>
        <v>0</v>
      </c>
      <c r="M32" s="20"/>
      <c r="N32" s="20">
        <f>May!N32+M32</f>
        <v>0</v>
      </c>
      <c r="O32" s="2"/>
      <c r="P32" s="2"/>
    </row>
    <row r="33" spans="1:16" ht="18" customHeight="1">
      <c r="A33" s="2" t="s">
        <v>31</v>
      </c>
      <c r="B33" s="20"/>
      <c r="C33" s="20">
        <f>May!C33+B33</f>
        <v>0</v>
      </c>
      <c r="D33" s="20"/>
      <c r="E33" s="37"/>
      <c r="F33" s="20"/>
      <c r="G33" s="20">
        <f>May!G33+F33</f>
        <v>0</v>
      </c>
      <c r="H33" s="20"/>
      <c r="I33" s="20">
        <f>May!I33+H33</f>
        <v>0</v>
      </c>
      <c r="J33" s="20"/>
      <c r="K33" s="20"/>
      <c r="L33" s="20">
        <f>May!L33+K33</f>
        <v>0</v>
      </c>
      <c r="M33" s="20"/>
      <c r="N33" s="20">
        <f>May!N33+M33</f>
        <v>0</v>
      </c>
      <c r="O33" s="2"/>
      <c r="P33" s="2"/>
    </row>
    <row r="34" spans="1:16" ht="18" customHeight="1">
      <c r="A34" s="2" t="s">
        <v>32</v>
      </c>
      <c r="B34" s="20"/>
      <c r="C34" s="20">
        <f>May!C34+B34</f>
        <v>0</v>
      </c>
      <c r="D34" s="20"/>
      <c r="E34" s="37"/>
      <c r="F34" s="20"/>
      <c r="G34" s="20">
        <f>May!G34+F34</f>
        <v>0</v>
      </c>
      <c r="H34" s="20"/>
      <c r="I34" s="20">
        <f>May!I34+H34</f>
        <v>0</v>
      </c>
      <c r="J34" s="20"/>
      <c r="K34" s="20"/>
      <c r="L34" s="20">
        <f>May!L34+K34</f>
        <v>0</v>
      </c>
      <c r="M34" s="20"/>
      <c r="N34" s="20">
        <f>May!N34+M34</f>
        <v>0</v>
      </c>
      <c r="O34" s="2"/>
      <c r="P34" s="2"/>
    </row>
    <row r="35" spans="1:16" ht="18" customHeight="1">
      <c r="A35" s="2" t="s">
        <v>33</v>
      </c>
      <c r="B35" s="20"/>
      <c r="C35" s="20">
        <f>May!C35+B35</f>
        <v>1421</v>
      </c>
      <c r="D35" s="20"/>
      <c r="E35" s="37"/>
      <c r="F35" s="20"/>
      <c r="G35" s="20">
        <f>May!G35+F35</f>
        <v>5</v>
      </c>
      <c r="H35" s="20"/>
      <c r="I35" s="20">
        <f>May!I35+H35</f>
        <v>682</v>
      </c>
      <c r="J35" s="20"/>
      <c r="K35" s="20"/>
      <c r="L35" s="20">
        <f>May!L35+K35</f>
        <v>3</v>
      </c>
      <c r="M35" s="20"/>
      <c r="N35" s="20">
        <f>May!N35+M35</f>
        <v>0</v>
      </c>
      <c r="O35" s="2"/>
      <c r="P35" s="2"/>
    </row>
    <row r="36" spans="1:16" ht="18" customHeight="1">
      <c r="A36" s="2" t="s">
        <v>34</v>
      </c>
      <c r="B36" s="20"/>
      <c r="C36" s="20">
        <f>May!C36+B36</f>
        <v>0</v>
      </c>
      <c r="D36" s="20"/>
      <c r="E36" s="37"/>
      <c r="F36" s="20"/>
      <c r="G36" s="20">
        <f>May!G36+F36</f>
        <v>0</v>
      </c>
      <c r="H36" s="20">
        <f>120</f>
        <v>120</v>
      </c>
      <c r="I36" s="20">
        <f>May!I36+H36</f>
        <v>558</v>
      </c>
      <c r="J36" s="20"/>
      <c r="K36" s="20"/>
      <c r="L36" s="20">
        <f>May!L36+K36</f>
        <v>0</v>
      </c>
      <c r="M36" s="20"/>
      <c r="N36" s="20">
        <f>May!N36+M36</f>
        <v>0</v>
      </c>
      <c r="O36" s="2"/>
      <c r="P36" s="2"/>
    </row>
    <row r="37" spans="1:16" ht="18" customHeight="1">
      <c r="A37" s="2" t="s">
        <v>35</v>
      </c>
      <c r="B37" s="20"/>
      <c r="C37" s="20">
        <f>May!C37+B37</f>
        <v>366</v>
      </c>
      <c r="D37" s="20"/>
      <c r="E37" s="37"/>
      <c r="F37" s="20"/>
      <c r="G37" s="20">
        <f>May!G37+F37</f>
        <v>1</v>
      </c>
      <c r="H37" s="20"/>
      <c r="I37" s="20">
        <f>May!I37+H37</f>
        <v>47</v>
      </c>
      <c r="J37" s="20"/>
      <c r="K37" s="20"/>
      <c r="L37" s="20">
        <f>May!L37+K37</f>
        <v>0</v>
      </c>
      <c r="M37" s="20"/>
      <c r="N37" s="20">
        <f>May!N37+M37</f>
        <v>0</v>
      </c>
      <c r="O37" s="2"/>
      <c r="P37" s="2"/>
    </row>
    <row r="38" spans="1:16" ht="18" customHeight="1">
      <c r="A38" s="2" t="s">
        <v>36</v>
      </c>
      <c r="B38" s="20">
        <f>230+220+200+73+100+57+77+60+89+168+290+73+168+72+72+80+270</f>
        <v>2299</v>
      </c>
      <c r="C38" s="20">
        <f>May!C38+B38</f>
        <v>38254</v>
      </c>
      <c r="D38" s="20"/>
      <c r="E38" s="37" t="s">
        <v>65</v>
      </c>
      <c r="F38" s="20">
        <f>1+1+3</f>
        <v>5</v>
      </c>
      <c r="G38" s="20">
        <f>May!G38+F38</f>
        <v>891</v>
      </c>
      <c r="H38" s="20">
        <f>1</f>
        <v>1</v>
      </c>
      <c r="I38" s="20">
        <f>May!I38+H38</f>
        <v>1</v>
      </c>
      <c r="J38" s="20"/>
      <c r="K38" s="20"/>
      <c r="L38" s="20">
        <f>May!L38+K38</f>
        <v>2179</v>
      </c>
      <c r="M38" s="20"/>
      <c r="N38" s="20">
        <f>May!N38+M38</f>
        <v>8</v>
      </c>
      <c r="O38" s="2"/>
      <c r="P38" s="2"/>
    </row>
    <row r="39" spans="1:16" ht="18" customHeight="1">
      <c r="A39" s="2" t="s">
        <v>37</v>
      </c>
      <c r="B39" s="20">
        <f>150</f>
        <v>150</v>
      </c>
      <c r="C39" s="20">
        <f>May!C39+B39</f>
        <v>4223</v>
      </c>
      <c r="D39" s="20"/>
      <c r="E39" s="37"/>
      <c r="F39" s="20"/>
      <c r="G39" s="20">
        <f>May!G39+F39</f>
        <v>35</v>
      </c>
      <c r="H39" s="20"/>
      <c r="I39" s="20">
        <f>May!I39+H39</f>
        <v>528</v>
      </c>
      <c r="J39" s="20"/>
      <c r="K39" s="20"/>
      <c r="L39" s="20">
        <f>May!L39+K39</f>
        <v>15</v>
      </c>
      <c r="M39" s="20"/>
      <c r="N39" s="20">
        <f>May!N39+M39</f>
        <v>0</v>
      </c>
      <c r="O39" s="2"/>
      <c r="P39" s="2"/>
    </row>
    <row r="40" spans="1:16" ht="18" customHeight="1">
      <c r="A40" s="2" t="s">
        <v>38</v>
      </c>
      <c r="B40" s="20">
        <f>62+120+8</f>
        <v>190</v>
      </c>
      <c r="C40" s="20">
        <f>May!C40+B40</f>
        <v>2557</v>
      </c>
      <c r="D40" s="20"/>
      <c r="E40" s="37"/>
      <c r="F40" s="20">
        <f>10+1+1+70+4</f>
        <v>86</v>
      </c>
      <c r="G40" s="20">
        <f>May!G40+F40</f>
        <v>148</v>
      </c>
      <c r="H40" s="20"/>
      <c r="I40" s="20">
        <f>May!I40+H40</f>
        <v>14</v>
      </c>
      <c r="J40" s="20">
        <f>2+1+1+9+1</f>
        <v>14</v>
      </c>
      <c r="K40" s="20">
        <f>10+7+5+10+8</f>
        <v>40</v>
      </c>
      <c r="L40" s="20">
        <f>May!L40+K40</f>
        <v>65</v>
      </c>
      <c r="M40" s="20"/>
      <c r="N40" s="20">
        <f>May!N40+M40</f>
        <v>1</v>
      </c>
      <c r="O40" s="2"/>
      <c r="P40" s="2"/>
    </row>
    <row r="41" spans="1:16" ht="18" customHeight="1">
      <c r="A41" s="2" t="s">
        <v>39</v>
      </c>
      <c r="B41" s="20"/>
      <c r="C41" s="20">
        <f>May!C41+B41</f>
        <v>384</v>
      </c>
      <c r="D41" s="20"/>
      <c r="E41" s="37"/>
      <c r="F41" s="20"/>
      <c r="G41" s="20">
        <f>May!G41+F41</f>
        <v>2</v>
      </c>
      <c r="H41" s="20"/>
      <c r="I41" s="20">
        <f>May!I41+H41</f>
        <v>0</v>
      </c>
      <c r="J41" s="20"/>
      <c r="K41" s="20">
        <f>4+1</f>
        <v>5</v>
      </c>
      <c r="L41" s="20">
        <f>May!L41+K41</f>
        <v>5</v>
      </c>
      <c r="M41" s="20"/>
      <c r="N41" s="20">
        <f>May!N41+M41</f>
        <v>0</v>
      </c>
      <c r="O41" s="2"/>
      <c r="P41" s="2"/>
    </row>
    <row r="42" spans="1:16" ht="18" customHeight="1">
      <c r="A42" s="2" t="s">
        <v>40</v>
      </c>
      <c r="B42" s="20">
        <f>100</f>
        <v>100</v>
      </c>
      <c r="C42" s="20">
        <f>May!C42+B42</f>
        <v>460</v>
      </c>
      <c r="D42" s="20"/>
      <c r="E42" s="37"/>
      <c r="F42" s="20"/>
      <c r="G42" s="20">
        <f>May!G42+F42</f>
        <v>167</v>
      </c>
      <c r="H42" s="20">
        <f>1+1</f>
        <v>2</v>
      </c>
      <c r="I42" s="20">
        <f>May!I42+H42</f>
        <v>248</v>
      </c>
      <c r="J42" s="20"/>
      <c r="K42" s="20"/>
      <c r="L42" s="20">
        <f>May!L42+K42</f>
        <v>0</v>
      </c>
      <c r="M42" s="20"/>
      <c r="N42" s="20">
        <f>May!N42+M42</f>
        <v>0</v>
      </c>
      <c r="O42" s="2"/>
      <c r="P42" s="2"/>
    </row>
    <row r="43" spans="1:16" ht="18" customHeight="1">
      <c r="A43" s="2" t="s">
        <v>41</v>
      </c>
      <c r="B43" s="20"/>
      <c r="C43" s="20">
        <f>May!C43+B43</f>
        <v>0</v>
      </c>
      <c r="D43" s="20"/>
      <c r="E43" s="37"/>
      <c r="F43" s="20"/>
      <c r="G43" s="20">
        <f>May!G43+F43</f>
        <v>0</v>
      </c>
      <c r="H43" s="20"/>
      <c r="I43" s="20">
        <f>May!I43+H43</f>
        <v>0</v>
      </c>
      <c r="J43" s="20"/>
      <c r="K43" s="20"/>
      <c r="L43" s="20">
        <f>May!L43+K43</f>
        <v>0</v>
      </c>
      <c r="M43" s="20"/>
      <c r="N43" s="20">
        <f>May!N43+M43</f>
        <v>0</v>
      </c>
      <c r="O43" s="2"/>
      <c r="P43" s="2"/>
    </row>
    <row r="44" spans="1:16" ht="18" customHeight="1">
      <c r="A44" s="2" t="s">
        <v>42</v>
      </c>
      <c r="B44" s="20"/>
      <c r="C44" s="20">
        <f>May!C44+B44</f>
        <v>2139</v>
      </c>
      <c r="D44" s="20"/>
      <c r="E44" s="37"/>
      <c r="F44" s="20"/>
      <c r="G44" s="20">
        <f>May!G44+F44</f>
        <v>0</v>
      </c>
      <c r="H44" s="20"/>
      <c r="I44" s="20">
        <f>May!I44+H44</f>
        <v>0</v>
      </c>
      <c r="J44" s="20">
        <f>3</f>
        <v>3</v>
      </c>
      <c r="K44" s="20"/>
      <c r="L44" s="20">
        <f>May!L44+K44</f>
        <v>0</v>
      </c>
      <c r="M44" s="20"/>
      <c r="N44" s="20">
        <f>May!N44+M44</f>
        <v>0</v>
      </c>
      <c r="O44" s="2"/>
      <c r="P44" s="2"/>
    </row>
    <row r="45" spans="1:16" ht="18" customHeight="1">
      <c r="A45" s="2" t="s">
        <v>43</v>
      </c>
      <c r="B45" s="20">
        <f>54+85+63+79+76+17+14+30+9+15+64+63+15+47+55+21+49+122+364+95+52+94+28+10+55+8+14+5+105+298+75+98+79+45+56+34+12+10+35+3+54+8+117+23+7+102+14+7+4+2+19+80+6+7+7+10+5+10+24+2+17+4+75+4+39+153+149+54+12+10+35+25+2+6+4+91+110+24+1+67+55+83+105+15+20+10+26+6+29+19+65+13+1+23+5+11+115+9</f>
        <v>4453</v>
      </c>
      <c r="C45" s="20">
        <f>May!C45+B45</f>
        <v>135728</v>
      </c>
      <c r="D45" s="20"/>
      <c r="E45" s="37"/>
      <c r="F45" s="20">
        <f>5+169+10+34+10+2+2+14+3+2+6+18+1+3+1+2</f>
        <v>282</v>
      </c>
      <c r="G45" s="20">
        <f>May!G45+F45</f>
        <v>4502</v>
      </c>
      <c r="H45" s="20">
        <f>5</f>
        <v>5</v>
      </c>
      <c r="I45" s="20">
        <f>May!I45+H45</f>
        <v>695</v>
      </c>
      <c r="J45" s="20">
        <f>1+2+1+1</f>
        <v>5</v>
      </c>
      <c r="K45" s="20">
        <f>2+110+52+12+4+262+50+3+43+14+48+105+177+7+107+50+4+43+189+9+4+18+24+22+5+204+5</f>
        <v>1573</v>
      </c>
      <c r="L45" s="20">
        <f>May!L45+K45</f>
        <v>9664</v>
      </c>
      <c r="M45" s="20">
        <f>1+74+10+4</f>
        <v>89</v>
      </c>
      <c r="N45" s="20">
        <f>May!N45+M45</f>
        <v>610</v>
      </c>
      <c r="O45" s="2"/>
      <c r="P45" s="2"/>
    </row>
    <row r="46" spans="1:16" ht="18" customHeight="1">
      <c r="A46" s="2" t="s">
        <v>44</v>
      </c>
      <c r="B46" s="20">
        <f>100+52+111+114+67+92+92+117+98+59+125+106</f>
        <v>1133</v>
      </c>
      <c r="C46" s="20">
        <f>May!C46+B46</f>
        <v>8117</v>
      </c>
      <c r="D46" s="20"/>
      <c r="E46" s="37"/>
      <c r="F46" s="20"/>
      <c r="G46" s="20">
        <f>May!G46+F46</f>
        <v>24</v>
      </c>
      <c r="H46" s="20"/>
      <c r="I46" s="20">
        <f>May!I46+H46</f>
        <v>1</v>
      </c>
      <c r="J46" s="20">
        <f>7+3</f>
        <v>10</v>
      </c>
      <c r="K46" s="20"/>
      <c r="L46" s="20">
        <f>May!L46+K46</f>
        <v>0</v>
      </c>
      <c r="M46" s="20"/>
      <c r="N46" s="20">
        <f>May!N46+M46</f>
        <v>0</v>
      </c>
      <c r="O46" s="2"/>
      <c r="P46" s="2"/>
    </row>
    <row r="47" spans="1:16" ht="18" customHeight="1">
      <c r="A47" s="2" t="s">
        <v>45</v>
      </c>
      <c r="B47" s="20">
        <f>135+100+150+118+118+170+62+120+202</f>
        <v>1175</v>
      </c>
      <c r="C47" s="20">
        <f>May!C47+B47</f>
        <v>6250</v>
      </c>
      <c r="D47" s="20"/>
      <c r="E47" s="37"/>
      <c r="F47" s="20">
        <f>1+3+1+2</f>
        <v>7</v>
      </c>
      <c r="G47" s="20">
        <f>May!G47+F47</f>
        <v>29</v>
      </c>
      <c r="H47" s="20">
        <f>333+9</f>
        <v>342</v>
      </c>
      <c r="I47" s="20">
        <f>May!I47+H47</f>
        <v>5173</v>
      </c>
      <c r="J47" s="20">
        <f>1+2+1+1+1+3+1</f>
        <v>10</v>
      </c>
      <c r="K47" s="20">
        <f>625</f>
        <v>625</v>
      </c>
      <c r="L47" s="20">
        <f>May!L47+K47</f>
        <v>628</v>
      </c>
      <c r="M47" s="20"/>
      <c r="N47" s="20">
        <f>May!N47+M47</f>
        <v>0</v>
      </c>
      <c r="O47" s="2"/>
      <c r="P47" s="2"/>
    </row>
    <row r="48" spans="1:16" ht="18" customHeight="1">
      <c r="A48" s="2" t="s">
        <v>46</v>
      </c>
      <c r="B48" s="20"/>
      <c r="C48" s="20">
        <f>May!C48+B48</f>
        <v>135</v>
      </c>
      <c r="D48" s="20"/>
      <c r="E48" s="37"/>
      <c r="F48" s="20"/>
      <c r="G48" s="20">
        <f>May!G48+F48</f>
        <v>7</v>
      </c>
      <c r="H48" s="20"/>
      <c r="I48" s="20">
        <f>May!I48+H48</f>
        <v>1</v>
      </c>
      <c r="J48" s="20"/>
      <c r="K48" s="20"/>
      <c r="L48" s="20">
        <f>May!L48+K48</f>
        <v>0</v>
      </c>
      <c r="M48" s="20"/>
      <c r="N48" s="20">
        <f>May!N48+M48</f>
        <v>0</v>
      </c>
      <c r="O48" s="2"/>
      <c r="P48" s="2"/>
    </row>
    <row r="49" spans="1:16" ht="18" customHeight="1">
      <c r="A49" s="2" t="s">
        <v>47</v>
      </c>
      <c r="B49" s="20"/>
      <c r="C49" s="20">
        <f>May!C49+B49</f>
        <v>0</v>
      </c>
      <c r="D49" s="20"/>
      <c r="E49" s="37"/>
      <c r="F49" s="20"/>
      <c r="G49" s="20">
        <f>May!G49+F49</f>
        <v>0</v>
      </c>
      <c r="H49" s="20"/>
      <c r="I49" s="20">
        <f>May!I49+H49</f>
        <v>4</v>
      </c>
      <c r="J49" s="20"/>
      <c r="K49" s="20"/>
      <c r="L49" s="20">
        <f>May!L49+K49</f>
        <v>0</v>
      </c>
      <c r="M49" s="20"/>
      <c r="N49" s="20">
        <f>May!N49+M49</f>
        <v>0</v>
      </c>
      <c r="O49" s="2"/>
      <c r="P49" s="2"/>
    </row>
    <row r="50" spans="1:16" ht="18" customHeight="1">
      <c r="A50" s="2" t="s">
        <v>48</v>
      </c>
      <c r="B50" s="20">
        <f>62+108+109+94</f>
        <v>373</v>
      </c>
      <c r="C50" s="20">
        <f>May!C50+B50</f>
        <v>3849</v>
      </c>
      <c r="D50" s="20"/>
      <c r="E50" s="37"/>
      <c r="F50" s="20"/>
      <c r="G50" s="20">
        <f>May!G50+F50</f>
        <v>1</v>
      </c>
      <c r="H50" s="20"/>
      <c r="I50" s="20">
        <f>May!I50+H50</f>
        <v>0</v>
      </c>
      <c r="J50" s="20"/>
      <c r="K50" s="20"/>
      <c r="L50" s="20">
        <f>May!L50+K50</f>
        <v>2</v>
      </c>
      <c r="M50" s="20"/>
      <c r="N50" s="20">
        <f>May!N50+M50</f>
        <v>0</v>
      </c>
      <c r="O50" s="2"/>
      <c r="P50" s="2"/>
    </row>
    <row r="51" spans="1:16" ht="18" customHeight="1">
      <c r="A51" s="2" t="s">
        <v>49</v>
      </c>
      <c r="B51" s="20">
        <f>300+160</f>
        <v>460</v>
      </c>
      <c r="C51" s="20">
        <f>May!C51+B51</f>
        <v>3308</v>
      </c>
      <c r="D51" s="20"/>
      <c r="E51" s="37"/>
      <c r="F51" s="20"/>
      <c r="G51" s="20">
        <f>May!G51+F51</f>
        <v>0</v>
      </c>
      <c r="H51" s="20"/>
      <c r="I51" s="20">
        <f>May!I51+H51</f>
        <v>47</v>
      </c>
      <c r="J51" s="20"/>
      <c r="K51" s="20"/>
      <c r="L51" s="20">
        <f>May!L51+K51</f>
        <v>0</v>
      </c>
      <c r="M51" s="20"/>
      <c r="N51" s="20">
        <f>May!N51+M51</f>
        <v>1</v>
      </c>
      <c r="O51" s="2"/>
      <c r="P51" s="2"/>
    </row>
    <row r="52" spans="1:16" ht="18" customHeight="1">
      <c r="A52" s="2" t="s">
        <v>50</v>
      </c>
      <c r="B52" s="20">
        <f>100+93+65</f>
        <v>258</v>
      </c>
      <c r="C52" s="20">
        <f>May!C52+B52</f>
        <v>3152</v>
      </c>
      <c r="D52" s="20"/>
      <c r="E52" s="37"/>
      <c r="F52" s="20"/>
      <c r="G52" s="20">
        <f>May!G52+F52</f>
        <v>64</v>
      </c>
      <c r="H52" s="20"/>
      <c r="I52" s="20">
        <f>May!I52+H52</f>
        <v>0</v>
      </c>
      <c r="J52" s="20"/>
      <c r="K52" s="20"/>
      <c r="L52" s="20">
        <f>May!L52+K52</f>
        <v>0</v>
      </c>
      <c r="M52" s="20"/>
      <c r="N52" s="20">
        <f>May!N52+M52</f>
        <v>0</v>
      </c>
      <c r="O52" s="2"/>
      <c r="P52" s="2"/>
    </row>
    <row r="53" spans="1:16" ht="18" customHeight="1">
      <c r="A53" s="2" t="s">
        <v>67</v>
      </c>
      <c r="B53" s="20">
        <f>24+16+14+32+25+12+2+4+1+10+22+40+2+1+16+40+100+17+25+4</f>
        <v>407</v>
      </c>
      <c r="C53" s="20">
        <f>May!C53+B53</f>
        <v>14518</v>
      </c>
      <c r="D53" s="20"/>
      <c r="E53" s="37" t="s">
        <v>65</v>
      </c>
      <c r="F53" s="20">
        <f>150+8+1+3+2+1</f>
        <v>165</v>
      </c>
      <c r="G53" s="20">
        <f>May!G53+F53</f>
        <v>531</v>
      </c>
      <c r="H53" s="20">
        <f>4+4+1+5+1+40+14+10+22+30+1+1+1+1+2+1+1+1+1+22+4+2+1+10+13+97</f>
        <v>290</v>
      </c>
      <c r="I53" s="20">
        <f>May!I53+H53</f>
        <v>2747</v>
      </c>
      <c r="J53" s="20">
        <f>2+5+6+4+3+1+1+2+1+1+2+2+2+4+1+1+2+1+4+2+42</f>
        <v>89</v>
      </c>
      <c r="K53" s="20">
        <f>6</f>
        <v>6</v>
      </c>
      <c r="L53" s="20">
        <f>May!L53+K53</f>
        <v>39</v>
      </c>
      <c r="M53" s="20">
        <f>2</f>
        <v>2</v>
      </c>
      <c r="N53" s="20">
        <f>May!N53+M53</f>
        <v>6</v>
      </c>
      <c r="O53" s="2"/>
      <c r="P53" s="2"/>
    </row>
    <row r="54" spans="1:16" ht="18" customHeight="1" thickBot="1">
      <c r="A54" s="3" t="s">
        <v>51</v>
      </c>
      <c r="B54" s="21"/>
      <c r="C54" s="21">
        <f>May!C54+B54</f>
        <v>2787</v>
      </c>
      <c r="D54" s="21"/>
      <c r="E54" s="38"/>
      <c r="F54" s="21">
        <f>39+46+53+2</f>
        <v>140</v>
      </c>
      <c r="G54" s="21">
        <f>May!G54+F54</f>
        <v>784</v>
      </c>
      <c r="H54" s="21"/>
      <c r="I54" s="21">
        <f>May!I54+H54</f>
        <v>0</v>
      </c>
      <c r="J54" s="21">
        <f>2+1+1+1+1+1</f>
        <v>7</v>
      </c>
      <c r="K54" s="21"/>
      <c r="L54" s="21">
        <f>May!L54+K54</f>
        <v>51</v>
      </c>
      <c r="M54" s="21"/>
      <c r="N54" s="21">
        <f>May!N54+M54</f>
        <v>57</v>
      </c>
      <c r="O54" s="3"/>
      <c r="P54" s="3"/>
    </row>
    <row r="55" spans="1:16" ht="18" customHeight="1" thickBot="1" thickTop="1">
      <c r="A55" s="1" t="s">
        <v>52</v>
      </c>
      <c r="B55" s="22">
        <f aca="true" t="shared" si="0" ref="B55:P55">SUM(B5:B54)</f>
        <v>29237</v>
      </c>
      <c r="C55" s="22"/>
      <c r="D55" s="22">
        <f t="shared" si="0"/>
        <v>0</v>
      </c>
      <c r="E55" s="22">
        <f t="shared" si="0"/>
        <v>0</v>
      </c>
      <c r="F55" s="22">
        <f>SUM(F5:F54)</f>
        <v>4296</v>
      </c>
      <c r="G55" s="22"/>
      <c r="H55" s="22">
        <f t="shared" si="0"/>
        <v>1476</v>
      </c>
      <c r="I55" s="22"/>
      <c r="J55" s="22">
        <f t="shared" si="0"/>
        <v>480</v>
      </c>
      <c r="K55" s="22">
        <f t="shared" si="0"/>
        <v>2397</v>
      </c>
      <c r="L55" s="22"/>
      <c r="M55" s="22">
        <f t="shared" si="0"/>
        <v>111</v>
      </c>
      <c r="N55" s="22"/>
      <c r="O55" s="1">
        <f t="shared" si="0"/>
        <v>0</v>
      </c>
      <c r="P55" s="1">
        <f t="shared" si="0"/>
        <v>51</v>
      </c>
    </row>
    <row r="56" spans="1:16" ht="18" customHeight="1" thickBot="1" thickTop="1">
      <c r="A56" s="1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</row>
    <row r="57" spans="1:16" ht="18" customHeight="1" thickBot="1" thickTop="1">
      <c r="A57" s="12" t="s">
        <v>53</v>
      </c>
      <c r="B57" s="22"/>
      <c r="C57" s="22">
        <f>May!C57+B55</f>
        <v>451467</v>
      </c>
      <c r="D57" s="22">
        <f>May!D57+D55</f>
        <v>100</v>
      </c>
      <c r="E57" s="22">
        <f>May!E57+E55</f>
        <v>0</v>
      </c>
      <c r="F57" s="39"/>
      <c r="G57" s="22">
        <f>May!G57+F55</f>
        <v>20764</v>
      </c>
      <c r="H57" s="22"/>
      <c r="I57" s="22">
        <f>May!I57+H55</f>
        <v>18257</v>
      </c>
      <c r="J57" s="22">
        <f>May!J57+J55</f>
        <v>3445</v>
      </c>
      <c r="K57" s="22"/>
      <c r="L57" s="22">
        <f>May!L57+K55</f>
        <v>16268</v>
      </c>
      <c r="M57" s="22"/>
      <c r="N57" s="22">
        <f>May!N57+M55</f>
        <v>918</v>
      </c>
      <c r="O57" s="1">
        <f>May!O57+O55</f>
        <v>114</v>
      </c>
      <c r="P57" s="1">
        <f>May!P57+P55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f>362+675+75+300+300</f>
        <v>1712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May!G62+F60</f>
        <v>6395</v>
      </c>
      <c r="I62" s="5">
        <f>May!I62+H60</f>
        <v>14570</v>
      </c>
    </row>
    <row r="63" ht="18" customHeight="1">
      <c r="F63" s="24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B1">
      <pane ySplit="4" topLeftCell="BM33" activePane="bottomLeft" state="frozen"/>
      <selection pane="topLeft" activeCell="A1" sqref="A1"/>
      <selection pane="bottomLeft" activeCell="J56" sqref="J56"/>
    </sheetView>
  </sheetViews>
  <sheetFormatPr defaultColWidth="9.00390625" defaultRowHeight="15.75"/>
  <cols>
    <col min="1" max="1" width="18.125" style="5" customWidth="1"/>
    <col min="2" max="2" width="9.00390625" style="5" customWidth="1"/>
    <col min="3" max="3" width="8.375" style="5" bestFit="1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77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60" t="s">
        <v>55</v>
      </c>
      <c r="C3" s="62"/>
      <c r="D3" s="8" t="s">
        <v>56</v>
      </c>
      <c r="E3" s="8" t="s">
        <v>57</v>
      </c>
      <c r="F3" s="63" t="s">
        <v>58</v>
      </c>
      <c r="G3" s="64"/>
      <c r="H3" s="60" t="s">
        <v>59</v>
      </c>
      <c r="I3" s="62"/>
      <c r="J3" s="8" t="s">
        <v>60</v>
      </c>
      <c r="K3" s="60" t="s">
        <v>61</v>
      </c>
      <c r="L3" s="62"/>
      <c r="M3" s="60" t="s">
        <v>62</v>
      </c>
      <c r="N3" s="61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25" t="s">
        <v>2</v>
      </c>
      <c r="G4" s="25" t="s">
        <v>3</v>
      </c>
      <c r="H4" s="31" t="s">
        <v>2</v>
      </c>
      <c r="I4" s="31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f>75+66+77+79+60</f>
        <v>357</v>
      </c>
      <c r="C5" s="2">
        <f>June!C5+B5</f>
        <v>1129</v>
      </c>
      <c r="D5" s="2"/>
      <c r="E5" s="2"/>
      <c r="F5" s="26">
        <f>2+1+2</f>
        <v>5</v>
      </c>
      <c r="G5" s="26">
        <f>June!G5+F5</f>
        <v>7</v>
      </c>
      <c r="H5" s="32"/>
      <c r="I5" s="32">
        <f>June!I5+H5</f>
        <v>60</v>
      </c>
      <c r="J5" s="2">
        <f>1</f>
        <v>1</v>
      </c>
      <c r="K5" s="2"/>
      <c r="L5" s="2">
        <f>June!L5+K5</f>
        <v>0</v>
      </c>
      <c r="M5" s="2"/>
      <c r="N5" s="2">
        <f>June!N5+M5</f>
        <v>0</v>
      </c>
      <c r="O5" s="2"/>
      <c r="P5" s="2"/>
    </row>
    <row r="6" spans="1:16" ht="18" customHeight="1">
      <c r="A6" s="2" t="s">
        <v>5</v>
      </c>
      <c r="B6" s="2"/>
      <c r="C6" s="2">
        <f>June!C6+B6</f>
        <v>0</v>
      </c>
      <c r="D6" s="2"/>
      <c r="E6" s="2" t="s">
        <v>83</v>
      </c>
      <c r="F6" s="26"/>
      <c r="G6" s="26">
        <f>June!G6+F6</f>
        <v>0</v>
      </c>
      <c r="H6" s="32"/>
      <c r="I6" s="32">
        <f>June!I6+H6</f>
        <v>0</v>
      </c>
      <c r="J6" s="2"/>
      <c r="K6" s="2"/>
      <c r="L6" s="2">
        <f>June!L6+K6</f>
        <v>0</v>
      </c>
      <c r="M6" s="2"/>
      <c r="N6" s="2">
        <f>June!N6+M6</f>
        <v>0</v>
      </c>
      <c r="O6" s="2"/>
      <c r="P6" s="2"/>
    </row>
    <row r="7" spans="1:16" ht="18" customHeight="1">
      <c r="A7" s="2" t="s">
        <v>6</v>
      </c>
      <c r="B7" s="2"/>
      <c r="C7" s="2">
        <f>June!C7+B7</f>
        <v>0</v>
      </c>
      <c r="D7" s="2"/>
      <c r="E7" s="2"/>
      <c r="F7" s="26">
        <f>10</f>
        <v>10</v>
      </c>
      <c r="G7" s="26">
        <f>June!G7+F7</f>
        <v>21</v>
      </c>
      <c r="H7" s="32"/>
      <c r="I7" s="32">
        <f>June!I7+H7</f>
        <v>713</v>
      </c>
      <c r="J7" s="2">
        <f>4+1+8+1+1+1</f>
        <v>16</v>
      </c>
      <c r="K7" s="2"/>
      <c r="L7" s="2">
        <f>June!L7+K7</f>
        <v>1</v>
      </c>
      <c r="M7" s="2"/>
      <c r="N7" s="2">
        <f>June!N7+M7</f>
        <v>2</v>
      </c>
      <c r="O7" s="2"/>
      <c r="P7" s="2"/>
    </row>
    <row r="8" spans="1:16" ht="18" customHeight="1">
      <c r="A8" s="2" t="s">
        <v>7</v>
      </c>
      <c r="B8" s="2">
        <f>201+62+180+66+73+66+80+65+67+85+134+98+25+74</f>
        <v>1276</v>
      </c>
      <c r="C8" s="2">
        <f>June!C8+B8</f>
        <v>3150</v>
      </c>
      <c r="D8" s="2"/>
      <c r="E8" s="2"/>
      <c r="F8" s="26">
        <f>1+1+3+2+3+20</f>
        <v>30</v>
      </c>
      <c r="G8" s="26">
        <f>June!G8+F8</f>
        <v>42</v>
      </c>
      <c r="H8" s="32">
        <f>7</f>
        <v>7</v>
      </c>
      <c r="I8" s="32">
        <f>June!I8+H8</f>
        <v>46</v>
      </c>
      <c r="J8" s="2">
        <f>1+2+2+3+3+2+1+1+2</f>
        <v>17</v>
      </c>
      <c r="K8" s="2"/>
      <c r="L8" s="2">
        <f>June!L8+K8</f>
        <v>0</v>
      </c>
      <c r="M8" s="2"/>
      <c r="N8" s="2">
        <f>June!N8+M8</f>
        <v>0</v>
      </c>
      <c r="O8" s="2"/>
      <c r="P8" s="2"/>
    </row>
    <row r="9" spans="1:16" ht="18" customHeight="1">
      <c r="A9" s="2" t="s">
        <v>8</v>
      </c>
      <c r="B9" s="2">
        <f>40+26+44+88+14+93+45+93+70+93+37+13+106+145</f>
        <v>907</v>
      </c>
      <c r="C9" s="2">
        <f>June!C9+B9</f>
        <v>5342</v>
      </c>
      <c r="D9" s="2"/>
      <c r="E9" s="2"/>
      <c r="F9" s="26"/>
      <c r="G9" s="26">
        <f>June!G9+F9</f>
        <v>92</v>
      </c>
      <c r="H9" s="32"/>
      <c r="I9" s="32">
        <f>June!I9+H9</f>
        <v>4</v>
      </c>
      <c r="J9" s="2">
        <f>1+1</f>
        <v>2</v>
      </c>
      <c r="K9" s="2">
        <f>1</f>
        <v>1</v>
      </c>
      <c r="L9" s="2">
        <f>June!L9+K9</f>
        <v>13</v>
      </c>
      <c r="M9" s="2"/>
      <c r="N9" s="2">
        <f>June!N9+M9</f>
        <v>0</v>
      </c>
      <c r="O9" s="2"/>
      <c r="P9" s="2"/>
    </row>
    <row r="10" spans="1:16" ht="18" customHeight="1">
      <c r="A10" s="2" t="s">
        <v>10</v>
      </c>
      <c r="B10" s="2">
        <f>71+61+66+54+56+55+57+69+63+74+55+55</f>
        <v>736</v>
      </c>
      <c r="C10" s="2">
        <f>June!C10+B10</f>
        <v>3156</v>
      </c>
      <c r="D10" s="2"/>
      <c r="E10" s="2" t="s">
        <v>83</v>
      </c>
      <c r="F10" s="26">
        <f>3</f>
        <v>3</v>
      </c>
      <c r="G10" s="26">
        <f>June!G10+F10</f>
        <v>168</v>
      </c>
      <c r="H10" s="32">
        <f>1</f>
        <v>1</v>
      </c>
      <c r="I10" s="32">
        <f>June!I10+H10</f>
        <v>94</v>
      </c>
      <c r="J10" s="2">
        <f>2</f>
        <v>2</v>
      </c>
      <c r="K10" s="2"/>
      <c r="L10" s="2">
        <f>June!L10+K10</f>
        <v>0</v>
      </c>
      <c r="M10" s="2"/>
      <c r="N10" s="2">
        <f>June!N10+M10</f>
        <v>0</v>
      </c>
      <c r="O10" s="2">
        <f>56+3</f>
        <v>59</v>
      </c>
      <c r="P10" s="2"/>
    </row>
    <row r="11" spans="1:16" ht="18" customHeight="1">
      <c r="A11" s="2" t="s">
        <v>9</v>
      </c>
      <c r="B11" s="2">
        <f>190+102</f>
        <v>292</v>
      </c>
      <c r="C11" s="2">
        <f>June!C11+B11</f>
        <v>1998</v>
      </c>
      <c r="D11" s="2"/>
      <c r="E11" s="2"/>
      <c r="F11" s="26">
        <f>1+1+1+1+1+17+12+2+4+3+1+2+2+6+16</f>
        <v>70</v>
      </c>
      <c r="G11" s="26">
        <f>June!G11+F11</f>
        <v>343</v>
      </c>
      <c r="H11" s="32">
        <f>1+1+1</f>
        <v>3</v>
      </c>
      <c r="I11" s="32">
        <f>June!I11+H11</f>
        <v>737</v>
      </c>
      <c r="J11" s="2">
        <f>4+16</f>
        <v>20</v>
      </c>
      <c r="K11" s="2"/>
      <c r="L11" s="2">
        <f>June!L11+K11</f>
        <v>4</v>
      </c>
      <c r="M11" s="2"/>
      <c r="N11" s="2">
        <f>June!N11+M11</f>
        <v>3</v>
      </c>
      <c r="O11" s="2"/>
      <c r="P11" s="2"/>
    </row>
    <row r="12" spans="1:16" ht="18" customHeight="1">
      <c r="A12" s="2" t="s">
        <v>11</v>
      </c>
      <c r="B12" s="2"/>
      <c r="C12" s="2">
        <f>June!C12+B12</f>
        <v>0</v>
      </c>
      <c r="D12" s="2"/>
      <c r="E12" s="2"/>
      <c r="F12" s="26"/>
      <c r="G12" s="26">
        <f>June!G12+F12</f>
        <v>0</v>
      </c>
      <c r="H12" s="32"/>
      <c r="I12" s="32">
        <f>June!I12+H12</f>
        <v>0</v>
      </c>
      <c r="J12" s="2">
        <f>1</f>
        <v>1</v>
      </c>
      <c r="K12" s="2"/>
      <c r="L12" s="2">
        <f>June!L12+K12</f>
        <v>0</v>
      </c>
      <c r="M12" s="2"/>
      <c r="N12" s="2">
        <f>June!N12+M12</f>
        <v>0</v>
      </c>
      <c r="O12" s="2"/>
      <c r="P12" s="2"/>
    </row>
    <row r="13" spans="1:16" ht="18" customHeight="1">
      <c r="A13" s="2" t="s">
        <v>12</v>
      </c>
      <c r="B13" s="2"/>
      <c r="C13" s="2">
        <f>June!C13+B13</f>
        <v>0</v>
      </c>
      <c r="D13" s="2"/>
      <c r="E13" s="2"/>
      <c r="F13" s="26"/>
      <c r="G13" s="26">
        <f>June!G13+F13</f>
        <v>0</v>
      </c>
      <c r="H13" s="32"/>
      <c r="I13" s="32">
        <f>June!I13+H13</f>
        <v>0</v>
      </c>
      <c r="J13" s="2"/>
      <c r="K13" s="2"/>
      <c r="L13" s="2">
        <f>June!L13+K13</f>
        <v>0</v>
      </c>
      <c r="M13" s="2"/>
      <c r="N13" s="2">
        <f>June!N13+M13</f>
        <v>0</v>
      </c>
      <c r="O13" s="2"/>
      <c r="P13" s="2"/>
    </row>
    <row r="14" spans="1:16" ht="18" customHeight="1">
      <c r="A14" s="2" t="s">
        <v>13</v>
      </c>
      <c r="B14" s="2"/>
      <c r="C14" s="2">
        <f>June!C14+B14</f>
        <v>0</v>
      </c>
      <c r="D14" s="2"/>
      <c r="E14" s="2" t="s">
        <v>83</v>
      </c>
      <c r="F14" s="26"/>
      <c r="G14" s="26">
        <f>June!G14+F14</f>
        <v>43</v>
      </c>
      <c r="H14" s="32"/>
      <c r="I14" s="32">
        <f>June!I14+H14</f>
        <v>10</v>
      </c>
      <c r="J14" s="2">
        <f>1+2+1+2+2+1</f>
        <v>9</v>
      </c>
      <c r="K14" s="2"/>
      <c r="L14" s="2">
        <f>June!L14+K14</f>
        <v>0</v>
      </c>
      <c r="M14" s="2"/>
      <c r="N14" s="2">
        <f>June!N14+M14</f>
        <v>0</v>
      </c>
      <c r="O14" s="2"/>
      <c r="P14" s="2"/>
    </row>
    <row r="15" spans="1:16" ht="18" customHeight="1">
      <c r="A15" s="2" t="s">
        <v>14</v>
      </c>
      <c r="B15" s="2">
        <f>158+83+71+65+98+102+48+53+36+33+35+91+204+65+46+91+100+54</f>
        <v>1433</v>
      </c>
      <c r="C15" s="2">
        <f>June!C15+B15</f>
        <v>3254</v>
      </c>
      <c r="D15" s="2"/>
      <c r="E15" s="2"/>
      <c r="F15" s="26">
        <f>2</f>
        <v>2</v>
      </c>
      <c r="G15" s="26">
        <f>June!G15+F15</f>
        <v>37</v>
      </c>
      <c r="H15" s="32">
        <f>1</f>
        <v>1</v>
      </c>
      <c r="I15" s="32">
        <f>June!I15+H15</f>
        <v>2</v>
      </c>
      <c r="J15" s="2">
        <f>1</f>
        <v>1</v>
      </c>
      <c r="K15" s="2"/>
      <c r="L15" s="2">
        <f>June!L15+K15</f>
        <v>0</v>
      </c>
      <c r="M15" s="2"/>
      <c r="N15" s="2">
        <f>June!N15+M15</f>
        <v>0</v>
      </c>
      <c r="O15" s="2"/>
      <c r="P15" s="2"/>
    </row>
    <row r="16" spans="1:16" ht="18" customHeight="1">
      <c r="A16" s="2" t="s">
        <v>15</v>
      </c>
      <c r="B16" s="2"/>
      <c r="C16" s="2">
        <f>June!C16+B16</f>
        <v>0</v>
      </c>
      <c r="D16" s="2"/>
      <c r="E16" s="2"/>
      <c r="F16" s="26"/>
      <c r="G16" s="26">
        <f>June!G16+F16</f>
        <v>0</v>
      </c>
      <c r="H16" s="32"/>
      <c r="I16" s="32">
        <f>June!I16+H16</f>
        <v>0</v>
      </c>
      <c r="J16" s="2"/>
      <c r="K16" s="2"/>
      <c r="L16" s="2">
        <f>June!L16+K16</f>
        <v>0</v>
      </c>
      <c r="M16" s="2"/>
      <c r="N16" s="2">
        <f>June!N16+M16</f>
        <v>0</v>
      </c>
      <c r="O16" s="2"/>
      <c r="P16" s="2"/>
    </row>
    <row r="17" spans="1:16" ht="18" customHeight="1">
      <c r="A17" s="2" t="s">
        <v>16</v>
      </c>
      <c r="B17" s="2">
        <f>109+160+86+170+160</f>
        <v>685</v>
      </c>
      <c r="C17" s="2">
        <f>June!C17+B17</f>
        <v>8525</v>
      </c>
      <c r="D17" s="2"/>
      <c r="E17" s="2"/>
      <c r="F17" s="26"/>
      <c r="G17" s="26">
        <f>June!G17+F17</f>
        <v>131</v>
      </c>
      <c r="H17" s="32">
        <f>12+10</f>
        <v>22</v>
      </c>
      <c r="I17" s="32">
        <f>June!I17+H17</f>
        <v>82</v>
      </c>
      <c r="J17" s="2"/>
      <c r="K17" s="2"/>
      <c r="L17" s="2">
        <f>June!L17+K17</f>
        <v>0</v>
      </c>
      <c r="M17" s="2"/>
      <c r="N17" s="2">
        <f>June!N17+M17</f>
        <v>0</v>
      </c>
      <c r="O17" s="2"/>
      <c r="P17" s="2"/>
    </row>
    <row r="18" spans="1:16" ht="18" customHeight="1">
      <c r="A18" s="2" t="s">
        <v>17</v>
      </c>
      <c r="B18" s="2">
        <f>115+220+32+7+32+70+5</f>
        <v>481</v>
      </c>
      <c r="C18" s="2">
        <f>June!C18+B18</f>
        <v>3385</v>
      </c>
      <c r="D18" s="2"/>
      <c r="E18" s="2" t="s">
        <v>83</v>
      </c>
      <c r="F18" s="26">
        <f>8+5+1+1+2+5+2+1+1+1+2+1+4+1+1+1+1+2+4+2+1+3+1+3+3+1+4+1+1+1</f>
        <v>65</v>
      </c>
      <c r="G18" s="26">
        <f>June!G18+F18</f>
        <v>289</v>
      </c>
      <c r="H18" s="32">
        <f>5+1+1+3+4+2+15+1+10+10+4+3+1+1+35+3+3</f>
        <v>102</v>
      </c>
      <c r="I18" s="32">
        <f>June!I18+H18</f>
        <v>287</v>
      </c>
      <c r="J18" s="2">
        <f>2+1+1+3+2+1+1+3+1+1+1+2+1+1+1+2+3+2+1+1+1+3+4+2+2+1+1+1+4+1+2+21+2+3+1+2+2+1+1+1+4+3+3+1+1+1+1+5+1+30</f>
        <v>137</v>
      </c>
      <c r="K18" s="2">
        <f>7+15+4+2+9+5+1+1+10+23</f>
        <v>77</v>
      </c>
      <c r="L18" s="2">
        <f>June!L18+K18</f>
        <v>99</v>
      </c>
      <c r="M18" s="2">
        <f>9+17</f>
        <v>26</v>
      </c>
      <c r="N18" s="2">
        <f>June!N18+M18</f>
        <v>27</v>
      </c>
      <c r="O18" s="2"/>
      <c r="P18" s="2"/>
    </row>
    <row r="19" spans="1:16" ht="18" customHeight="1">
      <c r="A19" s="2" t="s">
        <v>18</v>
      </c>
      <c r="B19" s="2">
        <f>100+60+59+150+135+150+95+160+140+110+54+115+65+74</f>
        <v>1467</v>
      </c>
      <c r="C19" s="2">
        <f>June!C19+B19</f>
        <v>4124</v>
      </c>
      <c r="D19" s="2"/>
      <c r="E19" s="2"/>
      <c r="F19" s="26">
        <f>1+1+1+1+1+1+5+2+3+3+2+2+2</f>
        <v>25</v>
      </c>
      <c r="G19" s="26">
        <f>June!G19+F19</f>
        <v>29</v>
      </c>
      <c r="H19" s="32">
        <f>100+19+50+150+17+110+83+124+75+111+91+29+54</f>
        <v>1013</v>
      </c>
      <c r="I19" s="32">
        <f>June!I19+H19</f>
        <v>2302</v>
      </c>
      <c r="J19" s="2">
        <f>2+2+3+1+3+10+5</f>
        <v>26</v>
      </c>
      <c r="K19" s="2"/>
      <c r="L19" s="2">
        <f>June!L19+K19</f>
        <v>2</v>
      </c>
      <c r="M19" s="2"/>
      <c r="N19" s="2">
        <f>June!N19+M19</f>
        <v>0</v>
      </c>
      <c r="O19" s="2"/>
      <c r="P19" s="2"/>
    </row>
    <row r="20" spans="1:16" ht="18" customHeight="1">
      <c r="A20" s="2" t="s">
        <v>19</v>
      </c>
      <c r="B20" s="2">
        <f>70+63+67+60+70+70+77+68+138+55+74+60+97+68+62+63+26+122+130+148+63+67+28+181+128+117+60+140+60+286+80+240+60+183+183+183+128+69+58+66+153+127+130+62+62+62+62+310+69+141+60+215+132+477+72+72+120+300+60+240+100+893</f>
        <v>7887</v>
      </c>
      <c r="C20" s="2">
        <f>June!C20+B20</f>
        <v>20734</v>
      </c>
      <c r="D20" s="2">
        <f>5</f>
        <v>5</v>
      </c>
      <c r="E20" s="2" t="s">
        <v>83</v>
      </c>
      <c r="F20" s="26">
        <f>3+1+1+1+1+1+1+1+1+1+13+2+1+1+1+4+2+2+3+4+1+3+3+2+1+3+2+4+4+4</f>
        <v>72</v>
      </c>
      <c r="G20" s="26">
        <f>June!G20+F20</f>
        <v>333</v>
      </c>
      <c r="H20" s="32">
        <f>1+11+15+15+1+1</f>
        <v>44</v>
      </c>
      <c r="I20" s="32">
        <f>June!I20+H20</f>
        <v>406</v>
      </c>
      <c r="J20" s="2">
        <f>1+11+5+4+2+1+1+2+2+4+2+1+3+1+2+3+6+1+1+1+1+1+2+1+1+1+1+1</f>
        <v>63</v>
      </c>
      <c r="K20" s="2"/>
      <c r="L20" s="2">
        <f>June!L20+K20</f>
        <v>5</v>
      </c>
      <c r="M20" s="2"/>
      <c r="N20" s="2">
        <f>June!N20+M20</f>
        <v>0</v>
      </c>
      <c r="O20" s="2"/>
      <c r="P20" s="2"/>
    </row>
    <row r="21" spans="1:16" ht="18" customHeight="1">
      <c r="A21" s="2" t="s">
        <v>20</v>
      </c>
      <c r="B21" s="2">
        <f>80+116+48+70+131+19+29+22+25+12+10+62+76+119+123+259+113+20+40+48+11+65+70+60+79+57+57+70+133+166+167+81+48+70+5+78+40+20+76+89+62+56+52+73+65+250+220+104+58+92+81+110+450+101+320+260+100+260+300+88+86+60+61+198+155+100+116+57+60+57+70+55+48+31+60+60+90+56+85+160+265+79+140+63+63+70+15+62+116+142+133+150+122+112+65+66+195+57+69+138+62+62+74+250+81+80+81+65+60+141+57+56+65+108+132+65+56+7+75+108+88+240+165+99+57+81+97+90+185+63+99+86+153+57+72+91+54+102+61+60+60+450+85+90+99+64+74+120+130+55+88+230+98+61+191+119+64+77+58+66+180+60+62+68+64+56+116+210+134+67+90+30</f>
        <v>16854</v>
      </c>
      <c r="C21" s="2">
        <f>June!C21+B21</f>
        <v>58988</v>
      </c>
      <c r="D21" s="2"/>
      <c r="E21" s="2" t="s">
        <v>83</v>
      </c>
      <c r="F21" s="26">
        <f>48+2+4+5+4+1</f>
        <v>64</v>
      </c>
      <c r="G21" s="26">
        <f>June!G21+F21</f>
        <v>76</v>
      </c>
      <c r="H21" s="32">
        <f>130+158+88</f>
        <v>376</v>
      </c>
      <c r="I21" s="32">
        <f>June!I21+H21</f>
        <v>474</v>
      </c>
      <c r="J21" s="2">
        <f>4+1+1+1+2+1+1+1+2+2+2+1+1+3+1+3+2+4+2</f>
        <v>35</v>
      </c>
      <c r="K21" s="2"/>
      <c r="L21" s="2">
        <f>June!L21+K21</f>
        <v>0</v>
      </c>
      <c r="M21" s="2"/>
      <c r="N21" s="2">
        <f>June!N21+M21</f>
        <v>0</v>
      </c>
      <c r="O21" s="2"/>
      <c r="P21" s="2"/>
    </row>
    <row r="22" spans="1:16" ht="18" customHeight="1">
      <c r="A22" s="2" t="s">
        <v>21</v>
      </c>
      <c r="B22" s="2"/>
      <c r="C22" s="2">
        <f>June!C22+B22</f>
        <v>0</v>
      </c>
      <c r="D22" s="2"/>
      <c r="E22" s="2"/>
      <c r="F22" s="26"/>
      <c r="G22" s="26">
        <f>June!G22+F22</f>
        <v>2</v>
      </c>
      <c r="H22" s="32"/>
      <c r="I22" s="32">
        <f>June!I22+H22</f>
        <v>0</v>
      </c>
      <c r="J22" s="2"/>
      <c r="K22" s="2"/>
      <c r="L22" s="2">
        <f>June!L22+K22</f>
        <v>0</v>
      </c>
      <c r="M22" s="2"/>
      <c r="N22" s="2">
        <f>June!N22+M22</f>
        <v>0</v>
      </c>
      <c r="O22" s="2"/>
      <c r="P22" s="2"/>
    </row>
    <row r="23" spans="1:16" ht="18" customHeight="1">
      <c r="A23" s="2" t="s">
        <v>22</v>
      </c>
      <c r="B23" s="2"/>
      <c r="C23" s="2">
        <f>June!C23+B23</f>
        <v>0</v>
      </c>
      <c r="D23" s="2"/>
      <c r="E23" s="2"/>
      <c r="F23" s="26"/>
      <c r="G23" s="26">
        <f>June!G23+F23</f>
        <v>0</v>
      </c>
      <c r="H23" s="32"/>
      <c r="I23" s="32">
        <f>June!I23+H23</f>
        <v>0</v>
      </c>
      <c r="J23" s="2"/>
      <c r="K23" s="2"/>
      <c r="L23" s="2">
        <f>June!L23+K23</f>
        <v>0</v>
      </c>
      <c r="M23" s="2"/>
      <c r="N23" s="2">
        <f>June!N23+M23</f>
        <v>0</v>
      </c>
      <c r="O23" s="2"/>
      <c r="P23" s="2"/>
    </row>
    <row r="24" spans="1:16" ht="18" customHeight="1">
      <c r="A24" s="2" t="s">
        <v>23</v>
      </c>
      <c r="B24" s="2"/>
      <c r="C24" s="2">
        <f>June!C24+B24</f>
        <v>0</v>
      </c>
      <c r="D24" s="2"/>
      <c r="E24" s="2"/>
      <c r="F24" s="26"/>
      <c r="G24" s="26">
        <f>June!G24+F24</f>
        <v>0</v>
      </c>
      <c r="H24" s="32"/>
      <c r="I24" s="32">
        <f>June!I24+H24</f>
        <v>7</v>
      </c>
      <c r="J24" s="2"/>
      <c r="K24" s="2"/>
      <c r="L24" s="2">
        <f>June!L24+K24</f>
        <v>0</v>
      </c>
      <c r="M24" s="2"/>
      <c r="N24" s="2">
        <f>June!N24+M24</f>
        <v>0</v>
      </c>
      <c r="O24" s="2"/>
      <c r="P24" s="2"/>
    </row>
    <row r="25" spans="1:16" ht="18" customHeight="1">
      <c r="A25" s="2" t="s">
        <v>68</v>
      </c>
      <c r="B25" s="2"/>
      <c r="C25" s="2">
        <f>June!C25+B25</f>
        <v>0</v>
      </c>
      <c r="D25" s="2"/>
      <c r="E25" s="2"/>
      <c r="F25" s="26"/>
      <c r="G25" s="26">
        <f>June!G25+F25</f>
        <v>17</v>
      </c>
      <c r="H25" s="32"/>
      <c r="I25" s="32">
        <f>June!I25+H25</f>
        <v>2</v>
      </c>
      <c r="J25" s="2"/>
      <c r="K25" s="2"/>
      <c r="L25" s="2">
        <f>June!L25+K25</f>
        <v>0</v>
      </c>
      <c r="M25" s="2"/>
      <c r="N25" s="2">
        <f>June!N25+M25</f>
        <v>0</v>
      </c>
      <c r="O25" s="2"/>
      <c r="P25" s="2"/>
    </row>
    <row r="26" spans="1:16" ht="18" customHeight="1">
      <c r="A26" s="2" t="s">
        <v>24</v>
      </c>
      <c r="B26" s="2"/>
      <c r="C26" s="2">
        <f>June!C26+B26</f>
        <v>0</v>
      </c>
      <c r="D26" s="2"/>
      <c r="E26" s="2"/>
      <c r="F26" s="26"/>
      <c r="G26" s="26">
        <f>June!G26+F26</f>
        <v>10</v>
      </c>
      <c r="H26" s="32"/>
      <c r="I26" s="32">
        <f>June!I26+H26</f>
        <v>9</v>
      </c>
      <c r="J26" s="2"/>
      <c r="K26" s="2"/>
      <c r="L26" s="2">
        <f>June!L26+K26</f>
        <v>23</v>
      </c>
      <c r="M26" s="2"/>
      <c r="N26" s="2">
        <f>June!N26+M26</f>
        <v>0</v>
      </c>
      <c r="O26" s="2"/>
      <c r="P26" s="2"/>
    </row>
    <row r="27" spans="1:16" ht="18" customHeight="1">
      <c r="A27" s="2" t="s">
        <v>25</v>
      </c>
      <c r="B27" s="2">
        <f>25+50+26+5+10+17+30+4+13+5+12+20+38+43+95+9+7+53+25+31+6+5+14+5+5+9+8+21+5+11+6+31+10+9+28+4+15+132+140+95+106+157+99+8+78+101+16+34+88+2+3+19+31+50+44+28+50+40+40+67+137+63+111+11+56+32+42+18+4+5+1+3+2+21+12+4+22+20+8+35+28+15+202+1+4+56+12+1+6+3+85</f>
        <v>3158</v>
      </c>
      <c r="C27" s="2">
        <f>June!C27+B27</f>
        <v>23059</v>
      </c>
      <c r="D27" s="2"/>
      <c r="E27" s="2" t="s">
        <v>83</v>
      </c>
      <c r="F27" s="26">
        <f>10+2+1+1+16+2+4+1+3+1+1+1+2+2+7+1+1+2+1+2+3+24+1+2+3+2+2+6+1+1+1+1+2+3+1+2+2+3</f>
        <v>121</v>
      </c>
      <c r="G27" s="26">
        <f>June!G27+F27</f>
        <v>669</v>
      </c>
      <c r="H27" s="32">
        <f>164+42+11+146+8+12+53+17+5+2+4+97+4+1+1+1+4+3+5+62+60+21+10+1+1+1+3+1+5+4+2+3+1+1+1+1+1+1+2+1+56+1+60+1+1+1+1+1+1+1+1+1+1+1+1</f>
        <v>892</v>
      </c>
      <c r="I27" s="32">
        <f>June!I27+H27</f>
        <v>4165</v>
      </c>
      <c r="J27" s="2">
        <f>1+2+1+2+1+2+3+1+4+2+2+1+2+1+1+1+2+2+2+2+2+7+2+1+1+1+1+4+2+1+1+1+1+1+1+3+1+1+2+1+1+2+2+1+3+5+3+1+36</f>
        <v>124</v>
      </c>
      <c r="K27" s="2">
        <f>5+13+14+14+14+1+41+43+42+6+4+1+3+2</f>
        <v>203</v>
      </c>
      <c r="L27" s="2">
        <f>June!L27+K27</f>
        <v>723</v>
      </c>
      <c r="M27" s="2">
        <f>14+12+10+3+13+9+11+8</f>
        <v>80</v>
      </c>
      <c r="N27" s="2">
        <f>June!N27+M27</f>
        <v>122</v>
      </c>
      <c r="O27" s="2"/>
      <c r="P27" s="2"/>
    </row>
    <row r="28" spans="1:16" ht="18" customHeight="1">
      <c r="A28" s="2" t="s">
        <v>26</v>
      </c>
      <c r="B28" s="2">
        <f>56+25+65</f>
        <v>146</v>
      </c>
      <c r="C28" s="2">
        <f>June!C28+B28</f>
        <v>858</v>
      </c>
      <c r="D28" s="2"/>
      <c r="E28" s="2"/>
      <c r="F28" s="26">
        <f>4</f>
        <v>4</v>
      </c>
      <c r="G28" s="26">
        <f>June!G28+F28</f>
        <v>7</v>
      </c>
      <c r="H28" s="32"/>
      <c r="I28" s="32">
        <f>June!I28+H28</f>
        <v>0</v>
      </c>
      <c r="J28" s="2">
        <f>2</f>
        <v>2</v>
      </c>
      <c r="K28" s="2"/>
      <c r="L28" s="2">
        <f>June!L28+K28</f>
        <v>0</v>
      </c>
      <c r="M28" s="2"/>
      <c r="N28" s="2">
        <f>June!N28+M28</f>
        <v>0</v>
      </c>
      <c r="O28" s="2"/>
      <c r="P28" s="2"/>
    </row>
    <row r="29" spans="1:16" ht="18" customHeight="1">
      <c r="A29" s="2" t="s">
        <v>27</v>
      </c>
      <c r="B29" s="2">
        <f>78+70+69+128+71+67+120+160+73+57+62+86+62+450+24+77+47+15+34+21+25+77+38+76+53+1+6+68+125+124+68+25+53+35+75+186+109+6+23+71+30+81+80+46+116+164+64+29+126+30+13+24+26+126+20+7+78+110+130+63+77+82+107+75+65+57+91+65+71+41+86+80+98+71+76+92+108+130+80+33+30+99+68+68+68+47+58+376+67+56+59+46+90+1+43+51+118+120+62+50+9+78+83+92+121+60+70+324+91+140+71+26+23+63+80+38+76+83+96+34+81+15+90+53+76+28+16+189+122+75+90+81+82+173+60+8+52+38+56+57+27+86+84+87+100+80+194+4+115+175+110+110+75+36+91+115+94+80+84+80+122+82+10+51+122+54+36+12+21+7+7+22+60+194+75</f>
        <v>13342</v>
      </c>
      <c r="C29" s="2">
        <f>June!C29+B29</f>
        <v>80546</v>
      </c>
      <c r="D29" s="2">
        <f>6</f>
        <v>6</v>
      </c>
      <c r="E29" s="2" t="s">
        <v>83</v>
      </c>
      <c r="F29" s="26">
        <f>1+64+40+6+64+3+1+5+3+2+2+1+1+1+8+1+1+5+6+1+2</f>
        <v>218</v>
      </c>
      <c r="G29" s="26">
        <f>June!G29+F29</f>
        <v>992</v>
      </c>
      <c r="H29" s="32"/>
      <c r="I29" s="32">
        <f>June!I29+H29</f>
        <v>239</v>
      </c>
      <c r="J29" s="2">
        <f>1+2+1+2+3+3+1+1+1+2+1+4+2+2+1+2+4+5+3+1+3+1+1+2+1+2+3+2+1+2+1+11+1+3+5+2+2+1+5</f>
        <v>91</v>
      </c>
      <c r="K29" s="2">
        <f>1+3+1+11+1+1+2+2+2+1+1+1+1+2+1+7+1+1+1+1+3+5+3+5+2+1+5+1+1+2+1+1+1+1+1+1+6+4+1+1+16+3+2+1+4+3+1+2+2+5+6+2+1+1+4+3+2+2+1</f>
        <v>149</v>
      </c>
      <c r="L29" s="2">
        <f>June!L29+K29</f>
        <v>201</v>
      </c>
      <c r="M29" s="2">
        <f>13+9+10+5+1+1</f>
        <v>39</v>
      </c>
      <c r="N29" s="2">
        <f>June!N29+M29</f>
        <v>127</v>
      </c>
      <c r="O29" s="2"/>
      <c r="P29" s="2"/>
    </row>
    <row r="30" spans="1:16" ht="18" customHeight="1">
      <c r="A30" s="2" t="s">
        <v>28</v>
      </c>
      <c r="B30" s="2">
        <f>300+816+110+4+55+61+59+80+119+400+230+18+6+183+425+596+122+48+21+1226+207</f>
        <v>5086</v>
      </c>
      <c r="C30" s="2">
        <f>June!C30+B30</f>
        <v>35526</v>
      </c>
      <c r="D30" s="2"/>
      <c r="E30" s="2"/>
      <c r="F30" s="26">
        <f>39+32+3+1+2</f>
        <v>77</v>
      </c>
      <c r="G30" s="26">
        <f>June!G30+F30</f>
        <v>4697</v>
      </c>
      <c r="H30" s="32"/>
      <c r="I30" s="32">
        <f>June!I30+H30</f>
        <v>0</v>
      </c>
      <c r="J30" s="2">
        <f>1+2+1+1+2</f>
        <v>7</v>
      </c>
      <c r="K30" s="2">
        <f>78+4</f>
        <v>82</v>
      </c>
      <c r="L30" s="2">
        <f>June!L30+K30</f>
        <v>2553</v>
      </c>
      <c r="M30" s="2">
        <f>15</f>
        <v>15</v>
      </c>
      <c r="N30" s="2">
        <f>June!N30+M30</f>
        <v>15</v>
      </c>
      <c r="O30" s="2"/>
      <c r="P30" s="2"/>
    </row>
    <row r="31" spans="1:16" ht="18" customHeight="1">
      <c r="A31" s="2" t="s">
        <v>29</v>
      </c>
      <c r="B31" s="2">
        <f>134+4+18+214+89+360+1125+67+197+52+50+235+77+65+65+26+14+155+72+44+78+38+27+20+15+86+55+58+58+44+124+63+69+83+64+240+92+133+131+87+260+66+85+123+314+60+120+107+59+236+205+64+175+20+148+81+182+136+41+59+19+184+106+157+62+105</f>
        <v>7802</v>
      </c>
      <c r="C31" s="2">
        <f>June!C31+B31</f>
        <v>31954</v>
      </c>
      <c r="D31" s="2"/>
      <c r="E31" s="2"/>
      <c r="F31" s="26">
        <f>3+1+38+2+5+1+1+5+2+1+44+42+42+8+2+3+4+4+3+3+84+4+9+9+1+1+10</f>
        <v>332</v>
      </c>
      <c r="G31" s="26">
        <f>June!G31+F31</f>
        <v>6610</v>
      </c>
      <c r="H31" s="32">
        <f>10+18</f>
        <v>28</v>
      </c>
      <c r="I31" s="32">
        <f>June!I31+H31</f>
        <v>301</v>
      </c>
      <c r="J31" s="2">
        <f>1+1+1+1+1+3+2+11+3+3+1+1+2+1+1+2+1+1+2+2+3+1+1+2+1+1+5+1+2</f>
        <v>58</v>
      </c>
      <c r="K31" s="2">
        <f>4+1+2+9</f>
        <v>16</v>
      </c>
      <c r="L31" s="2">
        <f>June!L31+K31</f>
        <v>521</v>
      </c>
      <c r="M31" s="2">
        <f>6+4+11+12+12</f>
        <v>45</v>
      </c>
      <c r="N31" s="2">
        <f>June!N31+M31</f>
        <v>144</v>
      </c>
      <c r="O31" s="2"/>
      <c r="P31" s="2"/>
    </row>
    <row r="32" spans="1:16" ht="18" customHeight="1">
      <c r="A32" s="2" t="s">
        <v>30</v>
      </c>
      <c r="B32" s="2"/>
      <c r="C32" s="2">
        <f>June!C32+B32</f>
        <v>0</v>
      </c>
      <c r="D32" s="2"/>
      <c r="E32" s="2"/>
      <c r="F32" s="26"/>
      <c r="G32" s="26">
        <f>June!G32+F32</f>
        <v>56</v>
      </c>
      <c r="H32" s="32"/>
      <c r="I32" s="32">
        <f>June!I32+H32</f>
        <v>60</v>
      </c>
      <c r="J32" s="2">
        <f>1</f>
        <v>1</v>
      </c>
      <c r="K32" s="2">
        <f>3</f>
        <v>3</v>
      </c>
      <c r="L32" s="2">
        <f>June!L32+K32</f>
        <v>3</v>
      </c>
      <c r="M32" s="2"/>
      <c r="N32" s="2">
        <f>June!N32+M32</f>
        <v>0</v>
      </c>
      <c r="O32" s="2"/>
      <c r="P32" s="2"/>
    </row>
    <row r="33" spans="1:16" ht="18" customHeight="1">
      <c r="A33" s="2" t="s">
        <v>31</v>
      </c>
      <c r="B33" s="2"/>
      <c r="C33" s="2">
        <f>June!C33+B33</f>
        <v>0</v>
      </c>
      <c r="D33" s="2"/>
      <c r="E33" s="2"/>
      <c r="F33" s="26"/>
      <c r="G33" s="26">
        <f>June!G33+F33</f>
        <v>0</v>
      </c>
      <c r="H33" s="32"/>
      <c r="I33" s="32">
        <f>June!I33+H33</f>
        <v>0</v>
      </c>
      <c r="J33" s="2"/>
      <c r="K33" s="2"/>
      <c r="L33" s="2">
        <f>June!L33+K33</f>
        <v>0</v>
      </c>
      <c r="M33" s="2"/>
      <c r="N33" s="2">
        <f>June!N33+M33</f>
        <v>0</v>
      </c>
      <c r="O33" s="2"/>
      <c r="P33" s="2"/>
    </row>
    <row r="34" spans="1:16" ht="18" customHeight="1">
      <c r="A34" s="2" t="s">
        <v>32</v>
      </c>
      <c r="B34" s="2"/>
      <c r="C34" s="2">
        <f>June!C34+B34</f>
        <v>0</v>
      </c>
      <c r="D34" s="2"/>
      <c r="E34" s="2"/>
      <c r="F34" s="26"/>
      <c r="G34" s="26">
        <f>June!G34+F34</f>
        <v>0</v>
      </c>
      <c r="H34" s="32"/>
      <c r="I34" s="32">
        <f>June!I34+H34</f>
        <v>0</v>
      </c>
      <c r="J34" s="2"/>
      <c r="K34" s="2"/>
      <c r="L34" s="2">
        <f>June!L34+K34</f>
        <v>0</v>
      </c>
      <c r="M34" s="2"/>
      <c r="N34" s="2">
        <f>June!N34+M34</f>
        <v>0</v>
      </c>
      <c r="O34" s="2"/>
      <c r="P34" s="2"/>
    </row>
    <row r="35" spans="1:16" ht="18" customHeight="1">
      <c r="A35" s="2" t="s">
        <v>33</v>
      </c>
      <c r="B35" s="2">
        <f>200</f>
        <v>200</v>
      </c>
      <c r="C35" s="2">
        <f>June!C35+B35</f>
        <v>1621</v>
      </c>
      <c r="D35" s="2"/>
      <c r="E35" s="2"/>
      <c r="F35" s="26"/>
      <c r="G35" s="26">
        <f>June!G35+F35</f>
        <v>5</v>
      </c>
      <c r="H35" s="32"/>
      <c r="I35" s="32">
        <f>June!I35+H35</f>
        <v>682</v>
      </c>
      <c r="J35" s="2">
        <f>1+1</f>
        <v>2</v>
      </c>
      <c r="K35" s="2"/>
      <c r="L35" s="2">
        <f>June!L35+K35</f>
        <v>3</v>
      </c>
      <c r="M35" s="2"/>
      <c r="N35" s="2">
        <f>June!N35+M35</f>
        <v>0</v>
      </c>
      <c r="O35" s="2"/>
      <c r="P35" s="2"/>
    </row>
    <row r="36" spans="1:16" ht="18" customHeight="1">
      <c r="A36" s="2" t="s">
        <v>34</v>
      </c>
      <c r="B36" s="2">
        <f>71+65+65+65</f>
        <v>266</v>
      </c>
      <c r="C36" s="2">
        <f>June!C36+B36</f>
        <v>266</v>
      </c>
      <c r="D36" s="2"/>
      <c r="E36" s="2"/>
      <c r="F36" s="26"/>
      <c r="G36" s="26">
        <f>June!G36+F36</f>
        <v>0</v>
      </c>
      <c r="H36" s="32">
        <f>38+1</f>
        <v>39</v>
      </c>
      <c r="I36" s="32">
        <f>June!I36+H36</f>
        <v>597</v>
      </c>
      <c r="J36" s="2"/>
      <c r="K36" s="2">
        <f>8</f>
        <v>8</v>
      </c>
      <c r="L36" s="2">
        <f>June!L36+K36</f>
        <v>8</v>
      </c>
      <c r="M36" s="2"/>
      <c r="N36" s="2">
        <f>June!N36+M36</f>
        <v>0</v>
      </c>
      <c r="O36" s="2"/>
      <c r="P36" s="2"/>
    </row>
    <row r="37" spans="1:16" ht="18" customHeight="1">
      <c r="A37" s="2" t="s">
        <v>35</v>
      </c>
      <c r="B37" s="2">
        <f>60</f>
        <v>60</v>
      </c>
      <c r="C37" s="2">
        <f>June!C37+B37</f>
        <v>426</v>
      </c>
      <c r="D37" s="2"/>
      <c r="E37" s="2"/>
      <c r="F37" s="26">
        <f>1</f>
        <v>1</v>
      </c>
      <c r="G37" s="26">
        <f>June!G37+F37</f>
        <v>2</v>
      </c>
      <c r="H37" s="32"/>
      <c r="I37" s="32">
        <f>June!I37+H37</f>
        <v>47</v>
      </c>
      <c r="J37" s="2"/>
      <c r="K37" s="2"/>
      <c r="L37" s="2">
        <f>June!L37+K37</f>
        <v>0</v>
      </c>
      <c r="M37" s="2"/>
      <c r="N37" s="2">
        <f>June!N37+M37</f>
        <v>0</v>
      </c>
      <c r="O37" s="2"/>
      <c r="P37" s="2"/>
    </row>
    <row r="38" spans="1:16" ht="18" customHeight="1">
      <c r="A38" s="2" t="s">
        <v>36</v>
      </c>
      <c r="B38" s="14">
        <f>84+135+64+75+87+111+99+112+225+78+2+3+80+360+83+90+189+376+76</f>
        <v>2329</v>
      </c>
      <c r="C38" s="2">
        <f>June!C38+B38</f>
        <v>40583</v>
      </c>
      <c r="D38" s="2"/>
      <c r="E38" s="2" t="s">
        <v>83</v>
      </c>
      <c r="F38" s="26">
        <f>2+2+2+1+1+2+2</f>
        <v>12</v>
      </c>
      <c r="G38" s="26">
        <f>June!G38+F38</f>
        <v>903</v>
      </c>
      <c r="H38" s="32">
        <f>44</f>
        <v>44</v>
      </c>
      <c r="I38" s="32">
        <f>June!I38+H38</f>
        <v>45</v>
      </c>
      <c r="J38" s="2"/>
      <c r="K38" s="2">
        <f>72+34</f>
        <v>106</v>
      </c>
      <c r="L38" s="2">
        <f>June!L38+K38</f>
        <v>2285</v>
      </c>
      <c r="M38" s="2"/>
      <c r="N38" s="2">
        <f>June!N38+M38</f>
        <v>8</v>
      </c>
      <c r="O38" s="2"/>
      <c r="P38" s="2"/>
    </row>
    <row r="39" spans="1:16" ht="18" customHeight="1">
      <c r="A39" s="2" t="s">
        <v>37</v>
      </c>
      <c r="B39" s="2">
        <f>120+240+120</f>
        <v>480</v>
      </c>
      <c r="C39" s="2">
        <f>June!C39+B39</f>
        <v>4703</v>
      </c>
      <c r="D39" s="2"/>
      <c r="E39" s="2" t="s">
        <v>83</v>
      </c>
      <c r="F39" s="26">
        <f>1+5+3+6+3+2+1+2+4+1</f>
        <v>28</v>
      </c>
      <c r="G39" s="26">
        <f>June!G39+F39</f>
        <v>63</v>
      </c>
      <c r="H39" s="32">
        <f>112+111</f>
        <v>223</v>
      </c>
      <c r="I39" s="32">
        <f>June!I39+H39</f>
        <v>751</v>
      </c>
      <c r="J39" s="2">
        <f>1</f>
        <v>1</v>
      </c>
      <c r="K39" s="2">
        <f>12+7+1</f>
        <v>20</v>
      </c>
      <c r="L39" s="2">
        <f>June!L39+K39</f>
        <v>35</v>
      </c>
      <c r="M39" s="2"/>
      <c r="N39" s="2">
        <f>June!N39+M39</f>
        <v>0</v>
      </c>
      <c r="O39" s="2"/>
      <c r="P39" s="2"/>
    </row>
    <row r="40" spans="1:16" ht="18" customHeight="1">
      <c r="A40" s="2" t="s">
        <v>38</v>
      </c>
      <c r="B40" s="2">
        <f>135+60+60+60+57+57+88+127+118+195+64+120+118+178+60+65+65+84+67+146+345+37+26+66+75+500</f>
        <v>2973</v>
      </c>
      <c r="C40" s="2">
        <f>June!C40+B40</f>
        <v>5530</v>
      </c>
      <c r="D40" s="2"/>
      <c r="E40" s="2" t="s">
        <v>83</v>
      </c>
      <c r="F40" s="26">
        <f>80+13+1</f>
        <v>94</v>
      </c>
      <c r="G40" s="26">
        <f>June!G40+F40</f>
        <v>242</v>
      </c>
      <c r="H40" s="32"/>
      <c r="I40" s="32">
        <f>June!I40+H40</f>
        <v>14</v>
      </c>
      <c r="J40" s="2">
        <f>3+7+2+1+1+1+3+4+1</f>
        <v>23</v>
      </c>
      <c r="K40" s="2"/>
      <c r="L40" s="2">
        <f>June!L40+K40</f>
        <v>65</v>
      </c>
      <c r="M40" s="2">
        <f>2</f>
        <v>2</v>
      </c>
      <c r="N40" s="2">
        <f>June!N40+M40</f>
        <v>3</v>
      </c>
      <c r="O40" s="2"/>
      <c r="P40" s="2"/>
    </row>
    <row r="41" spans="1:16" ht="18" customHeight="1">
      <c r="A41" s="2" t="s">
        <v>39</v>
      </c>
      <c r="B41" s="2">
        <f>46+12</f>
        <v>58</v>
      </c>
      <c r="C41" s="2">
        <f>June!C41+B41</f>
        <v>442</v>
      </c>
      <c r="D41" s="2"/>
      <c r="E41" s="2"/>
      <c r="F41" s="26"/>
      <c r="G41" s="26">
        <f>June!G41+F41</f>
        <v>2</v>
      </c>
      <c r="H41" s="32"/>
      <c r="I41" s="32">
        <f>June!I41+H41</f>
        <v>0</v>
      </c>
      <c r="J41" s="2"/>
      <c r="K41" s="2"/>
      <c r="L41" s="2">
        <f>June!L41+K41</f>
        <v>5</v>
      </c>
      <c r="M41" s="2"/>
      <c r="N41" s="2">
        <f>June!N41+M41</f>
        <v>0</v>
      </c>
      <c r="O41" s="2"/>
      <c r="P41" s="2"/>
    </row>
    <row r="42" spans="1:16" ht="18" customHeight="1">
      <c r="A42" s="2" t="s">
        <v>40</v>
      </c>
      <c r="B42" s="2">
        <f>64</f>
        <v>64</v>
      </c>
      <c r="C42" s="2">
        <f>June!C42+B42</f>
        <v>524</v>
      </c>
      <c r="D42" s="2"/>
      <c r="E42" s="2"/>
      <c r="F42" s="26">
        <f>1</f>
        <v>1</v>
      </c>
      <c r="G42" s="26">
        <f>June!G42+F42</f>
        <v>168</v>
      </c>
      <c r="H42" s="32">
        <f>40+40+1</f>
        <v>81</v>
      </c>
      <c r="I42" s="32">
        <f>June!I42+H42</f>
        <v>329</v>
      </c>
      <c r="J42" s="2">
        <f>1</f>
        <v>1</v>
      </c>
      <c r="K42" s="2"/>
      <c r="L42" s="2">
        <f>June!L42+K42</f>
        <v>0</v>
      </c>
      <c r="M42" s="2"/>
      <c r="N42" s="2">
        <f>June!N42+M42</f>
        <v>0</v>
      </c>
      <c r="O42" s="2"/>
      <c r="P42" s="2"/>
    </row>
    <row r="43" spans="1:16" ht="18" customHeight="1">
      <c r="A43" s="2" t="s">
        <v>41</v>
      </c>
      <c r="B43" s="2"/>
      <c r="C43" s="2">
        <f>June!C43+B43</f>
        <v>0</v>
      </c>
      <c r="D43" s="2"/>
      <c r="E43" s="2"/>
      <c r="F43" s="26"/>
      <c r="G43" s="26">
        <f>June!G43+F43</f>
        <v>0</v>
      </c>
      <c r="H43" s="32"/>
      <c r="I43" s="32">
        <f>June!I43+H43</f>
        <v>0</v>
      </c>
      <c r="J43" s="2"/>
      <c r="K43" s="2"/>
      <c r="L43" s="2">
        <f>June!L43+K43</f>
        <v>0</v>
      </c>
      <c r="M43" s="2"/>
      <c r="N43" s="2">
        <f>June!N43+M43</f>
        <v>0</v>
      </c>
      <c r="O43" s="2"/>
      <c r="P43" s="2"/>
    </row>
    <row r="44" spans="1:16" ht="18" customHeight="1">
      <c r="A44" s="2" t="s">
        <v>42</v>
      </c>
      <c r="B44" s="2">
        <f>103+57+33+91+70+106+98+35+95+107+102+92+77+103+58+113+88+114+92+89+72+108+86+106+111+93</f>
        <v>2299</v>
      </c>
      <c r="C44" s="2">
        <f>June!C44+B44</f>
        <v>4438</v>
      </c>
      <c r="D44" s="2"/>
      <c r="E44" s="2"/>
      <c r="F44" s="26"/>
      <c r="G44" s="26">
        <f>June!G44+F44</f>
        <v>0</v>
      </c>
      <c r="H44" s="32"/>
      <c r="I44" s="32">
        <f>June!I44+H44</f>
        <v>0</v>
      </c>
      <c r="J44" s="2"/>
      <c r="K44" s="2"/>
      <c r="L44" s="2">
        <f>June!L44+K44</f>
        <v>0</v>
      </c>
      <c r="M44" s="2"/>
      <c r="N44" s="2">
        <f>June!N44+M44</f>
        <v>0</v>
      </c>
      <c r="O44" s="2"/>
      <c r="P44" s="2"/>
    </row>
    <row r="45" spans="1:16" ht="18" customHeight="1">
      <c r="A45" s="2" t="s">
        <v>43</v>
      </c>
      <c r="B45" s="2">
        <f>12+41+78+134+208+168+70+69+100+71+59+137+71+85+71+71+125+67+90+128+125+75+87+6+96+20+110+110+64+70+12+70+70+1+26+59+63+27+97+124+36+77+81+48+62+13+4+7+34+72+6+2+61+38+27+153+270+32+13+408+18+1+18+22+62+24+4+27+10+120+62+11+127+28+58+99+47+26+98+32+120+28+71+51+105+101+77+101+79+60+14+99+62+104+58+10+3+21+16+26+9+17+10+19+31+640+51+29+109+115+154+75+75+10+40+46+136+129+226+157+60+187+108+251+294+291+79+71+65+141+117+150+199+177+88+6+133+246+72+226+73+74+177+33+52+1+144+37+15+50+185+54+44+46+52+50+5+15+39+4+2+17+4+1+9+33+2+16+9+21+69+34+63+54+184+65+18+14+11+8+2+73+15+36+8+54+87+89+52+82+105+199+135+314+34+4+2142+20+27+16+6+10+13+29+149+9+2+15+53+51+84+72+73+58+85+228+126+13+8+1+27+29+67</f>
        <v>18236</v>
      </c>
      <c r="C45" s="2">
        <f>June!C45+B45</f>
        <v>153964</v>
      </c>
      <c r="D45" s="2"/>
      <c r="E45" s="2"/>
      <c r="F45" s="26">
        <f>6+10+2+1+2+1+1+1+3+14+6+4+3+2+16+4+2+3+40+1+22+5+17+90+34+2+2+53+21+31+1+2+1+3+1+1+1+1+3+1+5+4+2+4+4</f>
        <v>433</v>
      </c>
      <c r="G45" s="26">
        <f>June!G45+F45</f>
        <v>4935</v>
      </c>
      <c r="H45" s="32">
        <f>1+5+3</f>
        <v>9</v>
      </c>
      <c r="I45" s="32">
        <f>June!I45+H45</f>
        <v>704</v>
      </c>
      <c r="J45" s="2">
        <f>6+1+3+1+2+2+1+1+3+1+1+6+3+3+1+1+2+1+3</f>
        <v>42</v>
      </c>
      <c r="K45" s="2">
        <f>116+8+16+49+20+6+16+23+149+122+75+67+93+9+6+10+65+526+109+33+38+118+2+15+3+74+49+27+475+225+1+15+38+49+2+90</f>
        <v>2739</v>
      </c>
      <c r="L45" s="2">
        <f>June!L45+K45</f>
        <v>12403</v>
      </c>
      <c r="M45" s="2">
        <f>5+7+4+1+34+4</f>
        <v>55</v>
      </c>
      <c r="N45" s="2">
        <f>June!N45+M45</f>
        <v>665</v>
      </c>
      <c r="O45" s="2"/>
      <c r="P45" s="2"/>
    </row>
    <row r="46" spans="1:16" ht="18" customHeight="1">
      <c r="A46" s="2" t="s">
        <v>44</v>
      </c>
      <c r="B46" s="2">
        <f>120+56+43+53+55+81+73+82+80+100+200+70+47+64+190+110+100+160+67+100+60+167+77+77+103+68+67+113+54+79+110+190+85+56+58+58+62+94+58+113+130+60+90+50+60+130+155+182+72+162+155+66+3</f>
        <v>4915</v>
      </c>
      <c r="C46" s="2">
        <f>June!C46+B46</f>
        <v>13032</v>
      </c>
      <c r="D46" s="2"/>
      <c r="E46" s="2"/>
      <c r="F46" s="26">
        <f>2+3</f>
        <v>5</v>
      </c>
      <c r="G46" s="26">
        <f>June!G46+F46</f>
        <v>29</v>
      </c>
      <c r="H46" s="32"/>
      <c r="I46" s="32">
        <f>June!I46+H46</f>
        <v>1</v>
      </c>
      <c r="J46" s="2">
        <f>1</f>
        <v>1</v>
      </c>
      <c r="K46" s="2"/>
      <c r="L46" s="2">
        <f>June!L46+K46</f>
        <v>0</v>
      </c>
      <c r="M46" s="2"/>
      <c r="N46" s="2">
        <f>June!N46+M46</f>
        <v>0</v>
      </c>
      <c r="O46" s="2"/>
      <c r="P46" s="2"/>
    </row>
    <row r="47" spans="1:16" ht="18" customHeight="1">
      <c r="A47" s="2" t="s">
        <v>45</v>
      </c>
      <c r="B47" s="2">
        <f>273+160+210+100+160+207</f>
        <v>1110</v>
      </c>
      <c r="C47" s="2">
        <f>June!C47+B47</f>
        <v>7360</v>
      </c>
      <c r="D47" s="2"/>
      <c r="E47" s="2" t="s">
        <v>83</v>
      </c>
      <c r="F47" s="26">
        <f>1+2+1+3+8+2+4+1+5+6+1</f>
        <v>34</v>
      </c>
      <c r="G47" s="26">
        <f>June!G47+F47</f>
        <v>63</v>
      </c>
      <c r="H47" s="32">
        <f>4</f>
        <v>4</v>
      </c>
      <c r="I47" s="32">
        <f>June!I47+H47</f>
        <v>5177</v>
      </c>
      <c r="J47" s="2">
        <f>1+1+3+1+1+4+1+1+1+1</f>
        <v>15</v>
      </c>
      <c r="K47" s="2">
        <f>2</f>
        <v>2</v>
      </c>
      <c r="L47" s="2">
        <f>June!L47+K47</f>
        <v>630</v>
      </c>
      <c r="M47" s="2"/>
      <c r="N47" s="2">
        <f>June!N47+M47</f>
        <v>0</v>
      </c>
      <c r="O47" s="2"/>
      <c r="P47" s="2"/>
    </row>
    <row r="48" spans="1:16" ht="18" customHeight="1">
      <c r="A48" s="2" t="s">
        <v>46</v>
      </c>
      <c r="B48" s="2"/>
      <c r="C48" s="2">
        <f>June!C48+B48</f>
        <v>135</v>
      </c>
      <c r="D48" s="2"/>
      <c r="E48" s="2" t="s">
        <v>83</v>
      </c>
      <c r="F48" s="26"/>
      <c r="G48" s="26">
        <f>June!G48+F48</f>
        <v>7</v>
      </c>
      <c r="H48" s="32"/>
      <c r="I48" s="32">
        <f>June!I48+H48</f>
        <v>1</v>
      </c>
      <c r="J48" s="2"/>
      <c r="K48" s="2"/>
      <c r="L48" s="2">
        <f>June!L48+K48</f>
        <v>0</v>
      </c>
      <c r="M48" s="2"/>
      <c r="N48" s="2">
        <f>June!N48+M48</f>
        <v>0</v>
      </c>
      <c r="O48" s="2"/>
      <c r="P48" s="2"/>
    </row>
    <row r="49" spans="1:16" ht="18" customHeight="1">
      <c r="A49" s="2" t="s">
        <v>47</v>
      </c>
      <c r="B49" s="2"/>
      <c r="C49" s="2">
        <f>June!C49+B49</f>
        <v>0</v>
      </c>
      <c r="D49" s="2"/>
      <c r="E49" s="2"/>
      <c r="F49" s="26"/>
      <c r="G49" s="26">
        <f>June!G49+F49</f>
        <v>0</v>
      </c>
      <c r="H49" s="32"/>
      <c r="I49" s="32">
        <f>June!I49+H49</f>
        <v>4</v>
      </c>
      <c r="J49" s="2"/>
      <c r="K49" s="2"/>
      <c r="L49" s="2">
        <f>June!L49+K49</f>
        <v>0</v>
      </c>
      <c r="M49" s="2"/>
      <c r="N49" s="2">
        <f>June!N49+M49</f>
        <v>0</v>
      </c>
      <c r="O49" s="2"/>
      <c r="P49" s="2"/>
    </row>
    <row r="50" spans="1:16" ht="18" customHeight="1">
      <c r="A50" s="2" t="s">
        <v>48</v>
      </c>
      <c r="B50" s="2">
        <f>87+98+39+40+110+87+57+65+67+65+67+68+60+126+59+117+130+116+229+229+85+85+37+30+718+9474+60+70+63+85+71+61+59+175+1033</f>
        <v>14022</v>
      </c>
      <c r="C50" s="2">
        <f>June!C50+B50</f>
        <v>17871</v>
      </c>
      <c r="D50" s="2"/>
      <c r="E50" s="2"/>
      <c r="F50" s="26"/>
      <c r="G50" s="26">
        <f>June!G50+F50</f>
        <v>1</v>
      </c>
      <c r="H50" s="32"/>
      <c r="I50" s="32">
        <f>June!I50+H50</f>
        <v>0</v>
      </c>
      <c r="J50" s="2"/>
      <c r="K50" s="2"/>
      <c r="L50" s="2">
        <f>June!L50+K50</f>
        <v>2</v>
      </c>
      <c r="M50" s="2"/>
      <c r="N50" s="2">
        <f>June!N50+M50</f>
        <v>0</v>
      </c>
      <c r="O50" s="2"/>
      <c r="P50" s="2"/>
    </row>
    <row r="51" spans="1:16" ht="18" customHeight="1">
      <c r="A51" s="2" t="s">
        <v>49</v>
      </c>
      <c r="B51" s="2">
        <f>1+1+160+165</f>
        <v>327</v>
      </c>
      <c r="C51" s="2">
        <f>June!C51+B51</f>
        <v>3635</v>
      </c>
      <c r="D51" s="2"/>
      <c r="E51" s="2"/>
      <c r="F51" s="26"/>
      <c r="G51" s="26">
        <f>June!G51+F51</f>
        <v>0</v>
      </c>
      <c r="H51" s="32">
        <f>2</f>
        <v>2</v>
      </c>
      <c r="I51" s="32">
        <f>June!I51+H51</f>
        <v>49</v>
      </c>
      <c r="J51" s="2">
        <f>2+2</f>
        <v>4</v>
      </c>
      <c r="K51" s="2"/>
      <c r="L51" s="2">
        <f>June!L51+K51</f>
        <v>0</v>
      </c>
      <c r="M51" s="2"/>
      <c r="N51" s="2">
        <f>June!N51+M51</f>
        <v>1</v>
      </c>
      <c r="O51" s="2"/>
      <c r="P51" s="2"/>
    </row>
    <row r="52" spans="1:16" ht="18" customHeight="1">
      <c r="A52" s="2" t="s">
        <v>50</v>
      </c>
      <c r="B52" s="2">
        <f>58+58+65+66+112+62+52+60+60+120+120+54+54+54+54+54+52+51+68+100+60+68+22+29+84+96+70+59+51+66+52+52+64+69+83+57+54</f>
        <v>2410</v>
      </c>
      <c r="C52" s="2">
        <f>June!C52+B52</f>
        <v>5562</v>
      </c>
      <c r="D52" s="2">
        <f>1</f>
        <v>1</v>
      </c>
      <c r="E52" s="2"/>
      <c r="F52" s="26">
        <f>3</f>
        <v>3</v>
      </c>
      <c r="G52" s="26">
        <f>June!G52+F52</f>
        <v>67</v>
      </c>
      <c r="H52" s="32"/>
      <c r="I52" s="32">
        <f>June!I52+H52</f>
        <v>0</v>
      </c>
      <c r="J52" s="2"/>
      <c r="K52" s="2"/>
      <c r="L52" s="2">
        <f>June!L52+K52</f>
        <v>0</v>
      </c>
      <c r="M52" s="2"/>
      <c r="N52" s="2">
        <f>June!N52+M52</f>
        <v>0</v>
      </c>
      <c r="O52" s="2"/>
      <c r="P52" s="2"/>
    </row>
    <row r="53" spans="1:16" ht="18" customHeight="1">
      <c r="A53" s="2" t="s">
        <v>67</v>
      </c>
      <c r="B53" s="2">
        <f>16+134+136+98+25+70+25+25+20+10+26+25+15+15+4+30+120+170+80+17+17+75+17+72+100+2+25+4+60+50+50+15+204+20+13+60+72+38+160+13+34+15+37+2+6+30+71+54+57+84+22+5+12+11+7+1+5+8+1+47+16+31+11+21+62+5+1+135+40+12+3+288+124+250+11+5+21+2+17+56+19+19+25+4+20+1+111+4+25+29+4+2+3+24+49+9+6+10+25+30+32+30+115+72+288+121+72+63+105</f>
        <v>5065</v>
      </c>
      <c r="C53" s="2">
        <f>June!C53+B53</f>
        <v>19583</v>
      </c>
      <c r="D53" s="2"/>
      <c r="E53" s="2"/>
      <c r="F53" s="26">
        <f>3+2+31+2+4+2+1+5+4+4+1+4+4+1+7+72+2+9+3+3+2</f>
        <v>166</v>
      </c>
      <c r="G53" s="26">
        <f>June!G53+F53</f>
        <v>697</v>
      </c>
      <c r="H53" s="32">
        <f>1+5+46+1+4+13+1+1+10+2+1+11+75+38+217+38+1+26+8+2+29+10+1+38+16+17+7+2+3+7+4+12+16+75+1+2+38+31+54+15+10+50+25+10+2+1</f>
        <v>977</v>
      </c>
      <c r="I53" s="32">
        <f>June!I53+H53</f>
        <v>3724</v>
      </c>
      <c r="J53" s="2">
        <f>4+7+1+5+3+5+1+3+4+1+1+2+1+9+1+1+2+1+1+1+2+1+1+2+1+1+3+2+2+1+5+2+4+1+1+2+4+1+1+1+1+2+5+3+2+1+6+1+4+5+2+4+8+2+1+3+1+2+4+64</f>
        <v>213</v>
      </c>
      <c r="K53" s="2">
        <f>3+1+1+7+2+4+4</f>
        <v>22</v>
      </c>
      <c r="L53" s="2">
        <f>June!L53+K53</f>
        <v>61</v>
      </c>
      <c r="M53" s="2">
        <f>2+1</f>
        <v>3</v>
      </c>
      <c r="N53" s="2">
        <f>June!N53+M53</f>
        <v>9</v>
      </c>
      <c r="O53" s="2"/>
      <c r="P53" s="2"/>
    </row>
    <row r="54" spans="1:16" ht="18" customHeight="1" thickBot="1">
      <c r="A54" s="3" t="s">
        <v>51</v>
      </c>
      <c r="B54" s="3">
        <f>180+143</f>
        <v>323</v>
      </c>
      <c r="C54" s="2">
        <f>June!C54+B54</f>
        <v>3110</v>
      </c>
      <c r="D54" s="3"/>
      <c r="E54" s="3"/>
      <c r="F54" s="27">
        <f>2+50+3+95+8</f>
        <v>158</v>
      </c>
      <c r="G54" s="26">
        <f>June!G54+F54</f>
        <v>942</v>
      </c>
      <c r="H54" s="33"/>
      <c r="I54" s="32">
        <f>June!I54+H54</f>
        <v>0</v>
      </c>
      <c r="J54" s="3">
        <f>1+1+1+4+1+1</f>
        <v>9</v>
      </c>
      <c r="K54" s="3"/>
      <c r="L54" s="2">
        <f>June!L54+K54</f>
        <v>51</v>
      </c>
      <c r="M54" s="3"/>
      <c r="N54" s="2">
        <f>June!N54+M54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117046</v>
      </c>
      <c r="C55" s="1"/>
      <c r="D55" s="1">
        <f>SUM(D5:D54)</f>
        <v>12</v>
      </c>
      <c r="E55" s="1">
        <f>SUM(E5:E54)</f>
        <v>0</v>
      </c>
      <c r="F55" s="28">
        <f>SUM(F5:F54)</f>
        <v>2033</v>
      </c>
      <c r="G55" s="28"/>
      <c r="H55" s="34">
        <f>SUM(H5:H54)</f>
        <v>3868</v>
      </c>
      <c r="I55" s="34"/>
      <c r="J55" s="46">
        <f>SUM(J5:J54)</f>
        <v>924</v>
      </c>
      <c r="K55" s="1">
        <f>SUM(K5:K54)</f>
        <v>3428</v>
      </c>
      <c r="L55" s="1"/>
      <c r="M55" s="1">
        <f>SUM(M5:M54)</f>
        <v>265</v>
      </c>
      <c r="N55" s="1"/>
      <c r="O55" s="1">
        <f>SUM(O5:O54)</f>
        <v>59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41"/>
      <c r="G56" s="41"/>
      <c r="H56" s="41"/>
      <c r="I56" s="4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June!C57+B55</f>
        <v>568513</v>
      </c>
      <c r="D57" s="1">
        <f>June!D57+D55</f>
        <v>112</v>
      </c>
      <c r="E57" s="1">
        <f>June!E57+E55</f>
        <v>0</v>
      </c>
      <c r="F57" s="28"/>
      <c r="G57" s="28">
        <f>June!G57+F55</f>
        <v>22797</v>
      </c>
      <c r="H57" s="34"/>
      <c r="I57" s="34">
        <f>June!I57+H55</f>
        <v>22125</v>
      </c>
      <c r="J57" s="1">
        <f>June!J57+J55</f>
        <v>4369</v>
      </c>
      <c r="K57" s="1"/>
      <c r="L57" s="1">
        <f>June!L57+K55</f>
        <v>19696</v>
      </c>
      <c r="M57" s="1"/>
      <c r="N57" s="1">
        <f>June!N57+M55</f>
        <v>1183</v>
      </c>
      <c r="O57" s="1">
        <f>June!O57+O55</f>
        <v>173</v>
      </c>
      <c r="P57" s="1">
        <f>June!P57+P55</f>
        <v>2104</v>
      </c>
    </row>
    <row r="58" spans="1:16" ht="18" customHeight="1" thickTop="1">
      <c r="A58" s="5" t="s">
        <v>84</v>
      </c>
      <c r="E58" s="5" t="s">
        <v>65</v>
      </c>
      <c r="F58" s="42"/>
      <c r="G58" s="42"/>
      <c r="H58" s="42"/>
      <c r="I58" s="42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42"/>
      <c r="G59" s="42"/>
      <c r="H59" s="42"/>
      <c r="I59" s="42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29">
        <f>75+300+300+13</f>
        <v>688</v>
      </c>
      <c r="G60" s="42"/>
      <c r="H60" s="35"/>
      <c r="I60" s="42"/>
      <c r="J60" s="6"/>
      <c r="K60" s="6"/>
      <c r="L60" s="6"/>
      <c r="M60" s="6"/>
      <c r="N60" s="6"/>
      <c r="O60" s="6"/>
      <c r="P60" s="6"/>
    </row>
    <row r="61" spans="6:9" ht="18" customHeight="1">
      <c r="F61" s="43"/>
      <c r="G61" s="43"/>
      <c r="H61" s="43"/>
      <c r="I61" s="43"/>
    </row>
    <row r="62" spans="1:9" ht="18" customHeight="1">
      <c r="A62" s="7" t="s">
        <v>69</v>
      </c>
      <c r="F62" s="43"/>
      <c r="G62" s="30">
        <f>June!G62+F60</f>
        <v>7083</v>
      </c>
      <c r="H62" s="43"/>
      <c r="I62" s="36">
        <f>June!I62+H60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xSplit="1" ySplit="4" topLeftCell="F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4" sqref="J54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10.7539062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78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65" t="s">
        <v>55</v>
      </c>
      <c r="C3" s="66"/>
      <c r="D3" s="8" t="s">
        <v>56</v>
      </c>
      <c r="E3" s="8" t="s">
        <v>57</v>
      </c>
      <c r="F3" s="65" t="s">
        <v>58</v>
      </c>
      <c r="G3" s="66"/>
      <c r="H3" s="65" t="s">
        <v>59</v>
      </c>
      <c r="I3" s="66"/>
      <c r="J3" s="8" t="s">
        <v>60</v>
      </c>
      <c r="K3" s="65" t="s">
        <v>61</v>
      </c>
      <c r="L3" s="66"/>
      <c r="M3" s="65" t="s">
        <v>62</v>
      </c>
      <c r="N3" s="6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44">
        <f>75+160+110+64</f>
        <v>409</v>
      </c>
      <c r="C5" s="2">
        <f>July!C5+B5</f>
        <v>1538</v>
      </c>
      <c r="D5" s="2"/>
      <c r="E5" s="2"/>
      <c r="F5" s="44">
        <f>1</f>
        <v>1</v>
      </c>
      <c r="G5" s="2">
        <f>July!G5+F5</f>
        <v>8</v>
      </c>
      <c r="H5" s="44"/>
      <c r="I5" s="2">
        <f>July!I5+H5</f>
        <v>60</v>
      </c>
      <c r="J5" s="2"/>
      <c r="K5" s="44"/>
      <c r="L5" s="2">
        <f>July!L5+K5</f>
        <v>0</v>
      </c>
      <c r="M5" s="44"/>
      <c r="N5" s="2">
        <f>July!N5+M5</f>
        <v>0</v>
      </c>
      <c r="O5" s="2"/>
      <c r="P5" s="2"/>
    </row>
    <row r="6" spans="1:16" ht="18" customHeight="1">
      <c r="A6" s="2" t="s">
        <v>5</v>
      </c>
      <c r="B6" s="44"/>
      <c r="C6" s="2">
        <f>July!C6+B6</f>
        <v>0</v>
      </c>
      <c r="D6" s="2"/>
      <c r="E6" s="2"/>
      <c r="F6" s="44"/>
      <c r="G6" s="2">
        <f>July!G6+F6</f>
        <v>0</v>
      </c>
      <c r="H6" s="44"/>
      <c r="I6" s="2">
        <f>July!I6+H6</f>
        <v>0</v>
      </c>
      <c r="J6" s="2"/>
      <c r="K6" s="44"/>
      <c r="L6" s="2">
        <f>July!L6+K6</f>
        <v>0</v>
      </c>
      <c r="M6" s="44"/>
      <c r="N6" s="2">
        <f>July!N6+M6</f>
        <v>0</v>
      </c>
      <c r="O6" s="2"/>
      <c r="P6" s="2"/>
    </row>
    <row r="7" spans="1:16" ht="18" customHeight="1">
      <c r="A7" s="2" t="s">
        <v>6</v>
      </c>
      <c r="B7" s="44"/>
      <c r="C7" s="2">
        <f>July!C7+B7</f>
        <v>0</v>
      </c>
      <c r="D7" s="2"/>
      <c r="E7" s="2"/>
      <c r="F7" s="44">
        <f>2+5+5</f>
        <v>12</v>
      </c>
      <c r="G7" s="2">
        <f>July!G7+F7</f>
        <v>33</v>
      </c>
      <c r="H7" s="44">
        <f>5</f>
        <v>5</v>
      </c>
      <c r="I7" s="2">
        <f>July!I7+H7</f>
        <v>718</v>
      </c>
      <c r="J7" s="2">
        <f>2+1+1+2</f>
        <v>6</v>
      </c>
      <c r="K7" s="44"/>
      <c r="L7" s="2">
        <f>July!L7+K7</f>
        <v>1</v>
      </c>
      <c r="M7" s="44"/>
      <c r="N7" s="2">
        <f>July!N7+M7</f>
        <v>2</v>
      </c>
      <c r="O7" s="2"/>
      <c r="P7" s="2"/>
    </row>
    <row r="8" spans="1:16" ht="18" customHeight="1">
      <c r="A8" s="2" t="s">
        <v>7</v>
      </c>
      <c r="B8" s="44">
        <f>47+34+12+49+90+103+28+41+81+60+31+41+85+107+107+73</f>
        <v>989</v>
      </c>
      <c r="C8" s="2">
        <f>July!C8+B8</f>
        <v>4139</v>
      </c>
      <c r="D8" s="2"/>
      <c r="E8" s="2"/>
      <c r="F8" s="44"/>
      <c r="G8" s="2">
        <f>July!G8+F8</f>
        <v>42</v>
      </c>
      <c r="H8" s="44"/>
      <c r="I8" s="2">
        <f>July!I8+H8</f>
        <v>46</v>
      </c>
      <c r="J8" s="2"/>
      <c r="K8" s="44"/>
      <c r="L8" s="2">
        <f>July!L8+K8</f>
        <v>0</v>
      </c>
      <c r="M8" s="44"/>
      <c r="N8" s="2">
        <f>July!N8+M8</f>
        <v>0</v>
      </c>
      <c r="O8" s="2"/>
      <c r="P8" s="2"/>
    </row>
    <row r="9" spans="1:16" ht="18" customHeight="1">
      <c r="A9" s="2" t="s">
        <v>8</v>
      </c>
      <c r="B9" s="44">
        <f>140</f>
        <v>140</v>
      </c>
      <c r="C9" s="2">
        <f>July!C9+B9</f>
        <v>5482</v>
      </c>
      <c r="D9" s="2"/>
      <c r="E9" s="2"/>
      <c r="F9" s="44"/>
      <c r="G9" s="2">
        <f>July!G9+F9</f>
        <v>92</v>
      </c>
      <c r="H9" s="44">
        <f>230+55+1</f>
        <v>286</v>
      </c>
      <c r="I9" s="2">
        <f>July!I9+H9</f>
        <v>290</v>
      </c>
      <c r="J9" s="2">
        <f>1+1+1</f>
        <v>3</v>
      </c>
      <c r="K9" s="44"/>
      <c r="L9" s="2">
        <f>July!L9+K9</f>
        <v>13</v>
      </c>
      <c r="M9" s="44"/>
      <c r="N9" s="2">
        <f>July!N9+M9</f>
        <v>0</v>
      </c>
      <c r="O9" s="2"/>
      <c r="P9" s="2"/>
    </row>
    <row r="10" spans="1:16" ht="18" customHeight="1">
      <c r="A10" s="2" t="s">
        <v>10</v>
      </c>
      <c r="B10" s="44">
        <f>55+788</f>
        <v>843</v>
      </c>
      <c r="C10" s="2">
        <f>July!C10+B10</f>
        <v>3999</v>
      </c>
      <c r="D10" s="2"/>
      <c r="E10" s="2" t="s">
        <v>65</v>
      </c>
      <c r="F10" s="44">
        <f>1</f>
        <v>1</v>
      </c>
      <c r="G10" s="2">
        <f>July!G10+F10</f>
        <v>169</v>
      </c>
      <c r="H10" s="44"/>
      <c r="I10" s="2">
        <f>July!I10+H10</f>
        <v>94</v>
      </c>
      <c r="J10" s="2">
        <f>2+1</f>
        <v>3</v>
      </c>
      <c r="K10" s="44"/>
      <c r="L10" s="2">
        <f>July!L10+K10</f>
        <v>0</v>
      </c>
      <c r="M10" s="44"/>
      <c r="N10" s="2">
        <f>July!N10+M10</f>
        <v>0</v>
      </c>
      <c r="O10" s="2"/>
      <c r="P10" s="2"/>
    </row>
    <row r="11" spans="1:16" ht="18" customHeight="1">
      <c r="A11" s="2" t="s">
        <v>9</v>
      </c>
      <c r="B11" s="44"/>
      <c r="C11" s="2">
        <f>July!C11+B11</f>
        <v>1998</v>
      </c>
      <c r="D11" s="2"/>
      <c r="E11" s="2"/>
      <c r="F11" s="44">
        <f>1+2</f>
        <v>3</v>
      </c>
      <c r="G11" s="2">
        <f>July!G11+F11</f>
        <v>346</v>
      </c>
      <c r="H11" s="44">
        <f>131</f>
        <v>131</v>
      </c>
      <c r="I11" s="2">
        <f>July!I11+H11</f>
        <v>868</v>
      </c>
      <c r="J11" s="2">
        <f>1+1+1+1+1+1</f>
        <v>6</v>
      </c>
      <c r="K11" s="44"/>
      <c r="L11" s="2">
        <f>July!L11+K11</f>
        <v>4</v>
      </c>
      <c r="M11" s="44"/>
      <c r="N11" s="2">
        <f>July!N11+M11</f>
        <v>3</v>
      </c>
      <c r="O11" s="2"/>
      <c r="P11" s="2"/>
    </row>
    <row r="12" spans="1:16" ht="18" customHeight="1">
      <c r="A12" s="2" t="s">
        <v>11</v>
      </c>
      <c r="B12" s="44"/>
      <c r="C12" s="2">
        <f>July!C12+B12</f>
        <v>0</v>
      </c>
      <c r="D12" s="2"/>
      <c r="E12" s="2"/>
      <c r="F12" s="44"/>
      <c r="G12" s="2">
        <f>July!G12+F12</f>
        <v>0</v>
      </c>
      <c r="H12" s="44"/>
      <c r="I12" s="2">
        <f>July!I12+H12</f>
        <v>0</v>
      </c>
      <c r="J12" s="2"/>
      <c r="K12" s="44"/>
      <c r="L12" s="2">
        <f>July!L12+K12</f>
        <v>0</v>
      </c>
      <c r="M12" s="44"/>
      <c r="N12" s="2">
        <f>July!N12+M12</f>
        <v>0</v>
      </c>
      <c r="O12" s="2"/>
      <c r="P12" s="2"/>
    </row>
    <row r="13" spans="1:16" ht="18" customHeight="1">
      <c r="A13" s="2" t="s">
        <v>12</v>
      </c>
      <c r="B13" s="44"/>
      <c r="C13" s="2">
        <f>July!C13+B13</f>
        <v>0</v>
      </c>
      <c r="D13" s="2"/>
      <c r="E13" s="2"/>
      <c r="F13" s="44"/>
      <c r="G13" s="2">
        <f>July!G13+F13</f>
        <v>0</v>
      </c>
      <c r="H13" s="44"/>
      <c r="I13" s="2">
        <f>July!I13+H13</f>
        <v>0</v>
      </c>
      <c r="J13" s="2"/>
      <c r="K13" s="44"/>
      <c r="L13" s="2">
        <f>July!L13+K13</f>
        <v>0</v>
      </c>
      <c r="M13" s="44"/>
      <c r="N13" s="2">
        <f>July!N13+M13</f>
        <v>0</v>
      </c>
      <c r="O13" s="2"/>
      <c r="P13" s="2"/>
    </row>
    <row r="14" spans="1:16" ht="18" customHeight="1">
      <c r="A14" s="2" t="s">
        <v>13</v>
      </c>
      <c r="B14" s="44"/>
      <c r="C14" s="2">
        <f>July!C14+B14</f>
        <v>0</v>
      </c>
      <c r="D14" s="2"/>
      <c r="E14" s="2"/>
      <c r="F14" s="44"/>
      <c r="G14" s="2">
        <f>July!G14+F14</f>
        <v>43</v>
      </c>
      <c r="H14" s="44"/>
      <c r="I14" s="2">
        <f>July!I14+H14</f>
        <v>10</v>
      </c>
      <c r="J14" s="2">
        <f>1+1+2+1+5</f>
        <v>10</v>
      </c>
      <c r="K14" s="44"/>
      <c r="L14" s="2">
        <f>July!L14+K14</f>
        <v>0</v>
      </c>
      <c r="M14" s="44"/>
      <c r="N14" s="2">
        <f>July!N14+M14</f>
        <v>0</v>
      </c>
      <c r="O14" s="2"/>
      <c r="P14" s="2"/>
    </row>
    <row r="15" spans="1:16" ht="18" customHeight="1">
      <c r="A15" s="2" t="s">
        <v>14</v>
      </c>
      <c r="B15" s="44">
        <f>130+58+105+55+28</f>
        <v>376</v>
      </c>
      <c r="C15" s="2">
        <f>July!C15+B15</f>
        <v>3630</v>
      </c>
      <c r="D15" s="2"/>
      <c r="E15" s="2"/>
      <c r="F15" s="44">
        <f>33+33+33+33</f>
        <v>132</v>
      </c>
      <c r="G15" s="2">
        <f>July!G15+F15</f>
        <v>169</v>
      </c>
      <c r="H15" s="44"/>
      <c r="I15" s="2">
        <f>July!I15+H15</f>
        <v>2</v>
      </c>
      <c r="J15" s="2"/>
      <c r="K15" s="44"/>
      <c r="L15" s="2">
        <f>July!L15+K15</f>
        <v>0</v>
      </c>
      <c r="M15" s="44"/>
      <c r="N15" s="2">
        <f>July!N15+M15</f>
        <v>0</v>
      </c>
      <c r="O15" s="2"/>
      <c r="P15" s="2"/>
    </row>
    <row r="16" spans="1:16" ht="18" customHeight="1">
      <c r="A16" s="2" t="s">
        <v>15</v>
      </c>
      <c r="B16" s="44"/>
      <c r="C16" s="2">
        <f>July!C16+B16</f>
        <v>0</v>
      </c>
      <c r="D16" s="2"/>
      <c r="E16" s="2"/>
      <c r="F16" s="44"/>
      <c r="G16" s="2">
        <f>July!G16+F16</f>
        <v>0</v>
      </c>
      <c r="H16" s="44"/>
      <c r="I16" s="2">
        <f>July!I16+H16</f>
        <v>0</v>
      </c>
      <c r="J16" s="2"/>
      <c r="K16" s="44"/>
      <c r="L16" s="2">
        <f>July!L16+K16</f>
        <v>0</v>
      </c>
      <c r="M16" s="44"/>
      <c r="N16" s="2">
        <f>July!N16+M16</f>
        <v>0</v>
      </c>
      <c r="O16" s="2"/>
      <c r="P16" s="2"/>
    </row>
    <row r="17" spans="1:16" ht="18" customHeight="1">
      <c r="A17" s="2" t="s">
        <v>16</v>
      </c>
      <c r="B17" s="44">
        <f>85+140+85+81</f>
        <v>391</v>
      </c>
      <c r="C17" s="2">
        <f>July!C17+B17</f>
        <v>8916</v>
      </c>
      <c r="D17" s="2"/>
      <c r="E17" s="2"/>
      <c r="F17" s="44"/>
      <c r="G17" s="2">
        <f>July!G17+F17</f>
        <v>131</v>
      </c>
      <c r="H17" s="44">
        <f>19</f>
        <v>19</v>
      </c>
      <c r="I17" s="2">
        <f>July!I17+H17</f>
        <v>101</v>
      </c>
      <c r="J17" s="2"/>
      <c r="K17" s="44"/>
      <c r="L17" s="2">
        <f>July!L17+K17</f>
        <v>0</v>
      </c>
      <c r="M17" s="44"/>
      <c r="N17" s="2">
        <f>July!N17+M17</f>
        <v>0</v>
      </c>
      <c r="O17" s="2"/>
      <c r="P17" s="2"/>
    </row>
    <row r="18" spans="1:16" ht="18" customHeight="1">
      <c r="A18" s="2" t="s">
        <v>17</v>
      </c>
      <c r="B18" s="44">
        <f>72+105+115+43</f>
        <v>335</v>
      </c>
      <c r="C18" s="2">
        <f>July!C18+B18</f>
        <v>3720</v>
      </c>
      <c r="D18" s="2"/>
      <c r="E18" s="2" t="s">
        <v>65</v>
      </c>
      <c r="F18" s="44">
        <f>4+1+2+2+5+1</f>
        <v>15</v>
      </c>
      <c r="G18" s="2">
        <f>July!G18+F18</f>
        <v>304</v>
      </c>
      <c r="H18" s="44">
        <f>3+1+3</f>
        <v>7</v>
      </c>
      <c r="I18" s="2">
        <f>July!I18+H18</f>
        <v>294</v>
      </c>
      <c r="J18" s="2">
        <f>3+1+1+2+3+1+1+3+3+2+4+1+2+1+8+2+7</f>
        <v>45</v>
      </c>
      <c r="K18" s="44">
        <f>4+10+2+17+39</f>
        <v>72</v>
      </c>
      <c r="L18" s="2">
        <f>July!L18+K18</f>
        <v>171</v>
      </c>
      <c r="M18" s="44">
        <f>8+1</f>
        <v>9</v>
      </c>
      <c r="N18" s="2">
        <f>July!N18+M18</f>
        <v>36</v>
      </c>
      <c r="O18" s="2"/>
      <c r="P18" s="2"/>
    </row>
    <row r="19" spans="1:16" ht="18" customHeight="1">
      <c r="A19" s="2" t="s">
        <v>18</v>
      </c>
      <c r="B19" s="44">
        <f>192+157+64+163+150</f>
        <v>726</v>
      </c>
      <c r="C19" s="2">
        <f>July!C19+B19</f>
        <v>4850</v>
      </c>
      <c r="D19" s="2"/>
      <c r="E19" s="2"/>
      <c r="F19" s="44">
        <f>3+2+5+6+4+1</f>
        <v>21</v>
      </c>
      <c r="G19" s="2">
        <f>July!G19+F19</f>
        <v>50</v>
      </c>
      <c r="H19" s="44">
        <f>111+110+4+47+50+10+59+6+320</f>
        <v>717</v>
      </c>
      <c r="I19" s="2">
        <f>July!I19+H19</f>
        <v>3019</v>
      </c>
      <c r="J19" s="2">
        <f>3+5+11+6+1+12+5+1+1+1+4+4+5+9</f>
        <v>68</v>
      </c>
      <c r="K19" s="44">
        <f>11+8+2+6+15</f>
        <v>42</v>
      </c>
      <c r="L19" s="2">
        <f>July!L19+K19</f>
        <v>44</v>
      </c>
      <c r="M19" s="44"/>
      <c r="N19" s="2">
        <f>July!N19+M19</f>
        <v>0</v>
      </c>
      <c r="O19" s="2"/>
      <c r="P19" s="2"/>
    </row>
    <row r="20" spans="1:16" ht="18" customHeight="1">
      <c r="A20" s="2" t="s">
        <v>19</v>
      </c>
      <c r="B20" s="44">
        <f>198+18+18+75+70+315+108+83+143+107+177+77+193+240+210+268+92+235+71+68+64+37+215+60+71+34+130+130+385+310+70+57+61+84+75+61+450+350+200+181+62+63+163+59+303+57+138+140+61+167+201+249+31+200+58</f>
        <v>7743</v>
      </c>
      <c r="C20" s="2">
        <f>July!C20+B20</f>
        <v>28477</v>
      </c>
      <c r="D20" s="2"/>
      <c r="E20" s="2"/>
      <c r="F20" s="44">
        <f>5+2+4+5+2+1+5+5+3</f>
        <v>32</v>
      </c>
      <c r="G20" s="2">
        <f>July!G20+F20</f>
        <v>365</v>
      </c>
      <c r="H20" s="44">
        <f>120</f>
        <v>120</v>
      </c>
      <c r="I20" s="2">
        <f>July!I20+H20</f>
        <v>526</v>
      </c>
      <c r="J20" s="2">
        <f>2+14+6+2+1+1+4</f>
        <v>30</v>
      </c>
      <c r="K20" s="44">
        <f>1+1+1+1+6</f>
        <v>10</v>
      </c>
      <c r="L20" s="2">
        <f>July!L20+K20</f>
        <v>15</v>
      </c>
      <c r="M20" s="44"/>
      <c r="N20" s="2">
        <f>July!N20+M20</f>
        <v>0</v>
      </c>
      <c r="O20" s="2"/>
      <c r="P20" s="2"/>
    </row>
    <row r="21" spans="1:16" ht="18" customHeight="1">
      <c r="A21" s="2" t="s">
        <v>20</v>
      </c>
      <c r="B21" s="44">
        <f>670+71+67+54+140+60+114+95+74+95+71+209+56+60+160+30+336+58+62+240+88+68+240+490+125+93+180+64+89+150+89+54+87+106+61+68+70+70+53+75+70+63+320+95+54+74+89+125+35+175+59+93+138+105+43+295+11+64+110+61+64+116+162+117+32+64+107+69+137+208+84+61+167+55+34+27+76+74+19+88+55+173+57+109+58+68+17+17+76+170+135+174+121+55+75+22+97+164+135+380+129+87+135+92+100+50+65+125+300+92+200+190+71+79+95+80+71</f>
        <v>13001</v>
      </c>
      <c r="C21" s="2">
        <f>July!C21+B21</f>
        <v>71989</v>
      </c>
      <c r="D21" s="2"/>
      <c r="E21" s="2"/>
      <c r="F21" s="44">
        <f>1</f>
        <v>1</v>
      </c>
      <c r="G21" s="2">
        <f>July!G21+F21</f>
        <v>77</v>
      </c>
      <c r="H21" s="44"/>
      <c r="I21" s="2">
        <f>July!I21+H21</f>
        <v>474</v>
      </c>
      <c r="J21" s="2">
        <f>1+1+1+3+1</f>
        <v>7</v>
      </c>
      <c r="K21" s="44"/>
      <c r="L21" s="2">
        <f>July!L21+K21</f>
        <v>0</v>
      </c>
      <c r="M21" s="44"/>
      <c r="N21" s="2">
        <f>July!N21+M21</f>
        <v>0</v>
      </c>
      <c r="O21" s="2"/>
      <c r="P21" s="2"/>
    </row>
    <row r="22" spans="1:16" ht="18" customHeight="1">
      <c r="A22" s="2" t="s">
        <v>21</v>
      </c>
      <c r="B22" s="44"/>
      <c r="C22" s="2">
        <f>July!C22+B22</f>
        <v>0</v>
      </c>
      <c r="D22" s="2"/>
      <c r="E22" s="2"/>
      <c r="F22" s="44"/>
      <c r="G22" s="2">
        <f>July!G22+F22</f>
        <v>2</v>
      </c>
      <c r="H22" s="44"/>
      <c r="I22" s="2">
        <f>July!I22+H22</f>
        <v>0</v>
      </c>
      <c r="J22" s="2"/>
      <c r="K22" s="44"/>
      <c r="L22" s="2">
        <f>July!L22+K22</f>
        <v>0</v>
      </c>
      <c r="M22" s="44"/>
      <c r="N22" s="2">
        <f>July!N22+M22</f>
        <v>0</v>
      </c>
      <c r="O22" s="2"/>
      <c r="P22" s="2"/>
    </row>
    <row r="23" spans="1:16" ht="18" customHeight="1">
      <c r="A23" s="2" t="s">
        <v>22</v>
      </c>
      <c r="B23" s="44"/>
      <c r="C23" s="2">
        <f>July!C23+B23</f>
        <v>0</v>
      </c>
      <c r="D23" s="2"/>
      <c r="E23" s="2"/>
      <c r="F23" s="44"/>
      <c r="G23" s="2">
        <f>July!G23+F23</f>
        <v>0</v>
      </c>
      <c r="H23" s="44"/>
      <c r="I23" s="2">
        <f>July!I23+H23</f>
        <v>0</v>
      </c>
      <c r="J23" s="2"/>
      <c r="K23" s="44"/>
      <c r="L23" s="2">
        <f>July!L23+K23</f>
        <v>0</v>
      </c>
      <c r="M23" s="44"/>
      <c r="N23" s="2">
        <f>July!N23+M23</f>
        <v>0</v>
      </c>
      <c r="O23" s="2"/>
      <c r="P23" s="2"/>
    </row>
    <row r="24" spans="1:16" ht="18" customHeight="1">
      <c r="A24" s="2" t="s">
        <v>23</v>
      </c>
      <c r="B24" s="44"/>
      <c r="C24" s="2">
        <f>July!C24+B24</f>
        <v>0</v>
      </c>
      <c r="D24" s="2"/>
      <c r="E24" s="2"/>
      <c r="F24" s="44"/>
      <c r="G24" s="2">
        <f>July!G24+F24</f>
        <v>0</v>
      </c>
      <c r="H24" s="44"/>
      <c r="I24" s="2">
        <f>July!I24+H24</f>
        <v>7</v>
      </c>
      <c r="J24" s="2"/>
      <c r="K24" s="44"/>
      <c r="L24" s="2">
        <f>July!L24+K24</f>
        <v>0</v>
      </c>
      <c r="M24" s="44"/>
      <c r="N24" s="2">
        <f>July!N24+M24</f>
        <v>0</v>
      </c>
      <c r="O24" s="2"/>
      <c r="P24" s="2"/>
    </row>
    <row r="25" spans="1:16" ht="18" customHeight="1">
      <c r="A25" s="2" t="s">
        <v>68</v>
      </c>
      <c r="B25" s="44"/>
      <c r="C25" s="2">
        <f>July!C25+B25</f>
        <v>0</v>
      </c>
      <c r="D25" s="2"/>
      <c r="E25" s="2"/>
      <c r="F25" s="44"/>
      <c r="G25" s="2">
        <f>July!G25+F25</f>
        <v>17</v>
      </c>
      <c r="H25" s="44"/>
      <c r="I25" s="2">
        <f>July!I25+H25</f>
        <v>2</v>
      </c>
      <c r="J25" s="2"/>
      <c r="K25" s="44"/>
      <c r="L25" s="2">
        <f>July!L25+K25</f>
        <v>0</v>
      </c>
      <c r="M25" s="44"/>
      <c r="N25" s="2">
        <f>July!N25+M25</f>
        <v>0</v>
      </c>
      <c r="O25" s="2"/>
      <c r="P25" s="2"/>
    </row>
    <row r="26" spans="1:16" ht="18" customHeight="1">
      <c r="A26" s="2" t="s">
        <v>24</v>
      </c>
      <c r="B26" s="44"/>
      <c r="C26" s="2">
        <f>July!C26+B26</f>
        <v>0</v>
      </c>
      <c r="D26" s="2"/>
      <c r="E26" s="2"/>
      <c r="F26" s="44">
        <f>2</f>
        <v>2</v>
      </c>
      <c r="G26" s="2">
        <f>July!G26+F26</f>
        <v>12</v>
      </c>
      <c r="H26" s="44">
        <f>1+2</f>
        <v>3</v>
      </c>
      <c r="I26" s="2">
        <f>July!I26+H26</f>
        <v>12</v>
      </c>
      <c r="J26" s="2">
        <f>1+1+7</f>
        <v>9</v>
      </c>
      <c r="K26" s="44">
        <f>4+5+6+1+6+1+2+1+1+1+1</f>
        <v>29</v>
      </c>
      <c r="L26" s="2">
        <f>July!L26+K26</f>
        <v>52</v>
      </c>
      <c r="M26" s="44"/>
      <c r="N26" s="2">
        <f>July!N26+M26</f>
        <v>0</v>
      </c>
      <c r="O26" s="2"/>
      <c r="P26" s="2"/>
    </row>
    <row r="27" spans="1:16" ht="18" customHeight="1">
      <c r="A27" s="2" t="s">
        <v>25</v>
      </c>
      <c r="B27" s="44">
        <f>5+59+49+207+24+8+11+5+8+55+2+29+3+9+3+39+4+35+100+150+6+17+21+19+34+33+32+128+30+3+2+24+42+21+30+33+45+2+15+9+5+2+56+23+25+9</f>
        <v>1471</v>
      </c>
      <c r="C27" s="2">
        <f>July!C27+B27</f>
        <v>24530</v>
      </c>
      <c r="D27" s="2"/>
      <c r="E27" s="2"/>
      <c r="F27" s="44">
        <f>2+1+1+11+2+9+2+5+2+3+3+1+2+1+5+1+6+2+1+5+3+2+7+8+3+2</f>
        <v>90</v>
      </c>
      <c r="G27" s="2">
        <f>July!G27+F27</f>
        <v>759</v>
      </c>
      <c r="H27" s="44">
        <f>6+63+2+3+25+6+2+2+1+7+7+1+10+7+114+4+12+15+2+152+41+28+9+4</f>
        <v>523</v>
      </c>
      <c r="I27" s="2">
        <f>July!I27+H27</f>
        <v>4688</v>
      </c>
      <c r="J27" s="2">
        <f>2+2+4+1+1+3+2+6+1+3+2+6+1+1+1+1+5+2+1+2+11+8+3+3+2+1+1+1+2+1+1+2+1+1+1+2+1+1+2+2+1+1+2+3+1+2+1+2+2+2+2+2+2+1+10+6+1+16+12+25</f>
        <v>188</v>
      </c>
      <c r="K27" s="44">
        <f>25+26+21+39+11+3+1+1+33</f>
        <v>160</v>
      </c>
      <c r="L27" s="2">
        <f>July!L27+K27</f>
        <v>883</v>
      </c>
      <c r="M27" s="44">
        <f>33+9+2+12+9</f>
        <v>65</v>
      </c>
      <c r="N27" s="2">
        <f>July!N27+M27</f>
        <v>187</v>
      </c>
      <c r="O27" s="2"/>
      <c r="P27" s="2"/>
    </row>
    <row r="28" spans="1:16" ht="18" customHeight="1">
      <c r="A28" s="2" t="s">
        <v>26</v>
      </c>
      <c r="B28" s="44"/>
      <c r="C28" s="2">
        <f>July!C28+B28</f>
        <v>858</v>
      </c>
      <c r="D28" s="2"/>
      <c r="E28" s="2"/>
      <c r="F28" s="44"/>
      <c r="G28" s="2">
        <f>July!G28+F28</f>
        <v>7</v>
      </c>
      <c r="H28" s="44"/>
      <c r="I28" s="2">
        <f>July!I28+H28</f>
        <v>0</v>
      </c>
      <c r="J28" s="2">
        <f>1+2</f>
        <v>3</v>
      </c>
      <c r="K28" s="44"/>
      <c r="L28" s="2">
        <f>July!L28+K28</f>
        <v>0</v>
      </c>
      <c r="M28" s="44"/>
      <c r="N28" s="2">
        <f>July!N28+M28</f>
        <v>0</v>
      </c>
      <c r="O28" s="2"/>
      <c r="P28" s="2"/>
    </row>
    <row r="29" spans="1:16" ht="18" customHeight="1">
      <c r="A29" s="2" t="s">
        <v>27</v>
      </c>
      <c r="B29" s="44">
        <f>70+90+60+128+80+70+62+60+64+28+60+66+62+26+66+82+56+108+49+75+107+64+57+60+120+60+87+89+62+77+72+80+136+80+125+69+172+68+165+68+60+64+90+101+141+72+79+101+169+68+4+9+64+123+17+258+51+168+65+99+61+130+130+60+4+24+64+33+9+44+76+60</f>
        <v>5678</v>
      </c>
      <c r="C29" s="2">
        <f>July!C29+B29</f>
        <v>86224</v>
      </c>
      <c r="D29" s="2"/>
      <c r="E29" s="2" t="s">
        <v>65</v>
      </c>
      <c r="F29" s="44">
        <f>2+40+2+2+5+5+6+5+13+3+6+5+1+2+3+5+7+2+9</f>
        <v>123</v>
      </c>
      <c r="G29" s="2">
        <f>July!G29+F29</f>
        <v>1115</v>
      </c>
      <c r="H29" s="44"/>
      <c r="I29" s="2">
        <f>July!I29+H29</f>
        <v>239</v>
      </c>
      <c r="J29" s="2">
        <f>1+2+1+2+4+1+3+1+2+1+1+1+1+1+3+1+1+7+1+2+2+2+2+2+5+3+3</f>
        <v>56</v>
      </c>
      <c r="K29" s="44"/>
      <c r="L29" s="2">
        <f>July!L29+K29</f>
        <v>201</v>
      </c>
      <c r="M29" s="44">
        <f>8+10+5+5+1</f>
        <v>29</v>
      </c>
      <c r="N29" s="2">
        <f>July!N29+M29</f>
        <v>156</v>
      </c>
      <c r="O29" s="2"/>
      <c r="P29" s="2"/>
    </row>
    <row r="30" spans="1:16" ht="18" customHeight="1">
      <c r="A30" s="2" t="s">
        <v>28</v>
      </c>
      <c r="B30" s="44">
        <f>140+140+140+110+196+238+130+121+123+480+132+179+63+135+140+155+815+113+200+175+286+450+20+124+84+280+120+109+1210+1540+27+70+207+364+60+60+45+176+20+14+17+320+110+60+60+200+116+375+385</f>
        <v>10834</v>
      </c>
      <c r="C30" s="2">
        <f>July!C30+B30</f>
        <v>46360</v>
      </c>
      <c r="D30" s="2"/>
      <c r="E30" s="2"/>
      <c r="F30" s="44">
        <f>5</f>
        <v>5</v>
      </c>
      <c r="G30" s="2">
        <f>July!G30+F30</f>
        <v>4702</v>
      </c>
      <c r="H30" s="44"/>
      <c r="I30" s="2">
        <f>July!I30+H30</f>
        <v>0</v>
      </c>
      <c r="J30" s="2">
        <f>1+4+1</f>
        <v>6</v>
      </c>
      <c r="K30" s="44">
        <f>16+4+15</f>
        <v>35</v>
      </c>
      <c r="L30" s="2">
        <f>July!L30+K30</f>
        <v>2588</v>
      </c>
      <c r="M30" s="44"/>
      <c r="N30" s="2">
        <f>July!N30+M30</f>
        <v>15</v>
      </c>
      <c r="O30" s="2"/>
      <c r="P30" s="2"/>
    </row>
    <row r="31" spans="1:16" ht="18" customHeight="1">
      <c r="A31" s="2" t="s">
        <v>29</v>
      </c>
      <c r="B31" s="44">
        <f>182+9+2+23+91+126+15+127+75+248+71+166+115+245+193+193+63+183+140+253+95+109+52+113+2+9+8+70+62+128+153+16+66+56+133+66+69+350+286+6+2+115+330+53+71+325+64+187+190+9+127+75+74+102+92+180+68</f>
        <v>6433</v>
      </c>
      <c r="C31" s="2">
        <f>July!C31+B31</f>
        <v>38387</v>
      </c>
      <c r="D31" s="2"/>
      <c r="E31" s="2"/>
      <c r="F31" s="44">
        <f>2+6+42+1+3+2+53+28+215+4+7+8</f>
        <v>371</v>
      </c>
      <c r="G31" s="2">
        <f>July!G31+F31</f>
        <v>6981</v>
      </c>
      <c r="H31" s="44">
        <f>1+6+2+2+1+1+6+2+1+2+2+1+1+1+1+1+1+2+8+2+1+4+1+2+1+1</f>
        <v>54</v>
      </c>
      <c r="I31" s="2">
        <f>July!I31+H31</f>
        <v>355</v>
      </c>
      <c r="J31" s="2">
        <f>38</f>
        <v>38</v>
      </c>
      <c r="K31" s="44">
        <f>12+2+10+1+12+17+2+12</f>
        <v>68</v>
      </c>
      <c r="L31" s="2">
        <f>July!L31+K31</f>
        <v>589</v>
      </c>
      <c r="M31" s="44">
        <f>8+1+1+22+7+3+1+15+1+1</f>
        <v>60</v>
      </c>
      <c r="N31" s="2">
        <f>July!N31+M31</f>
        <v>204</v>
      </c>
      <c r="O31" s="2"/>
      <c r="P31" s="2"/>
    </row>
    <row r="32" spans="1:16" ht="18" customHeight="1">
      <c r="A32" s="2" t="s">
        <v>30</v>
      </c>
      <c r="B32" s="44"/>
      <c r="C32" s="2">
        <f>July!C32+B32</f>
        <v>0</v>
      </c>
      <c r="D32" s="2"/>
      <c r="E32" s="2"/>
      <c r="F32" s="44"/>
      <c r="G32" s="2">
        <f>July!G32+F32</f>
        <v>56</v>
      </c>
      <c r="H32" s="44"/>
      <c r="I32" s="2">
        <f>July!I32+H32</f>
        <v>60</v>
      </c>
      <c r="J32" s="2"/>
      <c r="K32" s="44"/>
      <c r="L32" s="2">
        <f>July!L32+K32</f>
        <v>3</v>
      </c>
      <c r="M32" s="44"/>
      <c r="N32" s="2">
        <f>July!N32+M32</f>
        <v>0</v>
      </c>
      <c r="O32" s="2"/>
      <c r="P32" s="2"/>
    </row>
    <row r="33" spans="1:16" ht="18" customHeight="1">
      <c r="A33" s="2" t="s">
        <v>31</v>
      </c>
      <c r="B33" s="44"/>
      <c r="C33" s="2">
        <f>July!C33+B33</f>
        <v>0</v>
      </c>
      <c r="D33" s="2"/>
      <c r="E33" s="2"/>
      <c r="F33" s="44"/>
      <c r="G33" s="2">
        <f>July!G33+F33</f>
        <v>0</v>
      </c>
      <c r="H33" s="44"/>
      <c r="I33" s="2">
        <f>July!I33+H33</f>
        <v>0</v>
      </c>
      <c r="J33" s="2">
        <f>1</f>
        <v>1</v>
      </c>
      <c r="K33" s="44"/>
      <c r="L33" s="2">
        <f>July!L33+K33</f>
        <v>0</v>
      </c>
      <c r="M33" s="44"/>
      <c r="N33" s="2">
        <f>July!N33+M33</f>
        <v>0</v>
      </c>
      <c r="O33" s="2"/>
      <c r="P33" s="2"/>
    </row>
    <row r="34" spans="1:16" ht="18" customHeight="1">
      <c r="A34" s="2" t="s">
        <v>32</v>
      </c>
      <c r="B34" s="44"/>
      <c r="C34" s="2">
        <f>July!C34+B34</f>
        <v>0</v>
      </c>
      <c r="D34" s="2"/>
      <c r="E34" s="2"/>
      <c r="F34" s="44"/>
      <c r="G34" s="2">
        <f>July!G34+F34</f>
        <v>0</v>
      </c>
      <c r="H34" s="44"/>
      <c r="I34" s="2">
        <f>July!I34+H34</f>
        <v>0</v>
      </c>
      <c r="J34" s="2">
        <f>2</f>
        <v>2</v>
      </c>
      <c r="K34" s="44"/>
      <c r="L34" s="2">
        <f>July!L34+K34</f>
        <v>0</v>
      </c>
      <c r="M34" s="44"/>
      <c r="N34" s="2">
        <f>July!N34+M34</f>
        <v>0</v>
      </c>
      <c r="O34" s="2"/>
      <c r="P34" s="2"/>
    </row>
    <row r="35" spans="1:16" ht="18" customHeight="1">
      <c r="A35" s="2" t="s">
        <v>33</v>
      </c>
      <c r="B35" s="44">
        <f>74</f>
        <v>74</v>
      </c>
      <c r="C35" s="2">
        <f>July!C35+B35</f>
        <v>1695</v>
      </c>
      <c r="D35" s="2"/>
      <c r="E35" s="2"/>
      <c r="F35" s="44"/>
      <c r="G35" s="2">
        <f>July!G35+F35</f>
        <v>5</v>
      </c>
      <c r="H35" s="44"/>
      <c r="I35" s="2">
        <f>July!I35+H35</f>
        <v>682</v>
      </c>
      <c r="J35" s="2">
        <f>8+7+2</f>
        <v>17</v>
      </c>
      <c r="K35" s="44"/>
      <c r="L35" s="2">
        <f>July!L35+K35</f>
        <v>3</v>
      </c>
      <c r="M35" s="44"/>
      <c r="N35" s="2">
        <f>July!N35+M35</f>
        <v>0</v>
      </c>
      <c r="O35" s="2"/>
      <c r="P35" s="2"/>
    </row>
    <row r="36" spans="1:16" ht="18" customHeight="1">
      <c r="A36" s="2" t="s">
        <v>34</v>
      </c>
      <c r="B36" s="44"/>
      <c r="C36" s="2">
        <f>July!C36+B36</f>
        <v>266</v>
      </c>
      <c r="D36" s="2"/>
      <c r="E36" s="2"/>
      <c r="F36" s="44"/>
      <c r="G36" s="2">
        <f>July!G36+F36</f>
        <v>0</v>
      </c>
      <c r="H36" s="44">
        <f>38+1</f>
        <v>39</v>
      </c>
      <c r="I36" s="2">
        <f>July!I36+H36</f>
        <v>636</v>
      </c>
      <c r="J36" s="2">
        <v>1</v>
      </c>
      <c r="K36" s="44"/>
      <c r="L36" s="2">
        <f>July!L36+K36</f>
        <v>8</v>
      </c>
      <c r="M36" s="44"/>
      <c r="N36" s="2">
        <f>July!N36+M36</f>
        <v>0</v>
      </c>
      <c r="O36" s="2"/>
      <c r="P36" s="2"/>
    </row>
    <row r="37" spans="1:16" ht="18" customHeight="1">
      <c r="A37" s="2" t="s">
        <v>35</v>
      </c>
      <c r="B37" s="44"/>
      <c r="C37" s="2">
        <f>July!C37+B37</f>
        <v>426</v>
      </c>
      <c r="D37" s="2"/>
      <c r="E37" s="2"/>
      <c r="F37" s="44"/>
      <c r="G37" s="2">
        <f>July!G37+F37</f>
        <v>2</v>
      </c>
      <c r="H37" s="44"/>
      <c r="I37" s="2">
        <f>July!I37+H37</f>
        <v>47</v>
      </c>
      <c r="J37" s="2">
        <f>3+1</f>
        <v>4</v>
      </c>
      <c r="K37" s="44"/>
      <c r="L37" s="2">
        <f>July!L37+K37</f>
        <v>0</v>
      </c>
      <c r="M37" s="44"/>
      <c r="N37" s="2">
        <f>July!N37+M37</f>
        <v>0</v>
      </c>
      <c r="O37" s="2"/>
      <c r="P37" s="2"/>
    </row>
    <row r="38" spans="1:16" ht="18" customHeight="1">
      <c r="A38" s="2" t="s">
        <v>36</v>
      </c>
      <c r="B38" s="44">
        <f>157+78+139+270+90+130+130+70+88+90+90+220+65+81+80+200+79+1070+63+379+301</f>
        <v>3870</v>
      </c>
      <c r="C38" s="2">
        <f>July!C38+B38</f>
        <v>44453</v>
      </c>
      <c r="D38" s="2"/>
      <c r="E38" s="2"/>
      <c r="F38" s="44">
        <f>3+12</f>
        <v>15</v>
      </c>
      <c r="G38" s="2">
        <f>July!G38+F38</f>
        <v>918</v>
      </c>
      <c r="H38" s="44">
        <f>45</f>
        <v>45</v>
      </c>
      <c r="I38" s="2">
        <f>July!I38+H38</f>
        <v>90</v>
      </c>
      <c r="J38" s="2">
        <f>1+4+2+1</f>
        <v>8</v>
      </c>
      <c r="K38" s="44">
        <f>160</f>
        <v>160</v>
      </c>
      <c r="L38" s="2">
        <f>July!L38+K38</f>
        <v>2445</v>
      </c>
      <c r="M38" s="44"/>
      <c r="N38" s="2">
        <f>July!N38+M38</f>
        <v>8</v>
      </c>
      <c r="O38" s="2"/>
      <c r="P38" s="2"/>
    </row>
    <row r="39" spans="1:16" ht="18" customHeight="1">
      <c r="A39" s="2" t="s">
        <v>37</v>
      </c>
      <c r="B39" s="44"/>
      <c r="C39" s="2">
        <f>July!C39+B39</f>
        <v>4703</v>
      </c>
      <c r="D39" s="2"/>
      <c r="E39" s="2"/>
      <c r="F39" s="44">
        <f>3+1</f>
        <v>4</v>
      </c>
      <c r="G39" s="2">
        <f>July!G39+F39</f>
        <v>67</v>
      </c>
      <c r="H39" s="44"/>
      <c r="I39" s="2">
        <f>July!I39+H39</f>
        <v>751</v>
      </c>
      <c r="J39" s="2">
        <f>9+1</f>
        <v>10</v>
      </c>
      <c r="K39" s="44">
        <f>10</f>
        <v>10</v>
      </c>
      <c r="L39" s="2">
        <f>July!L39+K39</f>
        <v>45</v>
      </c>
      <c r="M39" s="44"/>
      <c r="N39" s="2">
        <f>July!N39+M39</f>
        <v>0</v>
      </c>
      <c r="O39" s="2"/>
      <c r="P39" s="2"/>
    </row>
    <row r="40" spans="1:16" ht="18" customHeight="1">
      <c r="A40" s="2" t="s">
        <v>38</v>
      </c>
      <c r="B40" s="44"/>
      <c r="C40" s="2">
        <f>July!C40+B40</f>
        <v>5530</v>
      </c>
      <c r="D40" s="2"/>
      <c r="E40" s="2"/>
      <c r="F40" s="44"/>
      <c r="G40" s="2">
        <f>July!G40+F40</f>
        <v>242</v>
      </c>
      <c r="H40" s="44"/>
      <c r="I40" s="2">
        <f>July!I40+H40</f>
        <v>14</v>
      </c>
      <c r="J40" s="2"/>
      <c r="K40" s="44"/>
      <c r="L40" s="2">
        <f>July!L40+K40</f>
        <v>65</v>
      </c>
      <c r="M40" s="44"/>
      <c r="N40" s="2">
        <f>July!N40+M40</f>
        <v>3</v>
      </c>
      <c r="O40" s="2"/>
      <c r="P40" s="2"/>
    </row>
    <row r="41" spans="1:16" ht="18" customHeight="1">
      <c r="A41" s="2" t="s">
        <v>39</v>
      </c>
      <c r="B41" s="44">
        <f>26</f>
        <v>26</v>
      </c>
      <c r="C41" s="2">
        <f>July!C41+B41</f>
        <v>468</v>
      </c>
      <c r="D41" s="2"/>
      <c r="E41" s="2"/>
      <c r="F41" s="44"/>
      <c r="G41" s="2">
        <f>July!G41+F41</f>
        <v>2</v>
      </c>
      <c r="H41" s="44"/>
      <c r="I41" s="2">
        <f>July!I41+H41</f>
        <v>0</v>
      </c>
      <c r="J41" s="2"/>
      <c r="K41" s="44"/>
      <c r="L41" s="2">
        <f>July!L41+K41</f>
        <v>5</v>
      </c>
      <c r="M41" s="44"/>
      <c r="N41" s="2">
        <f>July!N41+M41</f>
        <v>0</v>
      </c>
      <c r="O41" s="2"/>
      <c r="P41" s="2"/>
    </row>
    <row r="42" spans="1:16" ht="18" customHeight="1">
      <c r="A42" s="2" t="s">
        <v>40</v>
      </c>
      <c r="B42" s="44">
        <f>9+15+15+15+15+8+15+15+15+15+15+15+62+62</f>
        <v>291</v>
      </c>
      <c r="C42" s="2">
        <f>July!C42+B42</f>
        <v>815</v>
      </c>
      <c r="D42" s="2"/>
      <c r="E42" s="2"/>
      <c r="F42" s="44">
        <f>6</f>
        <v>6</v>
      </c>
      <c r="G42" s="2">
        <f>July!G42+F42</f>
        <v>174</v>
      </c>
      <c r="H42" s="44"/>
      <c r="I42" s="2">
        <f>July!I42+H42</f>
        <v>329</v>
      </c>
      <c r="J42" s="2"/>
      <c r="K42" s="44"/>
      <c r="L42" s="2">
        <f>July!L42+K42</f>
        <v>0</v>
      </c>
      <c r="M42" s="44"/>
      <c r="N42" s="2">
        <f>July!N42+M42</f>
        <v>0</v>
      </c>
      <c r="O42" s="2"/>
      <c r="P42" s="2"/>
    </row>
    <row r="43" spans="1:16" ht="18" customHeight="1">
      <c r="A43" s="2" t="s">
        <v>41</v>
      </c>
      <c r="B43" s="44"/>
      <c r="C43" s="2">
        <f>July!C43+B43</f>
        <v>0</v>
      </c>
      <c r="D43" s="2"/>
      <c r="E43" s="2"/>
      <c r="F43" s="44"/>
      <c r="G43" s="2">
        <f>July!G43+F43</f>
        <v>0</v>
      </c>
      <c r="H43" s="44"/>
      <c r="I43" s="2">
        <f>July!I43+H43</f>
        <v>0</v>
      </c>
      <c r="J43" s="2"/>
      <c r="K43" s="44"/>
      <c r="L43" s="2">
        <f>July!L43+K43</f>
        <v>0</v>
      </c>
      <c r="M43" s="44"/>
      <c r="N43" s="2">
        <f>July!N43+M43</f>
        <v>0</v>
      </c>
      <c r="O43" s="2"/>
      <c r="P43" s="2"/>
    </row>
    <row r="44" spans="1:16" ht="18" customHeight="1">
      <c r="A44" s="2" t="s">
        <v>42</v>
      </c>
      <c r="B44" s="44">
        <f>85+90+85+77+77+108+91+90+81+64+71+71+83+86+90+90+69+92+82+110+109</f>
        <v>1801</v>
      </c>
      <c r="C44" s="2">
        <f>July!C44+B44</f>
        <v>6239</v>
      </c>
      <c r="D44" s="2"/>
      <c r="E44" s="2"/>
      <c r="F44" s="44"/>
      <c r="G44" s="2">
        <f>July!G44+F44</f>
        <v>0</v>
      </c>
      <c r="H44" s="44"/>
      <c r="I44" s="2">
        <f>July!I44+H44</f>
        <v>0</v>
      </c>
      <c r="J44" s="2"/>
      <c r="K44" s="44"/>
      <c r="L44" s="2">
        <f>July!L44+K44</f>
        <v>0</v>
      </c>
      <c r="M44" s="44"/>
      <c r="N44" s="2">
        <f>July!N44+M44</f>
        <v>0</v>
      </c>
      <c r="O44" s="2"/>
      <c r="P44" s="2"/>
    </row>
    <row r="45" spans="1:16" ht="18" customHeight="1">
      <c r="A45" s="2" t="s">
        <v>43</v>
      </c>
      <c r="B45" s="44">
        <f>23+19+8+8+9+13+24+16+15+13+14+24+48+67+55+77+59+63+60+72+58+58+70+73+108+59+58+4+46+3+72+126+165+20+45+11+2+5+14+6+175+23+75+78+6+55+63+35+96+23+20+6+13+14+317+3+80+11+22+6+5+3+32+65+56+35+31+31+33+29+50+14+35+65+5+63+200+50+71+139+67+2+136+200+96+205+21+10+74+98+79+61+110+23+65+5+101</f>
        <v>5176</v>
      </c>
      <c r="C45" s="2">
        <f>July!C45+B45</f>
        <v>159140</v>
      </c>
      <c r="D45" s="2"/>
      <c r="E45" s="2"/>
      <c r="F45" s="44">
        <f>11+1+1+1+4+80+2+3+14+21</f>
        <v>138</v>
      </c>
      <c r="G45" s="2">
        <f>July!G45+F45</f>
        <v>5073</v>
      </c>
      <c r="H45" s="44">
        <f>28+7</f>
        <v>35</v>
      </c>
      <c r="I45" s="2">
        <f>July!I45+H45</f>
        <v>739</v>
      </c>
      <c r="J45" s="2">
        <f>2+3+4+1+1+2+2</f>
        <v>15</v>
      </c>
      <c r="K45" s="44">
        <f>153+34+4+79+19+39+17+36+20+144+201+45+104+75+58+2</f>
        <v>1030</v>
      </c>
      <c r="L45" s="2">
        <f>July!L45+K45</f>
        <v>13433</v>
      </c>
      <c r="M45" s="44">
        <f>2+5+3+6+6+2+36+16</f>
        <v>76</v>
      </c>
      <c r="N45" s="2">
        <f>July!N45+M45</f>
        <v>741</v>
      </c>
      <c r="O45" s="2"/>
      <c r="P45" s="2"/>
    </row>
    <row r="46" spans="1:16" ht="18" customHeight="1">
      <c r="A46" s="2" t="s">
        <v>44</v>
      </c>
      <c r="B46" s="44">
        <f>120+56+120+100+60+51+68+50+35+106+60+66+133+70+54+89+200+105+85+80+82+80+71+107+86+152+92+95+90+96+49+110+15</f>
        <v>2833</v>
      </c>
      <c r="C46" s="2">
        <f>July!C46+B46</f>
        <v>15865</v>
      </c>
      <c r="D46" s="2"/>
      <c r="E46" s="2"/>
      <c r="F46" s="44">
        <f>2</f>
        <v>2</v>
      </c>
      <c r="G46" s="2">
        <f>July!G46+F46</f>
        <v>31</v>
      </c>
      <c r="H46" s="44"/>
      <c r="I46" s="2">
        <f>July!I46+H46</f>
        <v>1</v>
      </c>
      <c r="J46" s="2">
        <f>1</f>
        <v>1</v>
      </c>
      <c r="K46" s="44"/>
      <c r="L46" s="2">
        <f>July!L46+K46</f>
        <v>0</v>
      </c>
      <c r="M46" s="44"/>
      <c r="N46" s="2">
        <f>July!N46+M46</f>
        <v>0</v>
      </c>
      <c r="O46" s="2"/>
      <c r="P46" s="2"/>
    </row>
    <row r="47" spans="1:16" ht="18" customHeight="1">
      <c r="A47" s="2" t="s">
        <v>45</v>
      </c>
      <c r="B47" s="44">
        <f>65+210+175+70+225+180+151</f>
        <v>1076</v>
      </c>
      <c r="C47" s="2">
        <f>July!C47+B47</f>
        <v>8436</v>
      </c>
      <c r="D47" s="2"/>
      <c r="E47" s="2"/>
      <c r="F47" s="44">
        <f>2+15+15+9+11+2+2+7+1</f>
        <v>64</v>
      </c>
      <c r="G47" s="2">
        <f>July!G47+F47</f>
        <v>127</v>
      </c>
      <c r="H47" s="44">
        <f>36+94</f>
        <v>130</v>
      </c>
      <c r="I47" s="2">
        <f>July!I47+H47</f>
        <v>5307</v>
      </c>
      <c r="J47" s="2">
        <f>1+2+1+1+6+3+2+3+11+1+2</f>
        <v>33</v>
      </c>
      <c r="K47" s="44"/>
      <c r="L47" s="2">
        <f>July!L47+K47</f>
        <v>630</v>
      </c>
      <c r="M47" s="44"/>
      <c r="N47" s="2">
        <f>July!N47+M47</f>
        <v>0</v>
      </c>
      <c r="O47" s="2"/>
      <c r="P47" s="2"/>
    </row>
    <row r="48" spans="1:16" ht="18" customHeight="1">
      <c r="A48" s="2" t="s">
        <v>46</v>
      </c>
      <c r="B48" s="44"/>
      <c r="C48" s="2">
        <f>July!C48+B48</f>
        <v>135</v>
      </c>
      <c r="D48" s="2"/>
      <c r="E48" s="2"/>
      <c r="F48" s="44"/>
      <c r="G48" s="2">
        <f>July!G48+F48</f>
        <v>7</v>
      </c>
      <c r="H48" s="44">
        <f>3+138</f>
        <v>141</v>
      </c>
      <c r="I48" s="2">
        <f>July!I48+H48</f>
        <v>142</v>
      </c>
      <c r="J48" s="2"/>
      <c r="K48" s="44"/>
      <c r="L48" s="2">
        <f>July!L48+K48</f>
        <v>0</v>
      </c>
      <c r="M48" s="44"/>
      <c r="N48" s="2">
        <f>July!N48+M48</f>
        <v>0</v>
      </c>
      <c r="O48" s="2"/>
      <c r="P48" s="2"/>
    </row>
    <row r="49" spans="1:16" ht="18" customHeight="1">
      <c r="A49" s="2" t="s">
        <v>47</v>
      </c>
      <c r="B49" s="44"/>
      <c r="C49" s="2">
        <f>July!C49+B49</f>
        <v>0</v>
      </c>
      <c r="D49" s="2"/>
      <c r="E49" s="2"/>
      <c r="F49" s="44"/>
      <c r="G49" s="2">
        <f>July!G49+F49</f>
        <v>0</v>
      </c>
      <c r="H49" s="44">
        <f>1</f>
        <v>1</v>
      </c>
      <c r="I49" s="2">
        <f>July!I49+H49</f>
        <v>5</v>
      </c>
      <c r="J49" s="2"/>
      <c r="K49" s="44"/>
      <c r="L49" s="2">
        <f>July!L49+K49</f>
        <v>0</v>
      </c>
      <c r="M49" s="44"/>
      <c r="N49" s="2">
        <f>July!N49+M49</f>
        <v>0</v>
      </c>
      <c r="O49" s="2"/>
      <c r="P49" s="2"/>
    </row>
    <row r="50" spans="1:16" ht="18" customHeight="1">
      <c r="A50" s="2" t="s">
        <v>48</v>
      </c>
      <c r="B50" s="44">
        <f>68+63+133+65+58+118+120+108+66+66+69+160+123+58+67+120+418+299+65+63+113+121+240+57+66+59+92+86+41+178+56+63</f>
        <v>3479</v>
      </c>
      <c r="C50" s="2">
        <f>July!C50+B50</f>
        <v>21350</v>
      </c>
      <c r="D50" s="2"/>
      <c r="E50" s="2"/>
      <c r="F50" s="44">
        <f>2</f>
        <v>2</v>
      </c>
      <c r="G50" s="2">
        <f>July!G50+F50</f>
        <v>3</v>
      </c>
      <c r="H50" s="44"/>
      <c r="I50" s="2">
        <f>July!I50+H50</f>
        <v>0</v>
      </c>
      <c r="J50" s="2"/>
      <c r="K50" s="44"/>
      <c r="L50" s="2">
        <f>July!L50+K50</f>
        <v>2</v>
      </c>
      <c r="M50" s="44"/>
      <c r="N50" s="2">
        <f>July!N50+M50</f>
        <v>0</v>
      </c>
      <c r="O50" s="2"/>
      <c r="P50" s="2"/>
    </row>
    <row r="51" spans="1:16" ht="18" customHeight="1">
      <c r="A51" s="2" t="s">
        <v>49</v>
      </c>
      <c r="B51" s="44">
        <f>160+160</f>
        <v>320</v>
      </c>
      <c r="C51" s="2">
        <f>July!C51+B51</f>
        <v>3955</v>
      </c>
      <c r="D51" s="2"/>
      <c r="E51" s="2" t="s">
        <v>65</v>
      </c>
      <c r="F51" s="44"/>
      <c r="G51" s="2">
        <f>July!G51+F51</f>
        <v>0</v>
      </c>
      <c r="H51" s="44"/>
      <c r="I51" s="2">
        <f>July!I51+H51</f>
        <v>49</v>
      </c>
      <c r="J51" s="2"/>
      <c r="K51" s="44"/>
      <c r="L51" s="2">
        <f>July!L51+K51</f>
        <v>0</v>
      </c>
      <c r="M51" s="44"/>
      <c r="N51" s="2">
        <f>July!N51+M51</f>
        <v>1</v>
      </c>
      <c r="O51" s="2"/>
      <c r="P51" s="2"/>
    </row>
    <row r="52" spans="1:16" ht="18" customHeight="1">
      <c r="A52" s="2" t="s">
        <v>50</v>
      </c>
      <c r="B52" s="44">
        <f>57+54+100+64+61+58+55+58+54+18+40+63+54+54+54+62+56+62+77+57+53+51+31+67+21+55+54+63+63+62+70+52+53+53+56+56</f>
        <v>2018</v>
      </c>
      <c r="C52" s="2">
        <f>July!C52+B52</f>
        <v>7580</v>
      </c>
      <c r="D52" s="2"/>
      <c r="E52" s="2"/>
      <c r="F52" s="44"/>
      <c r="G52" s="2">
        <f>July!G52+F52</f>
        <v>67</v>
      </c>
      <c r="H52" s="44"/>
      <c r="I52" s="2">
        <f>July!I52+H52</f>
        <v>0</v>
      </c>
      <c r="J52" s="2"/>
      <c r="K52" s="44"/>
      <c r="L52" s="2">
        <f>July!L52+K52</f>
        <v>0</v>
      </c>
      <c r="M52" s="44"/>
      <c r="N52" s="2">
        <f>July!N52+M52</f>
        <v>0</v>
      </c>
      <c r="O52" s="2"/>
      <c r="P52" s="2"/>
    </row>
    <row r="53" spans="1:16" ht="18" customHeight="1">
      <c r="A53" s="2" t="s">
        <v>67</v>
      </c>
      <c r="B53" s="44">
        <f>160+100+288+120+10+60+20+5+35+2+19+4+67+34+13+4+18+42+21+25+33+7+25+11+32+72+59+50+125+100+75+50+100+125+6+20+30+40+100+81+2+10+3+27+2+290+168+30+48</f>
        <v>2768</v>
      </c>
      <c r="C53" s="2">
        <f>July!C53+B53</f>
        <v>22351</v>
      </c>
      <c r="D53" s="2"/>
      <c r="E53" s="2" t="s">
        <v>65</v>
      </c>
      <c r="F53" s="44">
        <f>1+3+1+5+3+3+12+4+4+7+12+2</f>
        <v>57</v>
      </c>
      <c r="G53" s="2">
        <f>July!G53+F53</f>
        <v>754</v>
      </c>
      <c r="H53" s="44">
        <f>13+38+5+11+2+29+8+50+12+7+1+6+1+38+38+1+16+14+75+28+17+77+38+1+30+35</f>
        <v>591</v>
      </c>
      <c r="I53" s="2">
        <f>July!I53+H53</f>
        <v>4315</v>
      </c>
      <c r="J53" s="2">
        <f>8+5+3+1+2+3+2+1+1+3+1+5+1+6+3+7+12+10+5+9+1+2+3+5+3+2+4+1+3+10+4+10+2+1+1+2+1+2+14</f>
        <v>159</v>
      </c>
      <c r="K53" s="44">
        <f>5+7+37+6+1+6+10+1+21+20+1+5+2+2+12+12+19</f>
        <v>167</v>
      </c>
      <c r="L53" s="2">
        <f>July!L53+K53</f>
        <v>228</v>
      </c>
      <c r="M53" s="44">
        <f>14+1</f>
        <v>15</v>
      </c>
      <c r="N53" s="2">
        <f>July!N53+M53</f>
        <v>24</v>
      </c>
      <c r="O53" s="2"/>
      <c r="P53" s="2"/>
    </row>
    <row r="54" spans="1:16" ht="18" customHeight="1" thickBot="1">
      <c r="A54" s="3" t="s">
        <v>51</v>
      </c>
      <c r="B54" s="45">
        <f>61+220+107+1500+172+56+120</f>
        <v>2236</v>
      </c>
      <c r="C54" s="2">
        <f>July!C54+B54</f>
        <v>5346</v>
      </c>
      <c r="D54" s="3"/>
      <c r="E54" s="3"/>
      <c r="F54" s="45">
        <f>4</f>
        <v>4</v>
      </c>
      <c r="G54" s="2">
        <f>July!G54+F54</f>
        <v>946</v>
      </c>
      <c r="H54" s="45"/>
      <c r="I54" s="2">
        <f>July!I54+H54</f>
        <v>0</v>
      </c>
      <c r="J54" s="3">
        <f>10+5+1</f>
        <v>16</v>
      </c>
      <c r="K54" s="45"/>
      <c r="L54" s="2">
        <f>July!L54+K54</f>
        <v>51</v>
      </c>
      <c r="M54" s="45"/>
      <c r="N54" s="2">
        <f>July!N54+M54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75337</v>
      </c>
      <c r="C55" s="1"/>
      <c r="D55" s="1">
        <f>SUM(D5:D54)</f>
        <v>0</v>
      </c>
      <c r="E55" s="1">
        <f>SUM(E5:E54)</f>
        <v>0</v>
      </c>
      <c r="F55" s="1">
        <f>SUM(F5:F54)</f>
        <v>1101</v>
      </c>
      <c r="G55" s="1"/>
      <c r="H55" s="1">
        <f>SUM(H5:H54)</f>
        <v>2847</v>
      </c>
      <c r="I55" s="1"/>
      <c r="J55" s="1">
        <f>SUM(J5:J54)</f>
        <v>745</v>
      </c>
      <c r="K55" s="1">
        <f>SUM(K5:K54)</f>
        <v>1783</v>
      </c>
      <c r="L55" s="1"/>
      <c r="M55" s="1">
        <f>SUM(M5:M54)</f>
        <v>254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July!C57+B55</f>
        <v>643850</v>
      </c>
      <c r="D57" s="1">
        <f>July!D57+D55</f>
        <v>112</v>
      </c>
      <c r="E57" s="1">
        <f>July!E57+E55</f>
        <v>0</v>
      </c>
      <c r="F57" s="1"/>
      <c r="G57" s="1">
        <f>July!G57+F55</f>
        <v>23898</v>
      </c>
      <c r="H57" s="1"/>
      <c r="I57" s="1">
        <f>July!I57+H55</f>
        <v>24972</v>
      </c>
      <c r="J57" s="1">
        <f>July!J57+J55</f>
        <v>5114</v>
      </c>
      <c r="K57" s="1"/>
      <c r="L57" s="1">
        <f>July!L57+K55</f>
        <v>21479</v>
      </c>
      <c r="M57" s="1"/>
      <c r="N57" s="1">
        <f>July!N57+M55</f>
        <v>1437</v>
      </c>
      <c r="O57" s="1">
        <f>July!O57+O55</f>
        <v>173</v>
      </c>
      <c r="P57" s="1">
        <f>July!P57+P55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July!G62+F60</f>
        <v>7083</v>
      </c>
      <c r="I62" s="5">
        <f>July!I62+H60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xSplit="1" ySplit="4" topLeftCell="B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79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6">
        <f>75+84+75</f>
        <v>234</v>
      </c>
      <c r="C5" s="2">
        <f>August!C5+B5</f>
        <v>1772</v>
      </c>
      <c r="D5" s="2"/>
      <c r="E5" s="2"/>
      <c r="F5" s="47"/>
      <c r="G5" s="2">
        <f>August!G5+F5</f>
        <v>8</v>
      </c>
      <c r="H5" s="32"/>
      <c r="I5" s="2">
        <f>August!I5+H5</f>
        <v>60</v>
      </c>
      <c r="J5" s="2"/>
      <c r="K5" s="49"/>
      <c r="L5" s="2">
        <f>August!L5+K5</f>
        <v>0</v>
      </c>
      <c r="M5" s="49"/>
      <c r="N5" s="2">
        <f>August!N5+M5</f>
        <v>0</v>
      </c>
      <c r="O5" s="2"/>
      <c r="P5" s="2"/>
    </row>
    <row r="6" spans="1:16" ht="18" customHeight="1">
      <c r="A6" s="2" t="s">
        <v>5</v>
      </c>
      <c r="B6" s="26"/>
      <c r="C6" s="2">
        <f>August!C6+B6</f>
        <v>0</v>
      </c>
      <c r="D6" s="2"/>
      <c r="E6" s="2"/>
      <c r="F6" s="47"/>
      <c r="G6" s="2">
        <f>August!G6+F6</f>
        <v>0</v>
      </c>
      <c r="H6" s="32"/>
      <c r="I6" s="2">
        <f>August!I6+H6</f>
        <v>0</v>
      </c>
      <c r="J6" s="2"/>
      <c r="K6" s="49"/>
      <c r="L6" s="2">
        <f>August!L6+K6</f>
        <v>0</v>
      </c>
      <c r="M6" s="49"/>
      <c r="N6" s="2">
        <f>August!N6+M6</f>
        <v>0</v>
      </c>
      <c r="O6" s="2"/>
      <c r="P6" s="2"/>
    </row>
    <row r="7" spans="1:16" ht="18" customHeight="1">
      <c r="A7" s="2" t="s">
        <v>6</v>
      </c>
      <c r="B7" s="26"/>
      <c r="C7" s="2">
        <f>August!C7+B7</f>
        <v>0</v>
      </c>
      <c r="D7" s="2"/>
      <c r="E7" s="2"/>
      <c r="F7" s="47"/>
      <c r="G7" s="2">
        <f>August!G7+F7</f>
        <v>33</v>
      </c>
      <c r="H7" s="32"/>
      <c r="I7" s="2">
        <f>August!I7+H7</f>
        <v>718</v>
      </c>
      <c r="J7" s="2"/>
      <c r="K7" s="49"/>
      <c r="L7" s="2">
        <f>August!L7+K7</f>
        <v>1</v>
      </c>
      <c r="M7" s="49"/>
      <c r="N7" s="2">
        <f>August!N7+M7</f>
        <v>2</v>
      </c>
      <c r="O7" s="2"/>
      <c r="P7" s="2"/>
    </row>
    <row r="8" spans="1:16" ht="18" customHeight="1">
      <c r="A8" s="2" t="s">
        <v>7</v>
      </c>
      <c r="B8" s="26">
        <f>56+12+76+60+90+198</f>
        <v>492</v>
      </c>
      <c r="C8" s="2">
        <f>August!C8+B8</f>
        <v>4631</v>
      </c>
      <c r="D8" s="2"/>
      <c r="E8" s="2"/>
      <c r="F8" s="47"/>
      <c r="G8" s="2">
        <f>August!G8+F8</f>
        <v>42</v>
      </c>
      <c r="H8" s="32"/>
      <c r="I8" s="2">
        <f>August!I8+H8</f>
        <v>46</v>
      </c>
      <c r="J8" s="2">
        <f>2+3+2+3</f>
        <v>10</v>
      </c>
      <c r="K8" s="49"/>
      <c r="L8" s="2">
        <f>August!L8+K8</f>
        <v>0</v>
      </c>
      <c r="M8" s="49"/>
      <c r="N8" s="2">
        <f>August!N8+M8</f>
        <v>0</v>
      </c>
      <c r="O8" s="2"/>
      <c r="P8" s="2"/>
    </row>
    <row r="9" spans="1:16" ht="18" customHeight="1">
      <c r="A9" s="2" t="s">
        <v>8</v>
      </c>
      <c r="B9" s="26">
        <f>152</f>
        <v>152</v>
      </c>
      <c r="C9" s="2">
        <f>August!C9+B9</f>
        <v>5634</v>
      </c>
      <c r="D9" s="2"/>
      <c r="E9" s="2"/>
      <c r="F9" s="47"/>
      <c r="G9" s="2">
        <f>August!G9+F9</f>
        <v>92</v>
      </c>
      <c r="H9" s="32"/>
      <c r="I9" s="2">
        <f>August!I9+H9</f>
        <v>290</v>
      </c>
      <c r="J9" s="2">
        <f>1</f>
        <v>1</v>
      </c>
      <c r="K9" s="49"/>
      <c r="L9" s="2">
        <f>August!L9+K9</f>
        <v>13</v>
      </c>
      <c r="M9" s="49">
        <f>5+3</f>
        <v>8</v>
      </c>
      <c r="N9" s="2">
        <f>August!N9+M9</f>
        <v>8</v>
      </c>
      <c r="O9" s="2"/>
      <c r="P9" s="2"/>
    </row>
    <row r="10" spans="1:16" ht="18" customHeight="1">
      <c r="A10" s="2" t="s">
        <v>10</v>
      </c>
      <c r="B10" s="26">
        <f>586</f>
        <v>586</v>
      </c>
      <c r="C10" s="2">
        <f>August!C10+B10</f>
        <v>4585</v>
      </c>
      <c r="D10" s="2"/>
      <c r="E10" s="2"/>
      <c r="F10" s="47">
        <f>1</f>
        <v>1</v>
      </c>
      <c r="G10" s="2">
        <f>August!G10+F10</f>
        <v>170</v>
      </c>
      <c r="H10" s="32"/>
      <c r="I10" s="2">
        <f>August!I10+H10</f>
        <v>94</v>
      </c>
      <c r="J10" s="2"/>
      <c r="K10" s="49"/>
      <c r="L10" s="2">
        <f>August!L10+K10</f>
        <v>0</v>
      </c>
      <c r="M10" s="49"/>
      <c r="N10" s="2">
        <f>August!N10+M10</f>
        <v>0</v>
      </c>
      <c r="O10" s="2"/>
      <c r="P10" s="2"/>
    </row>
    <row r="11" spans="1:16" ht="18" customHeight="1">
      <c r="A11" s="2" t="s">
        <v>9</v>
      </c>
      <c r="B11" s="26"/>
      <c r="C11" s="2">
        <f>August!C11+B11</f>
        <v>1998</v>
      </c>
      <c r="D11" s="2"/>
      <c r="E11" s="2"/>
      <c r="F11" s="47"/>
      <c r="G11" s="2">
        <f>August!G11+F11</f>
        <v>346</v>
      </c>
      <c r="H11" s="32"/>
      <c r="I11" s="2">
        <f>August!I11+H11</f>
        <v>868</v>
      </c>
      <c r="J11" s="2">
        <f>1+12+4+8+1+2+6+5+1+1+4+2+1+2</f>
        <v>50</v>
      </c>
      <c r="K11" s="49"/>
      <c r="L11" s="2">
        <f>August!L11+K11</f>
        <v>4</v>
      </c>
      <c r="M11" s="49"/>
      <c r="N11" s="2">
        <f>August!N11+M11</f>
        <v>3</v>
      </c>
      <c r="O11" s="2"/>
      <c r="P11" s="2"/>
    </row>
    <row r="12" spans="1:16" ht="18" customHeight="1">
      <c r="A12" s="2" t="s">
        <v>11</v>
      </c>
      <c r="B12" s="26"/>
      <c r="C12" s="2">
        <f>August!C12+B12</f>
        <v>0</v>
      </c>
      <c r="D12" s="2"/>
      <c r="E12" s="2"/>
      <c r="F12" s="47"/>
      <c r="G12" s="2">
        <f>August!G12+F12</f>
        <v>0</v>
      </c>
      <c r="H12" s="32"/>
      <c r="I12" s="2">
        <f>August!I12+H12</f>
        <v>0</v>
      </c>
      <c r="J12" s="2"/>
      <c r="K12" s="49"/>
      <c r="L12" s="2">
        <f>August!L12+K12</f>
        <v>0</v>
      </c>
      <c r="M12" s="49"/>
      <c r="N12" s="2">
        <f>August!N12+M12</f>
        <v>0</v>
      </c>
      <c r="O12" s="2"/>
      <c r="P12" s="2"/>
    </row>
    <row r="13" spans="1:16" ht="18" customHeight="1">
      <c r="A13" s="2" t="s">
        <v>12</v>
      </c>
      <c r="B13" s="26"/>
      <c r="C13" s="2">
        <f>August!C13+B13</f>
        <v>0</v>
      </c>
      <c r="D13" s="2"/>
      <c r="E13" s="2"/>
      <c r="F13" s="47"/>
      <c r="G13" s="2">
        <f>August!G13+F13</f>
        <v>0</v>
      </c>
      <c r="H13" s="32"/>
      <c r="I13" s="2">
        <f>August!I13+H13</f>
        <v>0</v>
      </c>
      <c r="J13" s="2"/>
      <c r="K13" s="49"/>
      <c r="L13" s="2">
        <f>August!L13+K13</f>
        <v>0</v>
      </c>
      <c r="M13" s="49"/>
      <c r="N13" s="2">
        <f>August!N13+M13</f>
        <v>0</v>
      </c>
      <c r="O13" s="2"/>
      <c r="P13" s="2"/>
    </row>
    <row r="14" spans="1:16" ht="18" customHeight="1">
      <c r="A14" s="2" t="s">
        <v>13</v>
      </c>
      <c r="B14" s="26"/>
      <c r="C14" s="2">
        <f>August!C14+B14</f>
        <v>0</v>
      </c>
      <c r="D14" s="2"/>
      <c r="E14" s="2"/>
      <c r="F14" s="47"/>
      <c r="G14" s="2">
        <f>August!G14+F14</f>
        <v>43</v>
      </c>
      <c r="H14" s="32"/>
      <c r="I14" s="2">
        <f>August!I14+H14</f>
        <v>10</v>
      </c>
      <c r="J14" s="2">
        <f>2</f>
        <v>2</v>
      </c>
      <c r="K14" s="49"/>
      <c r="L14" s="2">
        <f>August!L14+K14</f>
        <v>0</v>
      </c>
      <c r="M14" s="49"/>
      <c r="N14" s="2">
        <f>August!N14+M14</f>
        <v>0</v>
      </c>
      <c r="O14" s="2"/>
      <c r="P14" s="2"/>
    </row>
    <row r="15" spans="1:16" ht="18" customHeight="1">
      <c r="A15" s="2" t="s">
        <v>14</v>
      </c>
      <c r="B15" s="26">
        <f>90+140+73+21+72+70</f>
        <v>466</v>
      </c>
      <c r="C15" s="2">
        <f>August!C15+B15</f>
        <v>4096</v>
      </c>
      <c r="D15" s="2"/>
      <c r="E15" s="2"/>
      <c r="F15" s="47"/>
      <c r="G15" s="2">
        <f>August!G15+F15</f>
        <v>169</v>
      </c>
      <c r="H15" s="32"/>
      <c r="I15" s="2">
        <f>August!I15+H15</f>
        <v>2</v>
      </c>
      <c r="J15" s="2">
        <f>2</f>
        <v>2</v>
      </c>
      <c r="K15" s="49"/>
      <c r="L15" s="2">
        <f>August!L15+K15</f>
        <v>0</v>
      </c>
      <c r="M15" s="49"/>
      <c r="N15" s="2">
        <f>August!N15+M15</f>
        <v>0</v>
      </c>
      <c r="O15" s="2"/>
      <c r="P15" s="2"/>
    </row>
    <row r="16" spans="1:16" ht="18" customHeight="1">
      <c r="A16" s="2" t="s">
        <v>15</v>
      </c>
      <c r="B16" s="26"/>
      <c r="C16" s="2">
        <f>August!C16+B16</f>
        <v>0</v>
      </c>
      <c r="D16" s="2"/>
      <c r="E16" s="2"/>
      <c r="F16" s="47"/>
      <c r="G16" s="2">
        <f>August!G16+F16</f>
        <v>0</v>
      </c>
      <c r="H16" s="32"/>
      <c r="I16" s="2">
        <f>August!I16+H16</f>
        <v>0</v>
      </c>
      <c r="J16" s="2"/>
      <c r="K16" s="49"/>
      <c r="L16" s="2">
        <f>August!L16+K16</f>
        <v>0</v>
      </c>
      <c r="M16" s="49"/>
      <c r="N16" s="2">
        <f>August!N16+M16</f>
        <v>0</v>
      </c>
      <c r="O16" s="2"/>
      <c r="P16" s="2"/>
    </row>
    <row r="17" spans="1:16" ht="18" customHeight="1">
      <c r="A17" s="2" t="s">
        <v>16</v>
      </c>
      <c r="B17" s="26">
        <f>140+80+190+51+210+190+150+67</f>
        <v>1078</v>
      </c>
      <c r="C17" s="2">
        <f>August!C17+B17</f>
        <v>9994</v>
      </c>
      <c r="D17" s="2"/>
      <c r="E17" s="2"/>
      <c r="F17" s="47"/>
      <c r="G17" s="2">
        <f>August!G17+F17</f>
        <v>131</v>
      </c>
      <c r="H17" s="32">
        <f>69+2</f>
        <v>71</v>
      </c>
      <c r="I17" s="2">
        <f>August!I17+H17</f>
        <v>172</v>
      </c>
      <c r="J17" s="2"/>
      <c r="K17" s="49"/>
      <c r="L17" s="2">
        <f>August!L17+K17</f>
        <v>0</v>
      </c>
      <c r="M17" s="49"/>
      <c r="N17" s="2">
        <f>August!N17+M17</f>
        <v>0</v>
      </c>
      <c r="O17" s="2"/>
      <c r="P17" s="2"/>
    </row>
    <row r="18" spans="1:16" ht="18" customHeight="1">
      <c r="A18" s="2" t="s">
        <v>17</v>
      </c>
      <c r="B18" s="26">
        <f>60+180+56+60+130</f>
        <v>486</v>
      </c>
      <c r="C18" s="2">
        <f>August!C18+B18</f>
        <v>4206</v>
      </c>
      <c r="D18" s="2"/>
      <c r="E18" s="2"/>
      <c r="F18" s="47">
        <f>4+1</f>
        <v>5</v>
      </c>
      <c r="G18" s="2">
        <f>August!G18+F18</f>
        <v>309</v>
      </c>
      <c r="H18" s="32">
        <f>1+1+4+2</f>
        <v>8</v>
      </c>
      <c r="I18" s="2">
        <f>August!I18+H18</f>
        <v>302</v>
      </c>
      <c r="J18" s="2">
        <f>4+6+1+2+2+2+2+1+1+1+1+2+1+7+182</f>
        <v>215</v>
      </c>
      <c r="K18" s="49">
        <f>7</f>
        <v>7</v>
      </c>
      <c r="L18" s="2">
        <f>August!L18+K18</f>
        <v>178</v>
      </c>
      <c r="M18" s="49">
        <f>10+10</f>
        <v>20</v>
      </c>
      <c r="N18" s="2">
        <f>August!N18+M18</f>
        <v>56</v>
      </c>
      <c r="O18" s="2"/>
      <c r="P18" s="2"/>
    </row>
    <row r="19" spans="1:16" ht="18" customHeight="1">
      <c r="A19" s="2" t="s">
        <v>18</v>
      </c>
      <c r="B19" s="26">
        <f>140+150+150</f>
        <v>440</v>
      </c>
      <c r="C19" s="2">
        <f>August!C19+B19</f>
        <v>5290</v>
      </c>
      <c r="D19" s="2"/>
      <c r="E19" s="2" t="s">
        <v>83</v>
      </c>
      <c r="F19" s="47">
        <f>5+3+6</f>
        <v>14</v>
      </c>
      <c r="G19" s="2">
        <f>August!G19+F19</f>
        <v>64</v>
      </c>
      <c r="H19" s="32">
        <f>113+111+22+7+19</f>
        <v>272</v>
      </c>
      <c r="I19" s="2">
        <f>August!I19+H19</f>
        <v>3291</v>
      </c>
      <c r="J19" s="2">
        <f>1+1+1+2+2+1+2</f>
        <v>10</v>
      </c>
      <c r="K19" s="49"/>
      <c r="L19" s="2">
        <f>August!L19+K19</f>
        <v>44</v>
      </c>
      <c r="M19" s="49"/>
      <c r="N19" s="2">
        <f>August!N19+M19</f>
        <v>0</v>
      </c>
      <c r="O19" s="2"/>
      <c r="P19" s="2"/>
    </row>
    <row r="20" spans="1:16" ht="18" customHeight="1">
      <c r="A20" s="2" t="s">
        <v>19</v>
      </c>
      <c r="B20" s="26">
        <f>62+116+65+102+185+23+60+200+62+122+63+126</f>
        <v>1186</v>
      </c>
      <c r="C20" s="2">
        <f>August!C20+B20</f>
        <v>29663</v>
      </c>
      <c r="D20" s="2"/>
      <c r="E20" s="2"/>
      <c r="F20" s="47">
        <f>1+4</f>
        <v>5</v>
      </c>
      <c r="G20" s="2">
        <f>August!G20+F20</f>
        <v>370</v>
      </c>
      <c r="H20" s="32">
        <f>1</f>
        <v>1</v>
      </c>
      <c r="I20" s="2">
        <f>August!I20+H20</f>
        <v>527</v>
      </c>
      <c r="J20" s="2">
        <f>1+2+2+1+1+1+3+3</f>
        <v>14</v>
      </c>
      <c r="K20" s="49"/>
      <c r="L20" s="2">
        <f>August!L20+K20</f>
        <v>15</v>
      </c>
      <c r="M20" s="49"/>
      <c r="N20" s="2">
        <f>August!N20+M20</f>
        <v>0</v>
      </c>
      <c r="O20" s="2"/>
      <c r="P20" s="2"/>
    </row>
    <row r="21" spans="1:16" ht="18" customHeight="1">
      <c r="A21" s="2" t="s">
        <v>20</v>
      </c>
      <c r="B21" s="26">
        <f>72+116+52+110+92+85+93+125+187+62+65+61+60+60+54+102+133+58+165+137+48+75+127+60+134+105+75+113+209+55+145+63+174+71+62+190+67+64+310+90+67+60+73+130+60+160+115+80+120+52+190+159+10+14+121+65+255+54+17+43+60+107+61+7250+50+15+54+120+104+49+76+117+117+64+71+54+7+126+13+40+125+235+78+73+120+53+56+146+56+196+130+116+56+53+24+11+38+29+61+71+63+169+70+6+21+18+111+53+39+23+174+53+70+185+154+119+104+91+108+62+69+67+75+66</f>
        <v>18223</v>
      </c>
      <c r="C21" s="2">
        <f>August!C21+B21</f>
        <v>90212</v>
      </c>
      <c r="D21" s="2"/>
      <c r="E21" s="2"/>
      <c r="F21" s="47"/>
      <c r="G21" s="2">
        <f>August!G21+F21</f>
        <v>77</v>
      </c>
      <c r="H21" s="32"/>
      <c r="I21" s="2">
        <f>August!I21+H21</f>
        <v>474</v>
      </c>
      <c r="J21" s="2"/>
      <c r="K21" s="49"/>
      <c r="L21" s="2">
        <f>August!L21+K21</f>
        <v>0</v>
      </c>
      <c r="M21" s="49"/>
      <c r="N21" s="2">
        <f>August!N21+M21</f>
        <v>0</v>
      </c>
      <c r="O21" s="2"/>
      <c r="P21" s="2"/>
    </row>
    <row r="22" spans="1:16" ht="18" customHeight="1">
      <c r="A22" s="2" t="s">
        <v>21</v>
      </c>
      <c r="B22" s="26"/>
      <c r="C22" s="2">
        <f>August!C22+B22</f>
        <v>0</v>
      </c>
      <c r="D22" s="2"/>
      <c r="E22" s="2"/>
      <c r="F22" s="47"/>
      <c r="G22" s="2">
        <f>August!G22+F22</f>
        <v>2</v>
      </c>
      <c r="H22" s="32"/>
      <c r="I22" s="2">
        <f>August!I22+H22</f>
        <v>0</v>
      </c>
      <c r="J22" s="2"/>
      <c r="K22" s="49"/>
      <c r="L22" s="2">
        <f>August!L22+K22</f>
        <v>0</v>
      </c>
      <c r="M22" s="49"/>
      <c r="N22" s="2">
        <f>August!N22+M22</f>
        <v>0</v>
      </c>
      <c r="O22" s="2"/>
      <c r="P22" s="2"/>
    </row>
    <row r="23" spans="1:16" ht="18" customHeight="1">
      <c r="A23" s="2" t="s">
        <v>22</v>
      </c>
      <c r="B23" s="26"/>
      <c r="C23" s="2">
        <f>August!C23+B23</f>
        <v>0</v>
      </c>
      <c r="D23" s="2"/>
      <c r="E23" s="2"/>
      <c r="F23" s="47"/>
      <c r="G23" s="2">
        <f>August!G23+F23</f>
        <v>0</v>
      </c>
      <c r="H23" s="32">
        <f>1</f>
        <v>1</v>
      </c>
      <c r="I23" s="2">
        <f>August!I23+H23</f>
        <v>1</v>
      </c>
      <c r="J23" s="2">
        <f>3</f>
        <v>3</v>
      </c>
      <c r="K23" s="49"/>
      <c r="L23" s="2">
        <f>August!L23+K23</f>
        <v>0</v>
      </c>
      <c r="M23" s="49"/>
      <c r="N23" s="2">
        <f>August!N23+M23</f>
        <v>0</v>
      </c>
      <c r="O23" s="2"/>
      <c r="P23" s="2"/>
    </row>
    <row r="24" spans="1:16" ht="18" customHeight="1">
      <c r="A24" s="2" t="s">
        <v>23</v>
      </c>
      <c r="B24" s="26"/>
      <c r="C24" s="2">
        <f>August!C24+B24</f>
        <v>0</v>
      </c>
      <c r="D24" s="2"/>
      <c r="E24" s="2"/>
      <c r="F24" s="47"/>
      <c r="G24" s="2">
        <f>August!G24+F24</f>
        <v>0</v>
      </c>
      <c r="H24" s="32"/>
      <c r="I24" s="2">
        <f>August!I24+H24</f>
        <v>7</v>
      </c>
      <c r="J24" s="2"/>
      <c r="K24" s="49"/>
      <c r="L24" s="2">
        <f>August!L24+K24</f>
        <v>0</v>
      </c>
      <c r="M24" s="49"/>
      <c r="N24" s="2">
        <f>August!N24+M24</f>
        <v>0</v>
      </c>
      <c r="O24" s="2"/>
      <c r="P24" s="2"/>
    </row>
    <row r="25" spans="1:16" ht="18" customHeight="1">
      <c r="A25" s="2" t="s">
        <v>68</v>
      </c>
      <c r="B25" s="26"/>
      <c r="C25" s="2">
        <f>August!C25+B25</f>
        <v>0</v>
      </c>
      <c r="D25" s="2"/>
      <c r="E25" s="2"/>
      <c r="F25" s="47"/>
      <c r="G25" s="2">
        <f>August!G25+F25</f>
        <v>17</v>
      </c>
      <c r="H25" s="32"/>
      <c r="I25" s="2">
        <f>August!I25+H25</f>
        <v>2</v>
      </c>
      <c r="J25" s="2"/>
      <c r="K25" s="49"/>
      <c r="L25" s="2">
        <f>August!L25+K25</f>
        <v>0</v>
      </c>
      <c r="M25" s="49"/>
      <c r="N25" s="2">
        <f>August!N25+M25</f>
        <v>0</v>
      </c>
      <c r="O25" s="2"/>
      <c r="P25" s="2"/>
    </row>
    <row r="26" spans="1:16" ht="18" customHeight="1">
      <c r="A26" s="2" t="s">
        <v>24</v>
      </c>
      <c r="B26" s="26"/>
      <c r="C26" s="2">
        <f>August!C26+B26</f>
        <v>0</v>
      </c>
      <c r="D26" s="2"/>
      <c r="E26" s="2"/>
      <c r="F26" s="47"/>
      <c r="G26" s="2">
        <f>August!G26+F26</f>
        <v>12</v>
      </c>
      <c r="H26" s="32"/>
      <c r="I26" s="2">
        <f>August!I26+H26</f>
        <v>12</v>
      </c>
      <c r="J26" s="2">
        <f>1</f>
        <v>1</v>
      </c>
      <c r="K26" s="49"/>
      <c r="L26" s="2">
        <f>August!L26+K26</f>
        <v>52</v>
      </c>
      <c r="M26" s="49"/>
      <c r="N26" s="2">
        <f>August!N26+M26</f>
        <v>0</v>
      </c>
      <c r="O26" s="2"/>
      <c r="P26" s="2"/>
    </row>
    <row r="27" spans="1:16" ht="18" customHeight="1">
      <c r="A27" s="2" t="s">
        <v>25</v>
      </c>
      <c r="B27" s="26">
        <f>44+210+152+20+20+67+182+23+182+7+152+29+15+42+65+75+1+9+152+19+6+31+6+2+28+11+2+10+13+7+6+119+33+44+85+58+211+73+69+37+15+11+23+15+2+2+1+9+39+1</f>
        <v>2435</v>
      </c>
      <c r="C27" s="2">
        <f>August!C27+B27</f>
        <v>26965</v>
      </c>
      <c r="D27" s="2">
        <f>9+3+1+8+5</f>
        <v>26</v>
      </c>
      <c r="E27" s="2" t="s">
        <v>83</v>
      </c>
      <c r="F27" s="47">
        <f>3+3+3+5+3+8+1+9+8+2+1+1+1+1+1+1+1+1+2+1+8+1+38+1+1+12+1</f>
        <v>118</v>
      </c>
      <c r="G27" s="2">
        <f>August!G27+F27</f>
        <v>877</v>
      </c>
      <c r="H27" s="32">
        <f>5+25+15+15+15+23+5+1+104+5+10+53+2+40+45+42+38+1+3+2+160+5+16+3+1+124+21+2+21+1+1+88+141+1+4+1</f>
        <v>1039</v>
      </c>
      <c r="I27" s="2">
        <f>August!I27+H27</f>
        <v>5727</v>
      </c>
      <c r="J27" s="2">
        <f>1+3+2+1+1+2+221+1+5+6+3+1+5+2+3+3+2+3+1+1+2+52+4+1+1+7+1+1+4+4+23</f>
        <v>367</v>
      </c>
      <c r="K27" s="49">
        <f>121+18+13+14+11+1+1+1+6+14+1+1+7+50+4+14+6+12+3+7+1+6+14+14</f>
        <v>340</v>
      </c>
      <c r="L27" s="2">
        <f>August!L27+K27</f>
        <v>1223</v>
      </c>
      <c r="M27" s="49">
        <f>2+27+26+13+5+4+1</f>
        <v>78</v>
      </c>
      <c r="N27" s="2">
        <f>August!N27+M27</f>
        <v>265</v>
      </c>
      <c r="O27" s="2"/>
      <c r="P27" s="2"/>
    </row>
    <row r="28" spans="1:16" ht="18" customHeight="1">
      <c r="A28" s="2" t="s">
        <v>26</v>
      </c>
      <c r="B28" s="26"/>
      <c r="C28" s="2">
        <f>August!C28+B28</f>
        <v>858</v>
      </c>
      <c r="D28" s="2"/>
      <c r="E28" s="2"/>
      <c r="F28" s="47"/>
      <c r="G28" s="2">
        <f>August!G28+F28</f>
        <v>7</v>
      </c>
      <c r="H28" s="32"/>
      <c r="I28" s="2">
        <f>August!I28+H28</f>
        <v>0</v>
      </c>
      <c r="J28" s="2"/>
      <c r="K28" s="49"/>
      <c r="L28" s="2">
        <f>August!L28+K28</f>
        <v>0</v>
      </c>
      <c r="M28" s="49"/>
      <c r="N28" s="2">
        <f>August!N28+M28</f>
        <v>0</v>
      </c>
      <c r="O28" s="2"/>
      <c r="P28" s="2"/>
    </row>
    <row r="29" spans="1:16" ht="18" customHeight="1">
      <c r="A29" s="2" t="s">
        <v>27</v>
      </c>
      <c r="B29" s="51">
        <f>153+17+101+144+33+71+46+77+18+69+62+76+62+67+64+40+184+45+61+12+122+62+57+156+156+4+136+136+58+58+58+30+64+76+64+65+128+120+74+70+81+81+81</f>
        <v>3339</v>
      </c>
      <c r="C29" s="2">
        <f>August!C29+B29</f>
        <v>89563</v>
      </c>
      <c r="D29" s="2"/>
      <c r="E29" s="2"/>
      <c r="F29" s="47">
        <f>30+23+1+6+2+1+43</f>
        <v>106</v>
      </c>
      <c r="G29" s="2">
        <f>August!G29+F29</f>
        <v>1221</v>
      </c>
      <c r="H29" s="32"/>
      <c r="I29" s="2">
        <f>August!I29+H29</f>
        <v>239</v>
      </c>
      <c r="J29" s="2">
        <f>2+1+1+3+1+3+3+1+2+1+2+3+1+1+8</f>
        <v>33</v>
      </c>
      <c r="K29" s="49"/>
      <c r="L29" s="2">
        <f>August!L29+K29</f>
        <v>201</v>
      </c>
      <c r="M29" s="49"/>
      <c r="N29" s="2">
        <f>August!N29+M29</f>
        <v>156</v>
      </c>
      <c r="O29" s="2"/>
      <c r="P29" s="2"/>
    </row>
    <row r="30" spans="1:16" ht="18" customHeight="1">
      <c r="A30" s="2" t="s">
        <v>28</v>
      </c>
      <c r="B30" s="26">
        <f>18+70+287+500+500+340+144+118+72+78+4+13+38+8+400+400+425+425+265+175+6+210+68+155+630+100+595+590+75+446+43+129+172+69+66+63+193+68+115+125+250+380+420+3+425+289+170+325+170+211+375+385+56+330</f>
        <v>11987</v>
      </c>
      <c r="C30" s="2">
        <f>August!C30+B30</f>
        <v>58347</v>
      </c>
      <c r="D30" s="2"/>
      <c r="E30" s="2"/>
      <c r="F30" s="47">
        <f>45</f>
        <v>45</v>
      </c>
      <c r="G30" s="2">
        <f>August!G30+F30</f>
        <v>4747</v>
      </c>
      <c r="H30" s="32"/>
      <c r="I30" s="2">
        <f>August!I30+H30</f>
        <v>0</v>
      </c>
      <c r="J30" s="2">
        <f>2+1+1+1+1+2</f>
        <v>8</v>
      </c>
      <c r="K30" s="49">
        <f>126+526</f>
        <v>652</v>
      </c>
      <c r="L30" s="2">
        <f>August!L30+K30</f>
        <v>3240</v>
      </c>
      <c r="M30" s="49"/>
      <c r="N30" s="2">
        <f>August!N30+M30</f>
        <v>15</v>
      </c>
      <c r="O30" s="2"/>
      <c r="P30" s="2"/>
    </row>
    <row r="31" spans="1:16" ht="18" customHeight="1">
      <c r="A31" s="2" t="s">
        <v>29</v>
      </c>
      <c r="B31" s="26">
        <f>180+253+32+248+95+85+12+134+112+70+68+15+160+89+87+126+204+93+248+88+50+65+133+140+60+170+66+72+2+61+70+70+128+125+123+122+85+115+115+27+11+86+134+72+60+68+1025</f>
        <v>5654</v>
      </c>
      <c r="C31" s="2">
        <f>August!C31+B31</f>
        <v>44041</v>
      </c>
      <c r="D31" s="2"/>
      <c r="E31" s="2"/>
      <c r="F31" s="47">
        <f>3+1+8+26+1+1+1+2+1+3+1+3+2+35+1</f>
        <v>89</v>
      </c>
      <c r="G31" s="2">
        <f>August!G31+F31</f>
        <v>7070</v>
      </c>
      <c r="H31" s="32">
        <f>35+5</f>
        <v>40</v>
      </c>
      <c r="I31" s="2">
        <f>August!I31+H31</f>
        <v>395</v>
      </c>
      <c r="J31" s="2">
        <f>1+1+1+1+4+2+1+1+1+6+2+1+1+1+1+25+1+1+7+4+1+1+1+4+32</f>
        <v>102</v>
      </c>
      <c r="K31" s="49">
        <f>39+36+7+10+1</f>
        <v>93</v>
      </c>
      <c r="L31" s="2">
        <f>August!L31+K31</f>
        <v>682</v>
      </c>
      <c r="M31" s="49">
        <f>14</f>
        <v>14</v>
      </c>
      <c r="N31" s="2">
        <f>August!N31+M31</f>
        <v>218</v>
      </c>
      <c r="O31" s="2"/>
      <c r="P31" s="2"/>
    </row>
    <row r="32" spans="1:16" ht="18" customHeight="1">
      <c r="A32" s="2" t="s">
        <v>30</v>
      </c>
      <c r="B32" s="26"/>
      <c r="C32" s="2">
        <f>August!C32+B32</f>
        <v>0</v>
      </c>
      <c r="D32" s="2"/>
      <c r="E32" s="2"/>
      <c r="F32" s="47"/>
      <c r="G32" s="2">
        <f>August!G32+F32</f>
        <v>56</v>
      </c>
      <c r="H32" s="32"/>
      <c r="I32" s="2">
        <f>August!I32+H32</f>
        <v>60</v>
      </c>
      <c r="J32" s="2"/>
      <c r="K32" s="49"/>
      <c r="L32" s="2">
        <f>August!L32+K32</f>
        <v>3</v>
      </c>
      <c r="M32" s="49"/>
      <c r="N32" s="2">
        <f>August!N32+M32</f>
        <v>0</v>
      </c>
      <c r="O32" s="2"/>
      <c r="P32" s="2"/>
    </row>
    <row r="33" spans="1:16" ht="18" customHeight="1">
      <c r="A33" s="2" t="s">
        <v>31</v>
      </c>
      <c r="B33" s="26"/>
      <c r="C33" s="2">
        <f>August!C33+B33</f>
        <v>0</v>
      </c>
      <c r="D33" s="2"/>
      <c r="E33" s="2"/>
      <c r="F33" s="47"/>
      <c r="G33" s="2">
        <f>August!G33+F33</f>
        <v>0</v>
      </c>
      <c r="H33" s="32"/>
      <c r="I33" s="2">
        <f>August!I33+H33</f>
        <v>0</v>
      </c>
      <c r="J33" s="2"/>
      <c r="K33" s="49"/>
      <c r="L33" s="2">
        <f>August!L33+K33</f>
        <v>0</v>
      </c>
      <c r="M33" s="49"/>
      <c r="N33" s="2">
        <f>August!N33+M33</f>
        <v>0</v>
      </c>
      <c r="O33" s="2"/>
      <c r="P33" s="2"/>
    </row>
    <row r="34" spans="1:16" ht="18" customHeight="1">
      <c r="A34" s="2" t="s">
        <v>32</v>
      </c>
      <c r="B34" s="26"/>
      <c r="C34" s="2">
        <f>August!C34+B34</f>
        <v>0</v>
      </c>
      <c r="D34" s="2"/>
      <c r="E34" s="2"/>
      <c r="F34" s="47"/>
      <c r="G34" s="2">
        <f>August!G34+F34</f>
        <v>0</v>
      </c>
      <c r="H34" s="32"/>
      <c r="I34" s="2">
        <f>August!I34+H34</f>
        <v>0</v>
      </c>
      <c r="J34" s="2"/>
      <c r="K34" s="49"/>
      <c r="L34" s="2">
        <f>August!L34+K34</f>
        <v>0</v>
      </c>
      <c r="M34" s="49"/>
      <c r="N34" s="2">
        <f>August!N34+M34</f>
        <v>0</v>
      </c>
      <c r="O34" s="2"/>
      <c r="P34" s="2"/>
    </row>
    <row r="35" spans="1:16" ht="18" customHeight="1">
      <c r="A35" s="2" t="s">
        <v>33</v>
      </c>
      <c r="B35" s="26"/>
      <c r="C35" s="2">
        <f>August!C35+B35</f>
        <v>1695</v>
      </c>
      <c r="D35" s="2"/>
      <c r="E35" s="2"/>
      <c r="F35" s="47"/>
      <c r="G35" s="2">
        <f>August!G35+F35</f>
        <v>5</v>
      </c>
      <c r="H35" s="32"/>
      <c r="I35" s="2">
        <f>August!I35+H35</f>
        <v>682</v>
      </c>
      <c r="J35" s="2"/>
      <c r="K35" s="49"/>
      <c r="L35" s="2">
        <f>August!L35+K35</f>
        <v>3</v>
      </c>
      <c r="M35" s="49"/>
      <c r="N35" s="2">
        <f>August!N35+M35</f>
        <v>0</v>
      </c>
      <c r="O35" s="2"/>
      <c r="P35" s="2"/>
    </row>
    <row r="36" spans="1:16" ht="18" customHeight="1">
      <c r="A36" s="2" t="s">
        <v>34</v>
      </c>
      <c r="B36" s="26">
        <f>38</f>
        <v>38</v>
      </c>
      <c r="C36" s="2">
        <f>August!C36+B36</f>
        <v>304</v>
      </c>
      <c r="D36" s="2"/>
      <c r="E36" s="2"/>
      <c r="F36" s="47"/>
      <c r="G36" s="2">
        <f>August!G36+F36</f>
        <v>0</v>
      </c>
      <c r="H36" s="32">
        <f>1</f>
        <v>1</v>
      </c>
      <c r="I36" s="2">
        <f>August!I36+H36</f>
        <v>637</v>
      </c>
      <c r="J36" s="2"/>
      <c r="K36" s="49"/>
      <c r="L36" s="2">
        <f>August!L36+K36</f>
        <v>8</v>
      </c>
      <c r="M36" s="49"/>
      <c r="N36" s="2">
        <f>August!N36+M36</f>
        <v>0</v>
      </c>
      <c r="O36" s="2"/>
      <c r="P36" s="2"/>
    </row>
    <row r="37" spans="1:16" ht="18" customHeight="1">
      <c r="A37" s="2" t="s">
        <v>35</v>
      </c>
      <c r="B37" s="26"/>
      <c r="C37" s="2">
        <f>August!C37+B37</f>
        <v>426</v>
      </c>
      <c r="D37" s="2"/>
      <c r="E37" s="2"/>
      <c r="F37" s="47"/>
      <c r="G37" s="2">
        <f>August!G37+F37</f>
        <v>2</v>
      </c>
      <c r="H37" s="32"/>
      <c r="I37" s="2">
        <f>August!I37+H37</f>
        <v>47</v>
      </c>
      <c r="J37" s="2"/>
      <c r="K37" s="49"/>
      <c r="L37" s="2">
        <f>August!L37+K37</f>
        <v>0</v>
      </c>
      <c r="M37" s="49"/>
      <c r="N37" s="2">
        <f>August!N37+M37</f>
        <v>0</v>
      </c>
      <c r="O37" s="2"/>
      <c r="P37" s="2"/>
    </row>
    <row r="38" spans="1:16" ht="18" customHeight="1">
      <c r="A38" s="2" t="s">
        <v>36</v>
      </c>
      <c r="B38" s="26">
        <f>139+59+60+60+60+64+58+60+64+60+120+179+79+60+61+29+15+60+72+27+88+75+70+243+300+87+390+63+64+180+132+280+72+65+79+65+54+120+157+170+65+321+134+55+70+117+67+187+75+60+60+250+190+130+71+204+129+298+224+90</f>
        <v>6937</v>
      </c>
      <c r="C38" s="2">
        <f>August!C38+B38</f>
        <v>51390</v>
      </c>
      <c r="D38" s="2">
        <f>10+4</f>
        <v>14</v>
      </c>
      <c r="E38" s="2"/>
      <c r="F38" s="47">
        <f>1+5+2+13</f>
        <v>21</v>
      </c>
      <c r="G38" s="2">
        <f>August!G38+F38</f>
        <v>939</v>
      </c>
      <c r="H38" s="32">
        <f>13+24</f>
        <v>37</v>
      </c>
      <c r="I38" s="2">
        <f>August!I38+H38</f>
        <v>127</v>
      </c>
      <c r="J38" s="2">
        <f>2+1+2+1+3+6</f>
        <v>15</v>
      </c>
      <c r="K38" s="49">
        <f>509+504+1</f>
        <v>1014</v>
      </c>
      <c r="L38" s="2">
        <f>August!L38+K38</f>
        <v>3459</v>
      </c>
      <c r="M38" s="49"/>
      <c r="N38" s="2">
        <f>August!N38+M38</f>
        <v>8</v>
      </c>
      <c r="O38" s="2"/>
      <c r="P38" s="2"/>
    </row>
    <row r="39" spans="1:16" ht="18" customHeight="1">
      <c r="A39" s="2" t="s">
        <v>37</v>
      </c>
      <c r="B39" s="26">
        <f>120+119+123+9+53</f>
        <v>424</v>
      </c>
      <c r="C39" s="2">
        <f>August!C39+B39</f>
        <v>5127</v>
      </c>
      <c r="D39" s="2">
        <f>1</f>
        <v>1</v>
      </c>
      <c r="E39" s="2"/>
      <c r="F39" s="47"/>
      <c r="G39" s="2">
        <f>August!G39+F39</f>
        <v>67</v>
      </c>
      <c r="H39" s="32">
        <f>8+1+1+3</f>
        <v>13</v>
      </c>
      <c r="I39" s="2">
        <f>August!I39+H39</f>
        <v>764</v>
      </c>
      <c r="J39" s="2">
        <f>3+3</f>
        <v>6</v>
      </c>
      <c r="K39" s="49"/>
      <c r="L39" s="2">
        <f>August!L39+K39</f>
        <v>45</v>
      </c>
      <c r="M39" s="49"/>
      <c r="N39" s="2">
        <f>August!N39+M39</f>
        <v>0</v>
      </c>
      <c r="O39" s="2"/>
      <c r="P39" s="2"/>
    </row>
    <row r="40" spans="1:16" ht="18" customHeight="1">
      <c r="A40" s="2" t="s">
        <v>38</v>
      </c>
      <c r="B40" s="26">
        <f>425+60+60+165+50+50+50+50+50+71+83</f>
        <v>1114</v>
      </c>
      <c r="C40" s="2">
        <f>August!C40+B40</f>
        <v>6644</v>
      </c>
      <c r="D40" s="2"/>
      <c r="E40" s="2" t="s">
        <v>83</v>
      </c>
      <c r="F40" s="47">
        <f>4</f>
        <v>4</v>
      </c>
      <c r="G40" s="2">
        <f>August!G40+F40</f>
        <v>246</v>
      </c>
      <c r="H40" s="32"/>
      <c r="I40" s="2">
        <f>August!I40+H40</f>
        <v>14</v>
      </c>
      <c r="J40" s="2">
        <f>4+7+3+1+2+1+4+6+6+2+3+7+5+7+1+7+1+3+1+6+2+2+1+10+6+1+1+6+1+5</f>
        <v>112</v>
      </c>
      <c r="K40" s="49">
        <f>9</f>
        <v>9</v>
      </c>
      <c r="L40" s="2">
        <f>August!L40+K40</f>
        <v>74</v>
      </c>
      <c r="M40" s="49"/>
      <c r="N40" s="2">
        <f>August!N40+M40</f>
        <v>3</v>
      </c>
      <c r="O40" s="2"/>
      <c r="P40" s="2"/>
    </row>
    <row r="41" spans="1:16" ht="18" customHeight="1">
      <c r="A41" s="2" t="s">
        <v>39</v>
      </c>
      <c r="B41" s="26">
        <f>50+100+38+199</f>
        <v>387</v>
      </c>
      <c r="C41" s="2">
        <f>August!C41+B41</f>
        <v>855</v>
      </c>
      <c r="D41" s="2"/>
      <c r="E41" s="2"/>
      <c r="F41" s="47"/>
      <c r="G41" s="2">
        <f>August!G41+F41</f>
        <v>2</v>
      </c>
      <c r="H41" s="32"/>
      <c r="I41" s="2">
        <f>August!I41+H41</f>
        <v>0</v>
      </c>
      <c r="J41" s="2">
        <f>1+1+1+2+2</f>
        <v>7</v>
      </c>
      <c r="K41" s="49"/>
      <c r="L41" s="2">
        <f>August!L41+K41</f>
        <v>5</v>
      </c>
      <c r="M41" s="49"/>
      <c r="N41" s="2">
        <f>August!N41+M41</f>
        <v>0</v>
      </c>
      <c r="O41" s="2"/>
      <c r="P41" s="2"/>
    </row>
    <row r="42" spans="1:16" ht="18" customHeight="1">
      <c r="A42" s="2" t="s">
        <v>40</v>
      </c>
      <c r="B42" s="26"/>
      <c r="C42" s="2">
        <f>August!C42+B42</f>
        <v>815</v>
      </c>
      <c r="D42" s="2"/>
      <c r="E42" s="2"/>
      <c r="F42" s="47"/>
      <c r="G42" s="2">
        <f>August!G42+F42</f>
        <v>174</v>
      </c>
      <c r="H42" s="32">
        <f>43+49</f>
        <v>92</v>
      </c>
      <c r="I42" s="2">
        <f>August!I42+H42</f>
        <v>421</v>
      </c>
      <c r="J42" s="2">
        <f>3+3+3+3</f>
        <v>12</v>
      </c>
      <c r="K42" s="49"/>
      <c r="L42" s="2">
        <f>August!L42+K42</f>
        <v>0</v>
      </c>
      <c r="M42" s="49"/>
      <c r="N42" s="2">
        <f>August!N42+M42</f>
        <v>0</v>
      </c>
      <c r="O42" s="2"/>
      <c r="P42" s="2"/>
    </row>
    <row r="43" spans="1:16" ht="18" customHeight="1">
      <c r="A43" s="2" t="s">
        <v>41</v>
      </c>
      <c r="B43" s="26"/>
      <c r="C43" s="2">
        <f>August!C43+B43</f>
        <v>0</v>
      </c>
      <c r="D43" s="2"/>
      <c r="E43" s="2"/>
      <c r="F43" s="47"/>
      <c r="G43" s="2">
        <f>August!G43+F43</f>
        <v>0</v>
      </c>
      <c r="H43" s="32"/>
      <c r="I43" s="2">
        <f>August!I43+H43</f>
        <v>0</v>
      </c>
      <c r="J43" s="2"/>
      <c r="K43" s="49"/>
      <c r="L43" s="2">
        <f>August!L43+K43</f>
        <v>0</v>
      </c>
      <c r="M43" s="49"/>
      <c r="N43" s="2">
        <f>August!N43+M43</f>
        <v>0</v>
      </c>
      <c r="O43" s="2"/>
      <c r="P43" s="2"/>
    </row>
    <row r="44" spans="1:16" ht="18" customHeight="1">
      <c r="A44" s="2" t="s">
        <v>42</v>
      </c>
      <c r="B44" s="26">
        <f>72+61+60+75+77+105+95+30+81+37+41+74</f>
        <v>808</v>
      </c>
      <c r="C44" s="2">
        <f>August!C44+B44</f>
        <v>7047</v>
      </c>
      <c r="D44" s="2"/>
      <c r="E44" s="2"/>
      <c r="F44" s="47"/>
      <c r="G44" s="2">
        <f>August!G44+F44</f>
        <v>0</v>
      </c>
      <c r="H44" s="32"/>
      <c r="I44" s="2">
        <f>August!I44+H44</f>
        <v>0</v>
      </c>
      <c r="J44" s="2"/>
      <c r="K44" s="49"/>
      <c r="L44" s="2">
        <f>August!L44+K44</f>
        <v>0</v>
      </c>
      <c r="M44" s="49"/>
      <c r="N44" s="2">
        <f>August!N44+M44</f>
        <v>0</v>
      </c>
      <c r="O44" s="2"/>
      <c r="P44" s="2"/>
    </row>
    <row r="45" spans="1:16" ht="18" customHeight="1">
      <c r="A45" s="2" t="s">
        <v>43</v>
      </c>
      <c r="B45" s="26">
        <f>16+25+275+149+17+13+12+17+15+243+185+13+11+9+129+55+74+65+69+30+101+127+193+64+12+48+52+269+7+136+26+80+55+221+122+119+145+7+12+53+1+13+5+18+72+53+61+6+20+269+132+70+90+159+79+148+75+350+66+177+145+59+57+135+301+498+69+60+61+64+66+19+300+225+122+59+58+76+106+138+165+118+132+41+68+58+265+43+79+14+10+173+16+30+57+39+316+16+25+56+15+7+14+20+18+11+25+18+18+29+80+1+3</f>
        <v>9733</v>
      </c>
      <c r="C45" s="2">
        <f>August!C45+B45</f>
        <v>168873</v>
      </c>
      <c r="D45" s="2"/>
      <c r="E45" s="2" t="s">
        <v>65</v>
      </c>
      <c r="F45" s="47">
        <f>1+1+82+1+6+13+1+77+7+6</f>
        <v>195</v>
      </c>
      <c r="G45" s="2">
        <f>August!G45+F45</f>
        <v>5268</v>
      </c>
      <c r="H45" s="32">
        <f>1+13</f>
        <v>14</v>
      </c>
      <c r="I45" s="2">
        <f>August!I45+H45</f>
        <v>753</v>
      </c>
      <c r="J45" s="2">
        <f>2+1+6+2+2+1+2+8+13</f>
        <v>37</v>
      </c>
      <c r="K45" s="49">
        <f>75+11+14+20+147+600+450+54+597+42+9+477+75+76+10+2+5+1+2+1+1+2+36+5+32+1+6+75+21+4+27+1+6+15+3+4+6+2</f>
        <v>2915</v>
      </c>
      <c r="L45" s="2">
        <f>August!L45+K45</f>
        <v>16348</v>
      </c>
      <c r="M45" s="49">
        <f>22+8+21+1+4+4+10+3+46+4+2+3+2+7+10+1+28+6+2+1+8+8+5</f>
        <v>206</v>
      </c>
      <c r="N45" s="2">
        <f>August!N45+M45</f>
        <v>947</v>
      </c>
      <c r="O45" s="2"/>
      <c r="P45" s="2"/>
    </row>
    <row r="46" spans="1:16" ht="18" customHeight="1">
      <c r="A46" s="2" t="s">
        <v>44</v>
      </c>
      <c r="B46" s="26">
        <f>83+56+69+84+59+57+72+110+110+70</f>
        <v>770</v>
      </c>
      <c r="C46" s="2">
        <f>August!C46+B46</f>
        <v>16635</v>
      </c>
      <c r="D46" s="2"/>
      <c r="E46" s="2"/>
      <c r="F46" s="47"/>
      <c r="G46" s="2">
        <f>August!G46+F46</f>
        <v>31</v>
      </c>
      <c r="H46" s="32">
        <f>12+2+2+1+1+1+1</f>
        <v>20</v>
      </c>
      <c r="I46" s="2">
        <f>August!I46+H46</f>
        <v>21</v>
      </c>
      <c r="J46" s="2">
        <f>2+1+8</f>
        <v>11</v>
      </c>
      <c r="K46" s="49"/>
      <c r="L46" s="2">
        <f>August!L46+K46</f>
        <v>0</v>
      </c>
      <c r="M46" s="49">
        <f>1+1</f>
        <v>2</v>
      </c>
      <c r="N46" s="2">
        <f>August!N46+M46</f>
        <v>2</v>
      </c>
      <c r="O46" s="2"/>
      <c r="P46" s="2"/>
    </row>
    <row r="47" spans="1:16" ht="18" customHeight="1">
      <c r="A47" s="2" t="s">
        <v>45</v>
      </c>
      <c r="B47" s="26"/>
      <c r="C47" s="2">
        <f>August!C47+B47</f>
        <v>8436</v>
      </c>
      <c r="D47" s="2"/>
      <c r="E47" s="2"/>
      <c r="F47" s="47"/>
      <c r="G47" s="2">
        <f>August!G47+F47</f>
        <v>127</v>
      </c>
      <c r="H47" s="32">
        <f>1</f>
        <v>1</v>
      </c>
      <c r="I47" s="2">
        <f>August!I47+H47</f>
        <v>5308</v>
      </c>
      <c r="J47" s="2"/>
      <c r="K47" s="49"/>
      <c r="L47" s="2">
        <f>August!L47+K47</f>
        <v>630</v>
      </c>
      <c r="M47" s="49"/>
      <c r="N47" s="2">
        <f>August!N47+M47</f>
        <v>0</v>
      </c>
      <c r="O47" s="2"/>
      <c r="P47" s="2"/>
    </row>
    <row r="48" spans="1:16" ht="18" customHeight="1">
      <c r="A48" s="2" t="s">
        <v>46</v>
      </c>
      <c r="B48" s="26"/>
      <c r="C48" s="2">
        <f>August!C48+B48</f>
        <v>135</v>
      </c>
      <c r="D48" s="2"/>
      <c r="E48" s="2" t="s">
        <v>83</v>
      </c>
      <c r="F48" s="47">
        <f>2</f>
        <v>2</v>
      </c>
      <c r="G48" s="2">
        <f>August!G48+F48</f>
        <v>9</v>
      </c>
      <c r="H48" s="32"/>
      <c r="I48" s="2">
        <f>August!I48+H48</f>
        <v>142</v>
      </c>
      <c r="J48" s="2"/>
      <c r="K48" s="49">
        <f>8</f>
        <v>8</v>
      </c>
      <c r="L48" s="2">
        <f>August!L48+K48</f>
        <v>8</v>
      </c>
      <c r="M48" s="49"/>
      <c r="N48" s="2">
        <f>August!N48+M48</f>
        <v>0</v>
      </c>
      <c r="O48" s="2"/>
      <c r="P48" s="2"/>
    </row>
    <row r="49" spans="1:16" ht="18" customHeight="1">
      <c r="A49" s="2" t="s">
        <v>47</v>
      </c>
      <c r="B49" s="26"/>
      <c r="C49" s="2">
        <f>August!C49+B49</f>
        <v>0</v>
      </c>
      <c r="D49" s="2"/>
      <c r="E49" s="2"/>
      <c r="F49" s="47"/>
      <c r="G49" s="2">
        <f>August!G49+F49</f>
        <v>0</v>
      </c>
      <c r="H49" s="32">
        <f>1</f>
        <v>1</v>
      </c>
      <c r="I49" s="2">
        <f>August!I49+H49</f>
        <v>6</v>
      </c>
      <c r="J49" s="2"/>
      <c r="K49" s="49"/>
      <c r="L49" s="2">
        <f>August!L49+K49</f>
        <v>0</v>
      </c>
      <c r="M49" s="49"/>
      <c r="N49" s="2">
        <f>August!N49+M49</f>
        <v>0</v>
      </c>
      <c r="O49" s="2"/>
      <c r="P49" s="2"/>
    </row>
    <row r="50" spans="1:16" ht="18" customHeight="1">
      <c r="A50" s="2" t="s">
        <v>48</v>
      </c>
      <c r="B50" s="26">
        <f>62+83+67+82+65+66+76+10+50+228+38+16+77+52+50+206+168+134+116+80+195+57+67</f>
        <v>2045</v>
      </c>
      <c r="C50" s="2">
        <f>August!C50+B50</f>
        <v>23395</v>
      </c>
      <c r="D50" s="2"/>
      <c r="E50" s="2"/>
      <c r="F50" s="47"/>
      <c r="G50" s="2">
        <f>August!G50+F50</f>
        <v>3</v>
      </c>
      <c r="H50" s="32"/>
      <c r="I50" s="2">
        <f>August!I50+H50</f>
        <v>0</v>
      </c>
      <c r="J50" s="2"/>
      <c r="K50" s="49"/>
      <c r="L50" s="2">
        <f>August!L50+K50</f>
        <v>2</v>
      </c>
      <c r="M50" s="49"/>
      <c r="N50" s="2">
        <f>August!N50+M50</f>
        <v>0</v>
      </c>
      <c r="O50" s="2"/>
      <c r="P50" s="2"/>
    </row>
    <row r="51" spans="1:16" ht="18" customHeight="1">
      <c r="A51" s="2" t="s">
        <v>49</v>
      </c>
      <c r="B51" s="26">
        <f>155+160</f>
        <v>315</v>
      </c>
      <c r="C51" s="2">
        <f>August!C51+B51</f>
        <v>4270</v>
      </c>
      <c r="D51" s="2"/>
      <c r="E51" s="2"/>
      <c r="F51" s="47"/>
      <c r="G51" s="2">
        <f>August!G51+F51</f>
        <v>0</v>
      </c>
      <c r="H51" s="32"/>
      <c r="I51" s="2">
        <f>August!I51+H51</f>
        <v>49</v>
      </c>
      <c r="J51" s="2">
        <f>1</f>
        <v>1</v>
      </c>
      <c r="K51" s="49"/>
      <c r="L51" s="2">
        <f>August!L51+K51</f>
        <v>0</v>
      </c>
      <c r="M51" s="49"/>
      <c r="N51" s="2">
        <f>August!N51+M51</f>
        <v>1</v>
      </c>
      <c r="O51" s="2"/>
      <c r="P51" s="2"/>
    </row>
    <row r="52" spans="1:16" ht="18" customHeight="1">
      <c r="A52" s="2" t="s">
        <v>50</v>
      </c>
      <c r="B52" s="26">
        <f>101+55+82+55+55+20+48+50+58+55+55+58+54+95+83</f>
        <v>924</v>
      </c>
      <c r="C52" s="2">
        <f>August!C52+B52</f>
        <v>8504</v>
      </c>
      <c r="D52" s="2"/>
      <c r="E52" s="2"/>
      <c r="F52" s="47"/>
      <c r="G52" s="2">
        <f>August!G52+F52</f>
        <v>67</v>
      </c>
      <c r="H52" s="32"/>
      <c r="I52" s="2">
        <f>August!I52+H52</f>
        <v>0</v>
      </c>
      <c r="J52" s="2"/>
      <c r="K52" s="49"/>
      <c r="L52" s="2">
        <f>August!L52+K52</f>
        <v>0</v>
      </c>
      <c r="M52" s="49"/>
      <c r="N52" s="2">
        <f>August!N52+M52</f>
        <v>0</v>
      </c>
      <c r="O52" s="2"/>
      <c r="P52" s="2"/>
    </row>
    <row r="53" spans="1:16" ht="18" customHeight="1">
      <c r="A53" s="2" t="s">
        <v>67</v>
      </c>
      <c r="B53" s="26">
        <f>34+279+24+170+21+10+6+12+21+9+8+8+2+109+47+26+1+10+5+22+42+16+66+22+29+101+55+9+10+93+137+3+290+168+30+16+2+2+81+12+45+43+11+4+10+42+121+26+24+65+4+140+65+12+64+10+2+28+38+99+72+28+86</f>
        <v>3047</v>
      </c>
      <c r="C53" s="2">
        <f>August!C53+B53</f>
        <v>25398</v>
      </c>
      <c r="D53" s="2"/>
      <c r="E53" s="2"/>
      <c r="F53" s="47">
        <f>2+1+9</f>
        <v>12</v>
      </c>
      <c r="G53" s="2">
        <f>August!G53+F53</f>
        <v>766</v>
      </c>
      <c r="H53" s="32">
        <f>48+10+47+1+4+1+3+2+14+2+1+4+5+12</f>
        <v>154</v>
      </c>
      <c r="I53" s="2">
        <f>August!I53+H53</f>
        <v>4469</v>
      </c>
      <c r="J53" s="2">
        <f>2+1+2+2+5+2+1+1+1+8+3+1+1+5+10+1+2+3+1+4+3+1+95</f>
        <v>155</v>
      </c>
      <c r="K53" s="49">
        <f>1+1+15+1+15</f>
        <v>33</v>
      </c>
      <c r="L53" s="2">
        <f>August!L53+K53</f>
        <v>261</v>
      </c>
      <c r="M53" s="49"/>
      <c r="N53" s="2">
        <f>August!N53+M53</f>
        <v>24</v>
      </c>
      <c r="O53" s="2"/>
      <c r="P53" s="2"/>
    </row>
    <row r="54" spans="1:16" ht="18" customHeight="1" thickBot="1">
      <c r="A54" s="3" t="s">
        <v>51</v>
      </c>
      <c r="B54" s="27">
        <f>200+100+203+74+192+130+190+78+59+70+119+148+131+2</f>
        <v>1696</v>
      </c>
      <c r="C54" s="2">
        <f>August!C54+B54</f>
        <v>7042</v>
      </c>
      <c r="D54" s="3"/>
      <c r="E54" s="3"/>
      <c r="F54" s="48">
        <f>1+3+2</f>
        <v>6</v>
      </c>
      <c r="G54" s="2">
        <f>August!G54+F54</f>
        <v>952</v>
      </c>
      <c r="H54" s="33"/>
      <c r="I54" s="2">
        <f>August!I54+H54</f>
        <v>0</v>
      </c>
      <c r="J54" s="3"/>
      <c r="K54" s="50"/>
      <c r="L54" s="2">
        <f>August!L54+K54</f>
        <v>51</v>
      </c>
      <c r="M54" s="50"/>
      <c r="N54" s="2">
        <f>August!N54+M54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74996</v>
      </c>
      <c r="C55" s="1"/>
      <c r="D55" s="1">
        <f>SUM(D5:D54)</f>
        <v>41</v>
      </c>
      <c r="E55" s="1">
        <f>SUM(E5:E54)</f>
        <v>0</v>
      </c>
      <c r="F55" s="1">
        <f>SUM(F5:F54)</f>
        <v>623</v>
      </c>
      <c r="G55" s="1"/>
      <c r="H55" s="1">
        <f>SUM(H5:H54)</f>
        <v>1765</v>
      </c>
      <c r="I55" s="1"/>
      <c r="J55" s="1">
        <f>SUM(J5:J54)</f>
        <v>1174</v>
      </c>
      <c r="K55" s="1">
        <f>SUM(K5:K54)</f>
        <v>5071</v>
      </c>
      <c r="L55" s="1"/>
      <c r="M55" s="1">
        <f>SUM(M5:M54)</f>
        <v>328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August!C57+B55</f>
        <v>718846</v>
      </c>
      <c r="D57" s="1">
        <f>August!D57+D55</f>
        <v>153</v>
      </c>
      <c r="E57" s="1">
        <f>August!E57+E55</f>
        <v>0</v>
      </c>
      <c r="F57" s="1"/>
      <c r="G57" s="1">
        <f>August!G57+F55</f>
        <v>24521</v>
      </c>
      <c r="H57" s="1"/>
      <c r="I57" s="1">
        <f>August!I57+H55</f>
        <v>26737</v>
      </c>
      <c r="J57" s="1">
        <f>August!J57+J55</f>
        <v>6288</v>
      </c>
      <c r="K57" s="1"/>
      <c r="L57" s="1">
        <f>August!L57+K55</f>
        <v>26550</v>
      </c>
      <c r="M57" s="1"/>
      <c r="N57" s="1">
        <f>August!N57+M55</f>
        <v>1765</v>
      </c>
      <c r="O57" s="1">
        <f>August!O57+O55</f>
        <v>173</v>
      </c>
      <c r="P57" s="1">
        <f>August!P57+P55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>
        <v>526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August!G62+F60</f>
        <v>7083</v>
      </c>
      <c r="I62" s="5">
        <f>August!I62+H60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2010-11-03T16:43:12Z</cp:lastPrinted>
  <dcterms:created xsi:type="dcterms:W3CDTF">2010-05-13T18:08:12Z</dcterms:created>
  <dcterms:modified xsi:type="dcterms:W3CDTF">2011-01-21T19:41:34Z</dcterms:modified>
  <cp:category/>
  <cp:version/>
  <cp:contentType/>
  <cp:contentStatus/>
</cp:coreProperties>
</file>