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385" yWindow="-15" windowWidth="14430" windowHeight="12855"/>
  </bookViews>
  <sheets>
    <sheet name="GAVI " sheetId="23" r:id="rId1"/>
    <sheet name="CSVI" sheetId="24" r:id="rId2"/>
    <sheet name="SRT" sheetId="22" r:id="rId3"/>
    <sheet name="RRLGP" sheetId="29" r:id="rId4"/>
    <sheet name="Rail Port FY 2011" sheetId="28" r:id="rId5"/>
    <sheet name="Passenger Rail" sheetId="30" r:id="rId6"/>
    <sheet name="PTIG" sheetId="25" r:id="rId7"/>
  </sheets>
  <definedNames>
    <definedName name="_xlnm.Print_Area" localSheetId="6">PTIG!#REF!</definedName>
    <definedName name="_xlnm.Print_Area" localSheetId="2">SRT!#REF!</definedName>
    <definedName name="_xlnm.Print_Titles" localSheetId="2">SRT!#REF!</definedName>
  </definedNames>
  <calcPr calcId="145621"/>
</workbook>
</file>

<file path=xl/calcChain.xml><?xml version="1.0" encoding="utf-8"?>
<calcChain xmlns="http://schemas.openxmlformats.org/spreadsheetml/2006/main">
  <c r="D65" i="24" l="1"/>
  <c r="C65" i="24"/>
  <c r="F63" i="24"/>
  <c r="G63" i="24" s="1"/>
  <c r="F62" i="24"/>
  <c r="G62" i="24" s="1"/>
  <c r="G60" i="24"/>
  <c r="G59" i="24"/>
  <c r="F59" i="24"/>
  <c r="F57" i="24"/>
  <c r="F65" i="24" s="1"/>
  <c r="F51" i="24"/>
  <c r="D51" i="24"/>
  <c r="C51" i="24"/>
  <c r="F48" i="24"/>
  <c r="G47" i="24"/>
  <c r="F46" i="24"/>
  <c r="G46" i="24" s="1"/>
  <c r="F45" i="24"/>
  <c r="G44" i="24"/>
  <c r="G43" i="24"/>
  <c r="G51" i="24" s="1"/>
  <c r="F43" i="24"/>
  <c r="G37" i="24"/>
  <c r="F37" i="24"/>
  <c r="D37" i="24"/>
  <c r="C36" i="24"/>
  <c r="C34" i="24"/>
  <c r="C33" i="24"/>
  <c r="C37" i="24" s="1"/>
  <c r="G23" i="24"/>
  <c r="F23" i="24"/>
  <c r="D23" i="24"/>
  <c r="C23" i="24"/>
  <c r="G11" i="24"/>
  <c r="F11" i="24"/>
  <c r="D11" i="24"/>
  <c r="C11" i="24"/>
  <c r="F61" i="23"/>
  <c r="D61" i="23"/>
  <c r="C61" i="23"/>
  <c r="G60" i="23"/>
  <c r="G59" i="23"/>
  <c r="G58" i="23"/>
  <c r="G57" i="23"/>
  <c r="G55" i="23"/>
  <c r="G53" i="23"/>
  <c r="G51" i="23"/>
  <c r="G61" i="23" s="1"/>
  <c r="F47" i="23"/>
  <c r="D47" i="23"/>
  <c r="C47" i="23"/>
  <c r="G46" i="23"/>
  <c r="G45" i="23"/>
  <c r="G43" i="23"/>
  <c r="G42" i="23"/>
  <c r="G41" i="23"/>
  <c r="G47" i="23" s="1"/>
  <c r="F38" i="23"/>
  <c r="D38" i="23"/>
  <c r="C38" i="23"/>
  <c r="G37" i="23"/>
  <c r="G36" i="23"/>
  <c r="G33" i="23"/>
  <c r="G32" i="23"/>
  <c r="G31" i="23"/>
  <c r="G30" i="23"/>
  <c r="G29" i="23"/>
  <c r="G38" i="23" s="1"/>
  <c r="G26" i="23"/>
  <c r="F26" i="23"/>
  <c r="D26" i="23"/>
  <c r="C26" i="23"/>
  <c r="G14" i="23"/>
  <c r="F14" i="23"/>
  <c r="D14" i="23"/>
  <c r="C14" i="23"/>
  <c r="G57" i="24" l="1"/>
  <c r="G65" i="24" s="1"/>
  <c r="B13" i="30" l="1"/>
  <c r="E8" i="30"/>
  <c r="B8" i="30"/>
  <c r="C7" i="30"/>
  <c r="C8" i="30" s="1"/>
  <c r="F5" i="30"/>
  <c r="F4" i="30"/>
  <c r="F3" i="30"/>
  <c r="F7" i="30" l="1"/>
  <c r="F8" i="30" s="1"/>
  <c r="G119" i="29" l="1"/>
  <c r="F119" i="29"/>
  <c r="D119" i="29"/>
  <c r="C119" i="29"/>
  <c r="G115" i="29"/>
  <c r="G114" i="29"/>
  <c r="G111" i="29"/>
  <c r="G110" i="29"/>
  <c r="G106" i="29"/>
  <c r="F106" i="29"/>
  <c r="D106" i="29"/>
  <c r="C106" i="29"/>
  <c r="G104" i="29"/>
  <c r="G98" i="29"/>
  <c r="F98" i="29"/>
  <c r="D98" i="29"/>
  <c r="C98" i="29"/>
  <c r="G84" i="29"/>
  <c r="F84" i="29"/>
  <c r="D84" i="29"/>
  <c r="C84" i="29"/>
  <c r="G83" i="29"/>
  <c r="G73" i="29"/>
  <c r="F73" i="29"/>
  <c r="D73" i="29"/>
  <c r="C73" i="29"/>
  <c r="G72" i="29"/>
  <c r="G62" i="29"/>
  <c r="F62" i="29"/>
  <c r="D62" i="29"/>
  <c r="C62" i="29"/>
  <c r="G54" i="29"/>
  <c r="F54" i="29"/>
  <c r="D54" i="29"/>
  <c r="C54" i="29"/>
  <c r="G41" i="29"/>
  <c r="F41" i="29"/>
  <c r="D41" i="29"/>
  <c r="C41" i="29"/>
  <c r="G28" i="29"/>
  <c r="F28" i="29"/>
  <c r="D28" i="29"/>
  <c r="C28" i="29"/>
  <c r="G18" i="29"/>
  <c r="F18" i="29"/>
  <c r="D18" i="29"/>
  <c r="C18" i="29"/>
  <c r="G8" i="29"/>
  <c r="F8" i="29"/>
  <c r="D8" i="29"/>
  <c r="C8" i="29"/>
  <c r="F7" i="28"/>
  <c r="D7" i="28"/>
  <c r="C7" i="28"/>
  <c r="G3" i="28"/>
  <c r="G7" i="28" s="1"/>
  <c r="E119" i="25" l="1"/>
  <c r="H118" i="25"/>
  <c r="H117" i="25"/>
  <c r="D117" i="25"/>
  <c r="E116" i="25"/>
  <c r="H116" i="25" s="1"/>
  <c r="H115" i="25"/>
  <c r="D115" i="25"/>
  <c r="H114" i="25"/>
  <c r="D114" i="25"/>
  <c r="H113" i="25"/>
  <c r="E113" i="25"/>
  <c r="D113" i="25"/>
  <c r="H112" i="25"/>
  <c r="H110" i="25"/>
  <c r="D110" i="25"/>
  <c r="H109" i="25"/>
  <c r="H108" i="25"/>
  <c r="H107" i="25"/>
  <c r="H105" i="25"/>
  <c r="E101" i="25"/>
  <c r="H100" i="25"/>
  <c r="D100" i="25"/>
  <c r="H99" i="25"/>
  <c r="H98" i="25"/>
  <c r="H101" i="25" s="1"/>
  <c r="D98" i="25"/>
  <c r="H97" i="25"/>
  <c r="D97" i="25"/>
  <c r="E93" i="25"/>
  <c r="H92" i="25"/>
  <c r="H91" i="25"/>
  <c r="H90" i="25"/>
  <c r="H89" i="25"/>
  <c r="E89" i="25"/>
  <c r="D89" i="25"/>
  <c r="H88" i="25"/>
  <c r="H87" i="25"/>
  <c r="D87" i="25"/>
  <c r="H86" i="25"/>
  <c r="D86" i="25"/>
  <c r="H85" i="25"/>
  <c r="H84" i="25"/>
  <c r="H83" i="25"/>
  <c r="H93" i="25" s="1"/>
  <c r="E78" i="25"/>
  <c r="H77" i="25"/>
  <c r="H76" i="25"/>
  <c r="H75" i="25"/>
  <c r="H74" i="25"/>
  <c r="E73" i="25"/>
  <c r="H73" i="25" s="1"/>
  <c r="H72" i="25"/>
  <c r="H71" i="25"/>
  <c r="H70" i="25"/>
  <c r="H69" i="25"/>
  <c r="H68" i="25"/>
  <c r="H67" i="25"/>
  <c r="H66" i="25"/>
  <c r="H61" i="25"/>
  <c r="H60" i="25"/>
  <c r="H59" i="25"/>
  <c r="H58" i="25"/>
  <c r="E58" i="25"/>
  <c r="H57" i="25"/>
  <c r="H56" i="25"/>
  <c r="E56" i="25"/>
  <c r="E55" i="25"/>
  <c r="H55" i="25" s="1"/>
  <c r="H54" i="25"/>
  <c r="H62" i="25" s="1"/>
  <c r="E49" i="25"/>
  <c r="H49" i="25" s="1"/>
  <c r="H48" i="25"/>
  <c r="H47" i="25"/>
  <c r="H46" i="25"/>
  <c r="G45" i="25"/>
  <c r="E45" i="25"/>
  <c r="E50" i="25" s="1"/>
  <c r="H44" i="25"/>
  <c r="H43" i="25"/>
  <c r="E39" i="25"/>
  <c r="E40" i="25" s="1"/>
  <c r="H38" i="25"/>
  <c r="H37" i="25"/>
  <c r="E36" i="25"/>
  <c r="H36" i="25" s="1"/>
  <c r="H35" i="25"/>
  <c r="H30" i="25"/>
  <c r="H29" i="25"/>
  <c r="H28" i="25"/>
  <c r="G27" i="25"/>
  <c r="H27" i="25" s="1"/>
  <c r="H26" i="25"/>
  <c r="G25" i="25"/>
  <c r="E25" i="25"/>
  <c r="H25" i="25" s="1"/>
  <c r="H24" i="25"/>
  <c r="H23" i="25"/>
  <c r="H22" i="25"/>
  <c r="E18" i="25"/>
  <c r="E17" i="25"/>
  <c r="H17" i="25" s="1"/>
  <c r="H16" i="25"/>
  <c r="H15" i="25"/>
  <c r="H14" i="25"/>
  <c r="H18" i="25" s="1"/>
  <c r="H13" i="25"/>
  <c r="E9" i="25"/>
  <c r="G8" i="25"/>
  <c r="E8" i="25"/>
  <c r="H8" i="25" s="1"/>
  <c r="H7" i="25"/>
  <c r="H6" i="25"/>
  <c r="G6" i="25"/>
  <c r="E6" i="25"/>
  <c r="H5" i="25"/>
  <c r="H4" i="25"/>
  <c r="H119" i="25" l="1"/>
  <c r="H9" i="25"/>
  <c r="H31" i="25"/>
  <c r="H78" i="25"/>
  <c r="H40" i="25"/>
  <c r="H39" i="25"/>
  <c r="E62" i="25"/>
  <c r="D116" i="25"/>
  <c r="E31" i="25"/>
  <c r="H45" i="25"/>
  <c r="H50" i="25" s="1"/>
  <c r="G104" i="22" l="1"/>
  <c r="E104" i="22"/>
  <c r="E98" i="22" s="1"/>
  <c r="G98" i="22"/>
  <c r="G89" i="22"/>
  <c r="E89" i="22"/>
  <c r="G80" i="22"/>
  <c r="E80" i="22"/>
  <c r="G68" i="22"/>
  <c r="E57" i="22"/>
  <c r="E68" i="22" s="1"/>
  <c r="G54" i="22"/>
  <c r="E54" i="22"/>
  <c r="G41" i="22"/>
  <c r="E41" i="22"/>
  <c r="J32" i="22"/>
  <c r="H32" i="22"/>
  <c r="J23" i="22"/>
  <c r="H23" i="22"/>
</calcChain>
</file>

<file path=xl/sharedStrings.xml><?xml version="1.0" encoding="utf-8"?>
<sst xmlns="http://schemas.openxmlformats.org/spreadsheetml/2006/main" count="1852" uniqueCount="823">
  <si>
    <t>Description of Project</t>
  </si>
  <si>
    <t>Total Estimated Project Cost</t>
  </si>
  <si>
    <t>The FY 2010 SRT appropriation was for $3,500,000.  The total amount of SRT funding for projects listed in this report is over $3,500,000 as a result of awarding additional funding from previous project underruns.</t>
  </si>
  <si>
    <t xml:space="preserve">The FY 2009 SRT appropriation was for $3,000,000.  The total amount of SRT funding for projects listed in this report is $3,000,000.  </t>
  </si>
  <si>
    <t>The FY 2007 SRT appropriation was for $2,000,000.  The total amount of SRT funding for projects listed in this report is over $2,000,000 as result of awarding additional funding from previous project underruns.</t>
  </si>
  <si>
    <t>The FY 2006 SRT appropriation was for $1,000,000.  The total amount of SRT funding for projects listed in this report is over $1,000,000 as result of awarding additional funding from previous project underruns.</t>
  </si>
  <si>
    <t>* Direct Appropriation From Iowa Legislature</t>
  </si>
  <si>
    <t>State Recreational Trail (SRT) Fund and county funds</t>
  </si>
  <si>
    <t>Recreational Trails - RIIF - 0017</t>
  </si>
  <si>
    <t>State Recreational Trail (SRT) Fund, county funds, Federal Transportation Enhancement Funds and MPO Transportation Enhancement Funds</t>
  </si>
  <si>
    <t>State Recreational Trail (SRT) Fund and city hotel/motel tax</t>
  </si>
  <si>
    <t>State Recreational Trail (SRT) Fund, Federal Transportation Enhancement Funds, REAP grant, county, city, and private funds</t>
  </si>
  <si>
    <t>State Recreational Trail (SRT) Fund and  All-Terrain Vehicle Registration Funds</t>
  </si>
  <si>
    <t>*</t>
  </si>
  <si>
    <t>Trail Projects in Wapello County (Wapello County) *</t>
  </si>
  <si>
    <t>Recreational Trails - RC2 - 0942</t>
  </si>
  <si>
    <t xml:space="preserve">State Recreational Trail (SRT) Fund </t>
  </si>
  <si>
    <t>Agreement signed 6/27/2007 - development in process</t>
  </si>
  <si>
    <t>Agreement signed 2/19/2007 - development in process</t>
  </si>
  <si>
    <t>Des Moines County Recreational Trail - Phase 1 Burlington to Starr's Cave (Des Moines County)</t>
  </si>
  <si>
    <t>State Recreational Trail (SRT) Fund and City of Coon Rapids/Whiterock Conservancy</t>
  </si>
  <si>
    <t>Coon Rapids Town Loop Trail (Coon Rapids)</t>
  </si>
  <si>
    <t>Agreement not signed - work not started</t>
  </si>
  <si>
    <t>State Recreational Trail (SRT) Fund and City of Clive</t>
  </si>
  <si>
    <t>Alice's Road Greenbelt Trail Improvements (Clive)</t>
  </si>
  <si>
    <t>State Recreational Trail (SRT) Fund and City of Waterloo</t>
  </si>
  <si>
    <t>18th Street to Riverview Trail Development (Waterloo)</t>
  </si>
  <si>
    <t>State Recreational Trail (SRT) Fund, Polk County Conservation, MPO, and City of Ankeny</t>
  </si>
  <si>
    <t>4-Mile Creek Greenway Trail (Polk County Conservation Board/City of Ankeny Parks and Recreation Department)</t>
  </si>
  <si>
    <t>N/A</t>
  </si>
  <si>
    <t>***</t>
  </si>
  <si>
    <t>Project was rescinded. Funding to be reprogrammed for flood damage projects.</t>
  </si>
  <si>
    <t>Mississippi River Trail Upper Scott County (Le Claire) ***</t>
  </si>
  <si>
    <t>Maquoketa River Water Trail (Jones County Conservation Board)</t>
  </si>
  <si>
    <t>Lewis &amp; Clark Trail Planning Study (Iowa DOT)</t>
  </si>
  <si>
    <t>Agreement signed 9/5/2007 - development in process</t>
  </si>
  <si>
    <t>Jewell to Ellsworth Trail (Hamilton County Conservation Board)*</t>
  </si>
  <si>
    <t>Heart of Iowa Nature Trail Phases VII &amp; VIII (Story County Conservation Board)</t>
  </si>
  <si>
    <t>Fairfield Loop Trail (Fairfield)*</t>
  </si>
  <si>
    <t>State Recreational Trail (SRT) Fund, county, city, and private funds</t>
  </si>
  <si>
    <t>Crawford County Trails (Crawford County)*</t>
  </si>
  <si>
    <t>State Recreational Trail (SRT) Fund, Land Value and Regional Enhancement</t>
  </si>
  <si>
    <t>Ankeny to Woodward Trail Corridor (Boone County Conservation Board)</t>
  </si>
  <si>
    <t xml:space="preserve">State Recreational Trail (SRT) Fund, Winneshiek County Conservation, and City of Decorah </t>
  </si>
  <si>
    <t>Trout Run Trail - Bridging the Past and the Present (City of Decorah and Winneshiek County Conservation Board)</t>
  </si>
  <si>
    <t>State Recreational Trail (SRT) Fund and city funds</t>
  </si>
  <si>
    <t>Agreement signed 3/9/2009 - development in process</t>
  </si>
  <si>
    <t>Summerset Trail (Cities of Indianola, Carlisle and Des Moines)*</t>
  </si>
  <si>
    <t>Agreement signed 10/8/2009 - development in process</t>
  </si>
  <si>
    <t>Stone State Park Trail (Woodbury County/DNR)*</t>
  </si>
  <si>
    <t>State Recreational Trail (SRT) Fund and City of Des Moines</t>
  </si>
  <si>
    <t>Principal Riverwalk (Des Moines)*</t>
  </si>
  <si>
    <t>State Recreational Trail (SRT) Fund and City of Clinton</t>
  </si>
  <si>
    <t>Agreement signed 12/3/2008 - development in process</t>
  </si>
  <si>
    <t>Mississippi River Trail - Liberty Avenue Connection (Clinton)</t>
  </si>
  <si>
    <t>Maquoketa River Water Trail (Jones County)*</t>
  </si>
  <si>
    <t>Linn Creek Trail Connection with Iowa Highway 330 Trail (Marshall County)</t>
  </si>
  <si>
    <t>State Recreational Trail (SRT) Fund, Dickinson County Conservation, MPO, and City of West Okoboji</t>
  </si>
  <si>
    <t>Crawford County Trail (Crawford County)*</t>
  </si>
  <si>
    <t>State Recreational Trail (SRT) Fund, RPA, county, city, and private funds</t>
  </si>
  <si>
    <t>American Gothic Regional Trail Project (Area 15 Regional Planning Commission)*</t>
  </si>
  <si>
    <t>State Recreational Trail (SRT) Fund and Friends of the Decorah Hatchery</t>
  </si>
  <si>
    <t>State Recreational Trail (SRT) Fund, County Foundation, Winneshiek County and Winneshiek County Bridge Grant</t>
  </si>
  <si>
    <t>Trout Run Trail - Box Culverts and Bridge Project (City of Decorah and Winneshiek County Conservation Board)</t>
  </si>
  <si>
    <t>****</t>
  </si>
  <si>
    <t>State Recreational Trail (SRT) Fund and County Budget</t>
  </si>
  <si>
    <t>State Recreational Trail (SRT) Fund,  IANWRR Donated Land and Transportation Enhancement Grant</t>
  </si>
  <si>
    <t>Railbanking Purchase of IANW Railroad (Dickinson County Trails Board and Osceola County Conservation Board)</t>
  </si>
  <si>
    <t>State Recreational Trail (SRT) fund and Local Contributions</t>
  </si>
  <si>
    <t>Principal Riverwalk Recreational Trail (city of Des Moines) *</t>
  </si>
  <si>
    <t>State Recreational Trail (SRT) Fund and Local Contributions</t>
  </si>
  <si>
    <t>Pinicon Ridge Trail (Linn County Conservation Board) *</t>
  </si>
  <si>
    <t>State Recreational Trail (SRT) Fund and City Funds</t>
  </si>
  <si>
    <t>Lewis and Clark Historic Riverfront Trail (City of Sioux City and Iowa DOT) ***</t>
  </si>
  <si>
    <t>State Recreational Trail (SRT) fund and Capital Improvement Funds</t>
  </si>
  <si>
    <t>Iowa River Corridor Trail Connection - Sand Lake (City of Iowa City) ***</t>
  </si>
  <si>
    <t>State Recreational Trail (SRT) Fund, REAP and Lake Restoration Fund</t>
  </si>
  <si>
    <t>Iowa Department of Natural Resources  (DNR) Trail Crew (Iowa DNR)</t>
  </si>
  <si>
    <t>Des Moines River Regional Trail Phase 1 (City of Des Moines) ***</t>
  </si>
  <si>
    <t>State Recreational Trail (SRT) Fund, CDBG - Jumpstart Infrastructure and FEMA-PA</t>
  </si>
  <si>
    <t>Cedar Valley Nature Trail Bridge at McFarlane Park (Black Hawk County Conservation Board)</t>
  </si>
  <si>
    <t>State Recreational Trail (SRT) Fund, Private and Local, Federal Earmark and Other State and Federal Grants</t>
  </si>
  <si>
    <t>Allamakee County Mississippi River Bike Trail (Allamakee County and Allamakee County Economic Development)</t>
  </si>
  <si>
    <t>Date of Completion / Estimated Completion</t>
  </si>
  <si>
    <t>Funds Expended</t>
  </si>
  <si>
    <t>Funds Obligated **</t>
  </si>
  <si>
    <t>Revenue Sources</t>
  </si>
  <si>
    <t>Progress of Work</t>
  </si>
  <si>
    <t>Fiscal Year</t>
  </si>
  <si>
    <t>Fund</t>
  </si>
  <si>
    <t>Rescinded</t>
  </si>
  <si>
    <t>State Recreational Trails</t>
  </si>
  <si>
    <t>Recreational Trails - RIIF - 0018</t>
  </si>
  <si>
    <t>Bluff Creek OHV Park Development Plan (Iowa DNR)</t>
  </si>
  <si>
    <t>State Recreational Trail (SRT) Fund and ATV registration funds</t>
  </si>
  <si>
    <t>Buffalo to Wild Cat Den Road MRT (City of Buffalo)</t>
  </si>
  <si>
    <t>Recreational Trails - RIIF - 0019</t>
  </si>
  <si>
    <t>State Recreational Trail (SRT) Fund and CDBG Jumpstart Infrastructure</t>
  </si>
  <si>
    <t>Recreational Trails - RIIF - 0020</t>
  </si>
  <si>
    <t>Central IA Trail Loop-Chichaqua Valley Trail to Gay Lea Wilson Trail (Polk County Conservation Board)</t>
  </si>
  <si>
    <t>Recreational Trails - RIIF - 0021</t>
  </si>
  <si>
    <t>Dickinson County Spine Trail-Henderson Woods to US71 in Arnolds Park (Arnolds Park and Dickinson County Trails Board)</t>
  </si>
  <si>
    <t>State Recreational Trail (SRT) Fund, city funds and County Trails Board</t>
  </si>
  <si>
    <t>Recreational Trails - RIIF - 0022</t>
  </si>
  <si>
    <t>Gray's Lake Neighborhood Connecting Trail &amp; SW 14th Quiet Street (City of Des Moines)</t>
  </si>
  <si>
    <t>State Recreational Trail (SRT) Fund, city CIP, Gray's Lake Neighborhood Association and land donations</t>
  </si>
  <si>
    <t>Recreational Trails - RIIF - 0023</t>
  </si>
  <si>
    <t>Gypsum City OHV Park  (WCIC and Iowa DNR)</t>
  </si>
  <si>
    <t>State Recreational Trail (SRT) Fund, Federal Recreational Trails, Webster County Conservation and ATV registration funds</t>
  </si>
  <si>
    <t>Recreational Trails - RIIF - 0024</t>
  </si>
  <si>
    <t>Iowa DNR Trails Program (Iowa DNR)</t>
  </si>
  <si>
    <t>Recreational Trails - RIIF - 0025</t>
  </si>
  <si>
    <t>NW Beaver Drive Trail (City of Johnston)</t>
  </si>
  <si>
    <t>State Recreational Trail (SRT) Fund, city G.O. bond and city park and trail improvement fund</t>
  </si>
  <si>
    <t>Recreational Trails - RIIF - 0026</t>
  </si>
  <si>
    <t>Turkey River Recreational Corridor Trail-Elkader to Motor Mill (Clayton County Conservation Board)</t>
  </si>
  <si>
    <t>State Recreational Trail (SRT) Fund, statewide TE grant and local contributions</t>
  </si>
  <si>
    <t>Recreational Trails - RIIF - 0027</t>
  </si>
  <si>
    <t>Water Trails Planning, Design and Construction Activities (Iowa DNR)</t>
  </si>
  <si>
    <t>State Recreational Trail (SRT) Fund, marine fuel tax, U.S. Coast Guard, boat registration fees and RIIF</t>
  </si>
  <si>
    <t>Agreement signed  1/4/2010 - project completed</t>
  </si>
  <si>
    <t>Agreement signed 11/5/2008 - project completed</t>
  </si>
  <si>
    <t>Agreement signed 7/8/2008 - project completed</t>
  </si>
  <si>
    <t>Agreement signed 12/3/2008 - project completed</t>
  </si>
  <si>
    <t>Agreement signed 3/16/2009 - project completed</t>
  </si>
  <si>
    <t>Agreement IDOT  - project completed</t>
  </si>
  <si>
    <t>Agreement signed 12/13/2007 - project completed</t>
  </si>
  <si>
    <t>Agreement signed 3/29/2007 - project completed</t>
  </si>
  <si>
    <t>Agreement signed 1/12/2010 - development in process</t>
  </si>
  <si>
    <t>Agreement signed 4/16/2007 - project completed</t>
  </si>
  <si>
    <t>Agreement signed 8/21/2006 - project completed</t>
  </si>
  <si>
    <t>Agreement signed 7/10/2006 - project completed</t>
  </si>
  <si>
    <t>Agreement signed 7/31/2006 - project completed</t>
  </si>
  <si>
    <t>The FY 2012 SRT appropriation was for $3,000,000.  The total amount of SRT funding for projects listed in this report is $3,000,000.</t>
  </si>
  <si>
    <t>The FY 2013 SRT appropriation was for $3,000,000.  The total amount of SRT funding for projects listed in this report is over $3,000,000 as a result of awarding additional funding from previous project underruns.</t>
  </si>
  <si>
    <t>City of Clinton Mississippi River Trail Final Connection (City of Clinton)</t>
  </si>
  <si>
    <t>Mines of Spain Trail and Trailhead (City of Dubuque and Iowa DNR)</t>
  </si>
  <si>
    <t>Musser Park to Wiggens Road Trail (City of Muscatine)</t>
  </si>
  <si>
    <t>Shaulis Road Trail Extension – Phase I (City of Waterloo)</t>
  </si>
  <si>
    <t>South Troy Park Trail (City of Robins)</t>
  </si>
  <si>
    <t>Iowa River Trail – Phase 8 of 8 (City of Iowa City)</t>
  </si>
  <si>
    <t>Agreement signed 1/5/2010 - project completed</t>
  </si>
  <si>
    <t>Agreement signed 11/25/2009 - project completed</t>
  </si>
  <si>
    <t>Agreement signed 12/6/2009 - project completed</t>
  </si>
  <si>
    <t>Agreement signed 3/10/2009 - project completed</t>
  </si>
  <si>
    <t>Agreement signed 5/15/2012 - development in process</t>
  </si>
  <si>
    <t>Agreement signed 1/29/2010 - project completed</t>
  </si>
  <si>
    <t>Agreement signed 11/3/2008 - project completed</t>
  </si>
  <si>
    <t>Agreement signed 4/16/2007 - $30,000 was awarded to city of Eldon - project completed</t>
  </si>
  <si>
    <t>Agreement signed 12/20/2011 - development in process</t>
  </si>
  <si>
    <t>Raccoon River Valley Trail Addition--Forest Park to Minburn Trail (Dallas County Conservation Board) ***</t>
  </si>
  <si>
    <t>Agreement signed 11/6/2009 - project completed</t>
  </si>
  <si>
    <t>State Recreational Trail (SRT) Fund and DNR REAP Grant Award</t>
  </si>
  <si>
    <t>State Recreational Trail (SRT) Fund and city G.O. Bonds</t>
  </si>
  <si>
    <t>State Recreational Trail (SRT) Fund, city funds and fundraising/naming opportunities</t>
  </si>
  <si>
    <t>State Recreational Trail (SRT) Fund, Federal Earmark funds and local contribution</t>
  </si>
  <si>
    <t>Agreement signed 6/8/2009 - funding rescinded</t>
  </si>
  <si>
    <t>State Recreational Trail (SRT) Fund, Upper Iowa University, city funds, County Community Foundation, Black Hills Energy, private donors, additional fundraising and DNR REAP Grant Award</t>
  </si>
  <si>
    <t>State Recreational Trail (SRT) Fund, city G.O. Bonds, Regional STP Funds, Earmark funds and Regional TE Funds</t>
  </si>
  <si>
    <t>Bee Branch Creek Trail-MRT Route (City of Dubuque)</t>
  </si>
  <si>
    <t>State Recreational Trail (SRT) Fund, Community Attraction and Tourism Program, State Enhancement Project, Central Iowa Regional Transportation Planning Alliance, Dallas County, City of Perry, City of Waukee, Guthrie County Cash and Stimulus, City of Dallas Center, City of Jamaica, City of Redfield, City of Linden, Raccoon Valley Bank, Bock Family Foundation, Dallas County Conservation Foundation, Raccoon River Valley Trail Association, Celebrations Committee Dallas Center, Committee for Super Cooper, Dallas Center Beta Sigma Phi, Rotary Club of Dallas Center, Community of Herndon, Waukee YMCA, City of Dawson, Casey's Stores, Alliant Energy, Bikes Belong, Letter campaign, Prairie Meadows Community Betterment, Prairie Woodland Conservation Foundation and Bock Family Foundation October 08</t>
  </si>
  <si>
    <t>Agreement signed 11/20/2009  - project completed</t>
  </si>
  <si>
    <t>Brushy Creek All-Weather Multi-Use Lake Trail Bridge (Iowa DNR)</t>
  </si>
  <si>
    <t>Fayette-Volga River Multi-Use Trail (Upper Iowa University and Fayette County)</t>
  </si>
  <si>
    <t>FY 2013 RIIF - General Aviation Vertical Infrastructure Program</t>
  </si>
  <si>
    <t>Airport</t>
  </si>
  <si>
    <t>State Share</t>
  </si>
  <si>
    <t>Other Revenue Sources</t>
  </si>
  <si>
    <t>State Funds Used</t>
  </si>
  <si>
    <t>Remaining Obligated</t>
  </si>
  <si>
    <t>Status of Project</t>
  </si>
  <si>
    <t>Date Completed or Estimated Completion Date</t>
  </si>
  <si>
    <t>Boone Municipal Airport</t>
  </si>
  <si>
    <t>Construct hangar</t>
  </si>
  <si>
    <t>Airport funds</t>
  </si>
  <si>
    <t>Clinton Municipal Airport</t>
  </si>
  <si>
    <t>Construct transient hangar</t>
  </si>
  <si>
    <t>Iowa Falls Municipal Airport</t>
  </si>
  <si>
    <t>Red Oak Municipal Airport</t>
  </si>
  <si>
    <t>Vinton Veterans Airpark</t>
  </si>
  <si>
    <t>Total</t>
  </si>
  <si>
    <t>FY 2012 RIIF - General Aviation Vertical Infrastructure Program</t>
  </si>
  <si>
    <t>Atlantic</t>
  </si>
  <si>
    <t>Rehabilitate hangar</t>
  </si>
  <si>
    <t>City funds, other infrastructure funds</t>
  </si>
  <si>
    <t>Completed</t>
  </si>
  <si>
    <t>Design airport terminal and transient hangar</t>
  </si>
  <si>
    <t>Fairfield Municipal Airport</t>
  </si>
  <si>
    <t>Design terminal building</t>
  </si>
  <si>
    <t>Iowa City Municipal Airport</t>
  </si>
  <si>
    <t>Rehabilitate terminal building</t>
  </si>
  <si>
    <t>Maquoketa Airport</t>
  </si>
  <si>
    <t>Replace B-Cap roof</t>
  </si>
  <si>
    <t>Monticello Municipal Airport</t>
  </si>
  <si>
    <t>Rehabilitate FBO city owned building</t>
  </si>
  <si>
    <t>Osceola Municipal Airport</t>
  </si>
  <si>
    <t>Improve terminal / office building</t>
  </si>
  <si>
    <t>Ottumwa Regional Airport</t>
  </si>
  <si>
    <t>Construct 6 unit t-hangar</t>
  </si>
  <si>
    <t>Shenandoah Airport</t>
  </si>
  <si>
    <t>Construct 4 unit t-hangar</t>
  </si>
  <si>
    <t>Rehabilitate terminal and building D roofs (FY 2013 project)</t>
  </si>
  <si>
    <t>Rehabilitate terminal roof (FY 2013 project)</t>
  </si>
  <si>
    <t>Airport funds, other infrastructure funds from other years</t>
  </si>
  <si>
    <t>Davenport</t>
  </si>
  <si>
    <t>FY 2013 RIIF - Commercial Service Vertical Infrastructure (CSVI) Projects</t>
  </si>
  <si>
    <t>Replace hangar</t>
  </si>
  <si>
    <t>Renovate terminal building lobby</t>
  </si>
  <si>
    <t>Des Moines</t>
  </si>
  <si>
    <t>Dubuque</t>
  </si>
  <si>
    <t>Construct terminal building</t>
  </si>
  <si>
    <t>Fort Dodge</t>
  </si>
  <si>
    <t>Renovate terminal operation area and former flight service station building</t>
  </si>
  <si>
    <t>Mason City</t>
  </si>
  <si>
    <t>Construct office addition</t>
  </si>
  <si>
    <t>Sioux City</t>
  </si>
  <si>
    <t>Rehabilitate hangars</t>
  </si>
  <si>
    <t>Waterloo</t>
  </si>
  <si>
    <t>Rehabilitate hangars and snow removal equipment building</t>
  </si>
  <si>
    <t>FY 2012 RIIF - Commercial Service Vertical Infrastructure (CSVI) Projects</t>
  </si>
  <si>
    <t>Construct hangars</t>
  </si>
  <si>
    <t>Renovate terminal - relocate baggage screening area</t>
  </si>
  <si>
    <t>Renovate terminal to prevent drainage issues; design renovation to flight service station; hangar A and B demolition</t>
  </si>
  <si>
    <t>TOTAL</t>
  </si>
  <si>
    <t>Renovate hangar</t>
  </si>
  <si>
    <t>GRAND TOTAL</t>
  </si>
  <si>
    <t>Local Funds</t>
  </si>
  <si>
    <t>Transit Agency Funds</t>
  </si>
  <si>
    <t>City of Coralville</t>
  </si>
  <si>
    <t>Project complete</t>
  </si>
  <si>
    <t>Western Iowa Transit System (Region 12) - Carroll</t>
  </si>
  <si>
    <t>Federal Transit Funds, Transit Agency Funds</t>
  </si>
  <si>
    <t>NA</t>
  </si>
  <si>
    <t>Ames Transit Agency (CyRide)</t>
  </si>
  <si>
    <t>Final Payment</t>
  </si>
  <si>
    <t>Remaining Balance</t>
  </si>
  <si>
    <t>State Funds Paid to Date</t>
  </si>
  <si>
    <t>Transit System</t>
  </si>
  <si>
    <t>Contract Number</t>
  </si>
  <si>
    <t>Storage barn (partial--also see supplemental funding from FY07, FY10, FY11, FY12)</t>
  </si>
  <si>
    <t>Awarded 1/2011</t>
  </si>
  <si>
    <t>Storm water rack and sanitation sewer (see FY10 and FY11)</t>
  </si>
  <si>
    <t>Administrative/operations offices (partial--also see funding from FY10, FY13)</t>
  </si>
  <si>
    <t>Awarded 12/09</t>
  </si>
  <si>
    <t>Construct satellite transit operations and vehicle storage/maintenance facility in Webster City to support MIDAS transit services in Hamilaton Co. (partial see also funding in FY10)</t>
  </si>
  <si>
    <t>MIDAS Regional Transit (Region 5) -  Ft. Dodge</t>
  </si>
  <si>
    <t>Contract awarded 7/09</t>
  </si>
  <si>
    <t>Rehabitate west wall exterior insulation finish system (EIFS) of Cy-Ride maintenance facility</t>
  </si>
  <si>
    <t>CyRide (Ames)</t>
  </si>
  <si>
    <t>Awarded 12/10</t>
  </si>
  <si>
    <t>FEMA Funds, Transit Agency Funds</t>
  </si>
  <si>
    <t>Relocate transit office/maintenance facility out of floodway</t>
  </si>
  <si>
    <t>Construct a vehicle storage addition (partial - see also supplimental funding from FY07)</t>
  </si>
  <si>
    <t>Project switched to ARRA</t>
  </si>
  <si>
    <t>0</t>
  </si>
  <si>
    <t>$491,300</t>
  </si>
  <si>
    <r>
      <t>Vehicle storage and wash bays</t>
    </r>
    <r>
      <rPr>
        <sz val="12"/>
        <rFont val="Arial"/>
        <family val="2"/>
      </rPr>
      <t xml:space="preserve"> (Moved to ARRA)</t>
    </r>
  </si>
  <si>
    <t>River Bend Transit (Region 9) - Davenport</t>
  </si>
  <si>
    <t>Construct bus wash bash and expanded parts storage, etc. for relocated transit maintenance facility  (partial -- see also supplemental funding from FY07 and FY10)</t>
  </si>
  <si>
    <t>Est. 6/30/2010</t>
  </si>
  <si>
    <t>Project Cancelled</t>
  </si>
  <si>
    <r>
      <t xml:space="preserve">Relocate transit offices </t>
    </r>
    <r>
      <rPr>
        <sz val="12"/>
        <rFont val="Arial"/>
        <family val="2"/>
      </rPr>
      <t>(Cancelled 8-9-10)</t>
    </r>
  </si>
  <si>
    <t>City of Davenport</t>
  </si>
  <si>
    <t>$640,000</t>
  </si>
  <si>
    <r>
      <rPr>
        <strike/>
        <sz val="12"/>
        <rFont val="Arial"/>
        <family val="2"/>
      </rPr>
      <t>Reconstruction of the steam cleaning area</t>
    </r>
    <r>
      <rPr>
        <sz val="12"/>
        <rFont val="Arial"/>
        <family val="2"/>
      </rPr>
      <t xml:space="preserve">  (Moved to ARRA)</t>
    </r>
  </si>
  <si>
    <t>FY 2009 - RC3 511 - Health Restricted Capital Bond Fund (Revenue Bonds Capitals)</t>
  </si>
  <si>
    <t>Storage barn (partial--also see supplemental funding from FY07, FY09, FY11, FY12)</t>
  </si>
  <si>
    <t>Storm water rack and sanitation sewer (see FY11 and supplemental funding from FY09)</t>
  </si>
  <si>
    <t>Administrative/operations offices (partial--also see funding from FY09, FY13)</t>
  </si>
  <si>
    <t>Participate in transit share of purchase and remodeling of existing building  to house planning commission functions including transit administration and operations</t>
  </si>
  <si>
    <t>Southeast Iowa Bus (region 16) - Burlington</t>
  </si>
  <si>
    <t>Expand bus wash portion of River Bend facility to accommodate larger vehicles now being operated</t>
  </si>
  <si>
    <t>Construct satellite transit operations and vehicle storage/maintenance facility in Webster City to support MIDAS transit services in Hamilton Co. (partial see also funding in FY09)</t>
  </si>
  <si>
    <t>Expand/renovate facility shared with Mason City Transit to accommodate dispatch function now required to support direct operation of transit services in Cerro Gordo County by regional system</t>
  </si>
  <si>
    <t>Region 2 Transit - Mason City</t>
  </si>
  <si>
    <t>Expand maintenance shop serving OTA and 10-15 regional transit fleets to accommodate more vehicles and provide sufficient headroom to allow use of vehicle hoists</t>
  </si>
  <si>
    <t>Ottumwa Transit Authority</t>
  </si>
  <si>
    <t>Restoration of masonry structures and upgrade of energy management system at DART facility</t>
  </si>
  <si>
    <t>Des Moines Area Regional Transit</t>
  </si>
  <si>
    <t>Construct bus wash bash and expanded parts storage, etc. for relocated transit maintenance facility  (partial -- see also supplemental funding from FY07 and FY09)</t>
  </si>
  <si>
    <t>Locker/washroom renovations</t>
  </si>
  <si>
    <t xml:space="preserve">FY 2010 - RIIF 017 - Rebuild Iowa Infrastructure Fund </t>
  </si>
  <si>
    <t>Storage barn (partial--also see supplemental funding from FY07, FY09, FY10, FY12)</t>
  </si>
  <si>
    <t>Construct a vehicle storage facility</t>
  </si>
  <si>
    <t>Southwest Iowa Transit Agency-SWITA (Region 13)</t>
  </si>
  <si>
    <t>Wash rack rehabilitation</t>
  </si>
  <si>
    <t>Transfer facility</t>
  </si>
  <si>
    <t>Replace roof over maintenance area</t>
  </si>
  <si>
    <t>Federal Transit Funds and Local</t>
  </si>
  <si>
    <t>Construct additional bus storage/maintenance areas</t>
  </si>
  <si>
    <t>FY 2011 - I-Jobs Bonding (Revenue Bonds Capitals II)</t>
  </si>
  <si>
    <t>Passenger shelter</t>
  </si>
  <si>
    <t>Muscatine</t>
  </si>
  <si>
    <t>Roof replacement</t>
  </si>
  <si>
    <t>Sprinkler replacement</t>
  </si>
  <si>
    <t>Storage barn (partial--also see supplemental funding from FY07, FY09, FY10, FY11)</t>
  </si>
  <si>
    <t>local &amp; FEMA</t>
  </si>
  <si>
    <t>New facility to replace transit garage and admin. facility</t>
  </si>
  <si>
    <t>Cedar Rapids</t>
  </si>
  <si>
    <t xml:space="preserve">Facility renovation </t>
  </si>
  <si>
    <t>Ames</t>
  </si>
  <si>
    <t xml:space="preserve">FY 2012 - Rebuild Iowa Infrastructure Fund </t>
  </si>
  <si>
    <t>federal transit funds
 local funds</t>
  </si>
  <si>
    <t>Fuel delivery system</t>
  </si>
  <si>
    <t>Storage barn portals restoration</t>
  </si>
  <si>
    <t>Administrative/operations offices (partial--also see funding from FY09, FY10)</t>
  </si>
  <si>
    <t>Administration facility/garage</t>
  </si>
  <si>
    <t xml:space="preserve">FY 2013 - Rebuild Iowa Infrastructure Fund </t>
  </si>
  <si>
    <t>None</t>
  </si>
  <si>
    <t>Burlington</t>
  </si>
  <si>
    <t>Local</t>
  </si>
  <si>
    <t>Local funds</t>
  </si>
  <si>
    <t xml:space="preserve">FY 2011 Rail Port Program </t>
  </si>
  <si>
    <t>Project Sponsor</t>
  </si>
  <si>
    <t>Wind Energy Supply Chain Industrial Park (Iowa City)</t>
  </si>
  <si>
    <t>Construct rail siding</t>
  </si>
  <si>
    <t>Local match</t>
  </si>
  <si>
    <t>Southbridge Rail Yard (Sioux City)</t>
  </si>
  <si>
    <t>Construct lead track and drop/pull yard</t>
  </si>
  <si>
    <t>Manly Terminal Wind Rail Port (Worth County)</t>
  </si>
  <si>
    <t xml:space="preserve">Construct rail spur and loop track </t>
  </si>
  <si>
    <t>Local and private match</t>
  </si>
  <si>
    <t>Lincoln Way Rail Port (Clinton)</t>
  </si>
  <si>
    <t xml:space="preserve">Construct lead track </t>
  </si>
  <si>
    <t xml:space="preserve">FY 2013 Railroad Revolving Loan and Grant Program </t>
  </si>
  <si>
    <t>CRANDIC Iowa River Crossing North Bridge</t>
  </si>
  <si>
    <t>Consruct replacement rail bridge</t>
  </si>
  <si>
    <t>Company match</t>
  </si>
  <si>
    <t>Iowa Falls UP/CN Connector</t>
  </si>
  <si>
    <t>Upgrade rail infrastructure in industrial area</t>
  </si>
  <si>
    <t>Rail One</t>
  </si>
  <si>
    <t>Industrial Rail Spur Construction</t>
  </si>
  <si>
    <t>BJRY Rail/Truck/Barge Planning Study</t>
  </si>
  <si>
    <t>Planning Study</t>
  </si>
  <si>
    <t>Central Iowa Transloading Facility Feasibility Study</t>
  </si>
  <si>
    <t>Iowa Falls/Hardin County Rail Port Planning Study</t>
  </si>
  <si>
    <t>Mills/Pottawattamie County Rail Port Study</t>
  </si>
  <si>
    <t>North Central Ag Park Planning Study</t>
  </si>
  <si>
    <t>Sioux City Rail Study Phase II</t>
  </si>
  <si>
    <t xml:space="preserve">FY 2012 Railroad Revolving Loan and Grant Program </t>
  </si>
  <si>
    <t>Burlington Junction Railway Spur rehabilitation</t>
  </si>
  <si>
    <t>Butler Cross Dock</t>
  </si>
  <si>
    <t>Cherokee Industrial Spur</t>
  </si>
  <si>
    <t>Complete</t>
  </si>
  <si>
    <t>CRANDIC Iowa River Crossing Improvement</t>
  </si>
  <si>
    <t>Global Foods</t>
  </si>
  <si>
    <t>Rail Spur upgrade</t>
  </si>
  <si>
    <t>Iowa River Railroad</t>
  </si>
  <si>
    <t>Rail line acquisition &amp; preservation</t>
  </si>
  <si>
    <t xml:space="preserve">Project withdrawn by applicant </t>
  </si>
  <si>
    <t>Not applicable</t>
  </si>
  <si>
    <t>North Central Iowa Rail Corridor, LLC</t>
  </si>
  <si>
    <t>Valley Distribution Corporation</t>
  </si>
  <si>
    <t>$                       297, 525</t>
  </si>
  <si>
    <t>Waverly GMT Rail Spur</t>
  </si>
  <si>
    <t xml:space="preserve">FY 2011 Railroad Revolving Loan and Grant Program </t>
  </si>
  <si>
    <t>Adams County Rail</t>
  </si>
  <si>
    <t>Industrial Rail Spur Extension</t>
  </si>
  <si>
    <t xml:space="preserve">Project withdrawn </t>
  </si>
  <si>
    <t>Eastern Iowa Industrial  Center</t>
  </si>
  <si>
    <t>Construct Transloading Facility</t>
  </si>
  <si>
    <t>Federal, state and local match</t>
  </si>
  <si>
    <t>Lomont Molding Inc</t>
  </si>
  <si>
    <t>Nypro Kannaak</t>
  </si>
  <si>
    <t>Construction complete 11/14/2012</t>
  </si>
  <si>
    <t xml:space="preserve">FY 2010 Railroad Revolving Loan and Grant Program </t>
  </si>
  <si>
    <t>Burlington Junction Railway</t>
  </si>
  <si>
    <t>Upgrade rail infrastructure in industrial park</t>
  </si>
  <si>
    <t>Railroad match</t>
  </si>
  <si>
    <t>Cedar Rapids and Iowa City Railroad (CRANDIC)</t>
  </si>
  <si>
    <t xml:space="preserve">Rebuild rail bridge </t>
  </si>
  <si>
    <t>Schau Recycling</t>
  </si>
  <si>
    <t>Install industrial rail spur</t>
  </si>
  <si>
    <t>Shine Brothers Corp.</t>
  </si>
  <si>
    <t>City of Waterloo</t>
  </si>
  <si>
    <t>City match</t>
  </si>
  <si>
    <t>Webster County Board of Supervisors</t>
  </si>
  <si>
    <t>Install industrial rail spur in industrial park</t>
  </si>
  <si>
    <t>County match and company investment</t>
  </si>
  <si>
    <t>Project withdrawn</t>
  </si>
  <si>
    <t>Union Pacific Railroad and Iowa Northern Railway</t>
  </si>
  <si>
    <t xml:space="preserve">Rebuild rail bridge in Waterloo* </t>
  </si>
  <si>
    <t>Railroad match and FRA grant award</t>
  </si>
  <si>
    <t>FY 2009 Railroad Revolving Loan and Grant Program (Flood Recovery)</t>
  </si>
  <si>
    <t>Railroad</t>
  </si>
  <si>
    <t>Repair rail infrastructure damaged by flooding</t>
  </si>
  <si>
    <t>Keokuk Junction Railway Company</t>
  </si>
  <si>
    <t>Iowa, Chicago &amp; Eastern Railroad Corp.</t>
  </si>
  <si>
    <t>Iowa Interstate Railroad</t>
  </si>
  <si>
    <t>Iowa Northern Railway Co.</t>
  </si>
  <si>
    <t>FY 2008 Railroad Revolving Loan and Grant Program</t>
  </si>
  <si>
    <t>List of all revenue sources</t>
  </si>
  <si>
    <t xml:space="preserve">FY 2008 Funds used </t>
  </si>
  <si>
    <t>FY 2008 Remaining Funds Obligated</t>
  </si>
  <si>
    <t>Status of project</t>
  </si>
  <si>
    <t>Cedar Rapids Terminal (Iowa Northern Railroad)   Construct rail spur and intermodal loading facility in Palo</t>
  </si>
  <si>
    <t>State grant and loan; Private investment; local  investment</t>
  </si>
  <si>
    <t>Not Applicable</t>
  </si>
  <si>
    <t>Big River Resources Ethanol Plant industrial rail spur</t>
  </si>
  <si>
    <t>State grant; Private investment</t>
  </si>
  <si>
    <t>Lincolnway Railport Industrial Park</t>
  </si>
  <si>
    <t>Project was withdrawn by applicant. Funding has been reprogrammed to flood recovery assistance.</t>
  </si>
  <si>
    <t>Norfolk Iron and Metal Company industrial rail spur</t>
  </si>
  <si>
    <t>Oregon Trail Energy Rail spur</t>
  </si>
  <si>
    <t>Project was withdrawn. Funding has been reprogrammed to FY2012</t>
  </si>
  <si>
    <t>Prairie Creek Ethanol rail spur</t>
  </si>
  <si>
    <t>State Grant; Private investment</t>
  </si>
  <si>
    <t>Project withdrawn by applicant. Funding has been reprogrammed to flood recovery assistance.</t>
  </si>
  <si>
    <t>Raccoon Valley BioDiesel Rail spur</t>
  </si>
  <si>
    <t>Trinity Towers</t>
  </si>
  <si>
    <t>Unity Ethanol Cedar River</t>
  </si>
  <si>
    <t>State loan; Private investment</t>
  </si>
  <si>
    <t>Project withdrawn. Funding has been reprogrammed to FY12.</t>
  </si>
  <si>
    <t>Unity Ethanol Ottumwa</t>
  </si>
  <si>
    <t>State grant and loan; Private Investment</t>
  </si>
  <si>
    <t>FY 2007 Railroad Revolving Loan and Grant Program</t>
  </si>
  <si>
    <t xml:space="preserve">FY 2007 Funds used </t>
  </si>
  <si>
    <t>FY 2007 Remaining Funds Obligated</t>
  </si>
  <si>
    <t>Alternative Energy Resources Ethanol  Plant industrial rail spur</t>
  </si>
  <si>
    <t>Seimens Wind Power industrial rail spur</t>
  </si>
  <si>
    <t>Southern Bio Energy industrial rail spur</t>
  </si>
  <si>
    <t>FY 2006 Railroad Revolving Loan and Grant Program</t>
  </si>
  <si>
    <t xml:space="preserve">FY 2006 Funds used </t>
  </si>
  <si>
    <t>FY 2006 Remaining Funds Obligated</t>
  </si>
  <si>
    <t>Absolute Energy industrial rail spur</t>
  </si>
  <si>
    <t>Cascade Lumber Company industrial rail spur</t>
  </si>
  <si>
    <t>Eastern Iowa Industrial Center rail development for industrial park expansion</t>
  </si>
  <si>
    <t>State grant; Private investment; FHWA grant</t>
  </si>
  <si>
    <t xml:space="preserve">Project in progress </t>
  </si>
  <si>
    <t>Green Plains Renewable Energy</t>
  </si>
  <si>
    <t>Midwest I,LLC industrial rail spur</t>
  </si>
  <si>
    <t>Iowa Renewable Energy LLC industrial rail spur</t>
  </si>
  <si>
    <t>Lincolnway Railport Industrial park rail development</t>
  </si>
  <si>
    <t>Project was withdrawn by applicant. Funding has  been reprogrammed  for flood recovery activities.</t>
  </si>
  <si>
    <t>Marco Group International industrial rail spur switching improvements</t>
  </si>
  <si>
    <t>Metzler Automotive</t>
  </si>
  <si>
    <t>State grant</t>
  </si>
  <si>
    <t>2010 Passenger Rail Service Revolving Fund (RIIF)</t>
  </si>
  <si>
    <t>Remaining Obligated Funds</t>
  </si>
  <si>
    <t>Support in Development of Intercity Passenger Rail efforts</t>
  </si>
  <si>
    <t>Funding reserved to match FY 2009 Recovery Act award to Iowa DOT for Chicago to Omaha Planning Study</t>
  </si>
  <si>
    <t>Federal Railroad Administration FY 2009 HSIPR award</t>
  </si>
  <si>
    <t>In Progress</t>
  </si>
  <si>
    <t>Federal Railroad Administration FY 2010 HSIPR award</t>
  </si>
  <si>
    <t>2011 Passenger Rail Service Revolving Fund (funding from Underground Storage Tank Fund)</t>
  </si>
  <si>
    <t>FY 2014 RIIF - General Aviation Vertical Infrastructure Program</t>
  </si>
  <si>
    <t>Ankeny Regional</t>
  </si>
  <si>
    <t>Construct 6-unit tee hangar</t>
  </si>
  <si>
    <t>Davenport Municipal</t>
  </si>
  <si>
    <t>Rehabilitate hangar 8970</t>
  </si>
  <si>
    <t xml:space="preserve">City funds  </t>
  </si>
  <si>
    <t>Emmetsburg Municipal</t>
  </si>
  <si>
    <t>Construct 80x100 hangar</t>
  </si>
  <si>
    <t>Local funding uncertain</t>
  </si>
  <si>
    <t>Marshalltown Municipal</t>
  </si>
  <si>
    <t xml:space="preserve">Renovate hangar </t>
  </si>
  <si>
    <t>Northeast Iowa Regional</t>
  </si>
  <si>
    <t>Construct 70x120 hangar</t>
  </si>
  <si>
    <t>Ottumwa Regional</t>
  </si>
  <si>
    <t>Local airport funds</t>
  </si>
  <si>
    <t>Perry Municipal</t>
  </si>
  <si>
    <t>Construct 45x100 hangar</t>
  </si>
  <si>
    <t>City bonding</t>
  </si>
  <si>
    <t>Red Oak Municipal</t>
  </si>
  <si>
    <t xml:space="preserve">Renovate hangar door </t>
  </si>
  <si>
    <t>Webster City Municipal</t>
  </si>
  <si>
    <t>Renovate maintenance hangar</t>
  </si>
  <si>
    <t>Final punch list items.</t>
  </si>
  <si>
    <t>FY 2014 RIIF - Commercial Service Vertical Infrastructure (CSVI) Projects</t>
  </si>
  <si>
    <t>Replace roofs on four buildings</t>
  </si>
  <si>
    <t xml:space="preserve">Re-design flight service station, replace overhead doors in ARFF/Maintenance building, demolish two hangars </t>
  </si>
  <si>
    <t>Rehabilitate terminal: replace terminal cooling system, install security cameras, improve entrance soffit and ceiling</t>
  </si>
  <si>
    <t>Rehabilitate and construct new hangars</t>
  </si>
  <si>
    <t>In progress</t>
  </si>
  <si>
    <t>State Recreational Trail (SRT) Fund, city funds and county funds</t>
  </si>
  <si>
    <t>Bellevue Rivervue Trail-Phase II (City of Bellevue and Jackson County Conservation Board)</t>
  </si>
  <si>
    <t>State Recreational Trail (SRT) Fund, city funds, REAP, Regional Transportation Alternative funds and private donations</t>
  </si>
  <si>
    <t>Bridging the Gap: Phase I Dry Run Trail-Connecting Decorah's Trout Run Trail to the Prairie Farmer Recreational Trail (Winneshiek County Conservation Board and City of Decorah)</t>
  </si>
  <si>
    <t>State Recreational Trail (SRT) Fund, Statewide Transportation Enhancement grant, REAP and local public/private funds</t>
  </si>
  <si>
    <t>Farragut to Shenandoah Trail Connection (City of Farragut)</t>
  </si>
  <si>
    <t>Agreement signed 10/31/2013 - work not started</t>
  </si>
  <si>
    <t>State Recreational Trail (SRT) Fund and land value</t>
  </si>
  <si>
    <t>Iowa River Scenic Trail (Hardin County Board of Supervisors and City of Marshalltown)</t>
  </si>
  <si>
    <t>State Recreational Trail (SRT) Fund, Regional Transportation Alternative funds and land value</t>
  </si>
  <si>
    <t>Multiuse Mississippi River Trail, Riverdale Section, Phase 2 (City of Riverdale)</t>
  </si>
  <si>
    <t>State Recreational Trail (SRT) Fund, city funds, County Regional Authority Grant and National Scenic Byways Grant</t>
  </si>
  <si>
    <t>Pioneer Beach Road Trail (City of Orleans and Dickinson County Trails Board)</t>
  </si>
  <si>
    <t>State Recreational Trail (SRT) Fund, city funds and County Trails Board funds</t>
  </si>
  <si>
    <t>Raccoon River Valley Trail to High Trestle Trail Connector (Dallas County Conservation Board)</t>
  </si>
  <si>
    <t>Agreement signed 7/30/2013 - development in process</t>
  </si>
  <si>
    <t>State Recreational Trail (SRT) Fund, other grants, donations and foundations</t>
  </si>
  <si>
    <t>Agreement signed 11/13/2012 - development in process</t>
  </si>
  <si>
    <t>Agreement signed 12/12/2012 - development in process</t>
  </si>
  <si>
    <t>Agreement signed 5/05/2012 - development in process</t>
  </si>
  <si>
    <t>Agreement signed 12/20/2011 - project completed with other funding</t>
  </si>
  <si>
    <t>*****</t>
  </si>
  <si>
    <t>State Recreational Trail (SRT) Fund, Polk County Conservation and Partners</t>
  </si>
  <si>
    <t>Agreement signed 12/22/2011 - project completed</t>
  </si>
  <si>
    <t>Agreement signed 11/20/2009 - project completed</t>
  </si>
  <si>
    <t>Agreement signed 2/1/2010 - project completed</t>
  </si>
  <si>
    <t>Agreement signed 12/2/2009 - project completed</t>
  </si>
  <si>
    <t>Agreement signed 7/20/2009 - project completed</t>
  </si>
  <si>
    <t>Agreement signed 11/4/2008 - project completed</t>
  </si>
  <si>
    <t>Agreement signed 3/25/2008 - project completed</t>
  </si>
  <si>
    <t>Agreement signed 3/06/2007 - project completed</t>
  </si>
  <si>
    <t>NOTE: To avoid loss of funding, it is the Iowa Department of Transportation's policy to expend the oldest funding first when reimbursing any project costs. Thus, the FY 2006 $1,000,000 appropriation was spent, even though some of the FY 2006 projects listed don't show all their funding was utilized by the expiration date.</t>
  </si>
  <si>
    <t>** Funds obligated per Department of Transportation Commission Order.</t>
  </si>
  <si>
    <t>*** FY 2006 and FY 2008 Funding Rescinded by Local Sponsors - Funding Reallocated to SRT Projects in FY 2010</t>
  </si>
  <si>
    <t>**** The initial $87,500 is from I-Jobs and the remaining $19,771 from rescinded funds from FY 2008.</t>
  </si>
  <si>
    <t>The FY 2008 SRT appropriation was for $2,000,000.  The total amount of SRT funding for projects listed in this report is $2,000,000.</t>
  </si>
  <si>
    <t>There was no SRT appropriation for FY 2011.</t>
  </si>
  <si>
    <t>The FY 2014 SRT appropriation was for $3,000,000.  The total amount of SRT funding for projects listed in this report is over $3,000,000 as a result of awarding additional funding from previous project underruns.</t>
  </si>
  <si>
    <t xml:space="preserve">FY 2014 Railroad Revolving Loan and Grant Program </t>
  </si>
  <si>
    <t>HFCA (HF Chlor Alkali) Rail Road Project</t>
  </si>
  <si>
    <t>Construction of three miles of new (private) track for new Cargill Plant</t>
  </si>
  <si>
    <t>Iowa Corn Processors (ICP) Rail Expansion</t>
  </si>
  <si>
    <t>Construction of two spur tracks on ICP property to add capacity</t>
  </si>
  <si>
    <t>Company Match</t>
  </si>
  <si>
    <t>Carter Lake Metals Processing Building (Owen Industries)</t>
  </si>
  <si>
    <t>Construction of new rail spur to accommodate new production building</t>
  </si>
  <si>
    <t>Project in process</t>
  </si>
  <si>
    <t>Heartland Co-op Greenfield Rail Loading Elevator</t>
  </si>
  <si>
    <t xml:space="preserve">Build a 125-car load out facility </t>
  </si>
  <si>
    <t>CRANDIC - Millrace &amp; Price Creek Bridges</t>
  </si>
  <si>
    <t>Replacement of two bridges</t>
  </si>
  <si>
    <t>City of Knoxville - Red Rock Industrial Park</t>
  </si>
  <si>
    <t>Complete:  loan portion of award declined</t>
  </si>
  <si>
    <t xml:space="preserve">FY 2014 - Rebuild Iowa Infrastructure Fund </t>
  </si>
  <si>
    <t>Region 5</t>
  </si>
  <si>
    <t>Construct new vehicle and administration facility</t>
  </si>
  <si>
    <t>Awarded 8-2013</t>
  </si>
  <si>
    <t>Region 9</t>
  </si>
  <si>
    <t>Purchase and install new generator</t>
  </si>
  <si>
    <t>Region 13</t>
  </si>
  <si>
    <t>Construct wash bay addition</t>
  </si>
  <si>
    <t>Renovate operations office (partial-- see funding from FY10, FY11 and FY13)</t>
  </si>
  <si>
    <t>Rehabilitate maintenance lane</t>
  </si>
  <si>
    <t xml:space="preserve">Replace bus wash system     </t>
  </si>
  <si>
    <t>Rehabilitate roof</t>
  </si>
  <si>
    <t>Replace transit operations heating, ventilating, and air conditioning system</t>
  </si>
  <si>
    <t>Renovate operations office (partial-- see funding from FY10, FY11 and FY14)</t>
  </si>
  <si>
    <t>Renovate operations office (partial-- see funding from FY10, FY13 and FY14)</t>
  </si>
  <si>
    <t>Renovate operations office (partial-- see funding from FY11, FY13 and FY14)</t>
  </si>
  <si>
    <t xml:space="preserve">Note 1:  CRANDIC was awarded $2,000,000 from RRLG, however $386,404 of the award is from federal Rail Assistance Program (RAP) funds.  </t>
  </si>
  <si>
    <t>FY 2015 RIIF - General Aviation Vertical Infrastructure Program</t>
  </si>
  <si>
    <t>Atlantic Municipal Airport</t>
  </si>
  <si>
    <t>Construct 60' x 80' hangar</t>
  </si>
  <si>
    <t>Construct 2-unit, 45' x 80' hangar</t>
  </si>
  <si>
    <t>Decorah Municipal Airport</t>
  </si>
  <si>
    <t>Construct 3-stall rectangular hangar</t>
  </si>
  <si>
    <t>Construct new public terminal building</t>
  </si>
  <si>
    <t>Grinnell Regional Airport</t>
  </si>
  <si>
    <t>Terminal building and maintenance hangar renovation</t>
  </si>
  <si>
    <t>Construct 33' x 42' rectangular hangar</t>
  </si>
  <si>
    <t>Rock Rapids Municipal Airport</t>
  </si>
  <si>
    <t>Rehabilitate hangar roof</t>
  </si>
  <si>
    <t>Sibley Municipal Airport</t>
  </si>
  <si>
    <t xml:space="preserve">Renovate terminal building roof and addition of insulation in hangar </t>
  </si>
  <si>
    <t>Washington Municipal Airport</t>
  </si>
  <si>
    <t>Utility company loan</t>
  </si>
  <si>
    <t xml:space="preserve">Rehabilitate terminal and building roofs </t>
  </si>
  <si>
    <t>Expand four unit t-hangar and apron</t>
  </si>
  <si>
    <t>Ankeny Connector - High Trestle Trail (Polk County Conservation Board)</t>
  </si>
  <si>
    <t>State Recreational Trail (SRT) Fund, city funds, county funds, and Iowa Natural Heritage Foundation funds</t>
  </si>
  <si>
    <t>Cedar Valley Nature Trail Bridge E4 Replacement (Black Hawk County Conservation Board)</t>
  </si>
  <si>
    <t>Coon Rapids Connector Trail Underpass (City of Coon Rapids)</t>
  </si>
  <si>
    <t>Great River Road Bike Lane (Louisa County Secondary Roads)</t>
  </si>
  <si>
    <t>State Recreational Trail (SRT) Fund and Scenic Byways grant</t>
  </si>
  <si>
    <t>Hoover Trail - "The Missing Link" (Johnson County Conservation Board)</t>
  </si>
  <si>
    <t>Iowa DNR AmeriCorps Trail Crew (Iowa Department of Natural Resources)</t>
  </si>
  <si>
    <t>Iowa River Trail Phase 1 Development (City of Marshalltown and Hardin County)</t>
  </si>
  <si>
    <t>State Recreational Trail (SRT) Fund, Region 6 TAP funds and REAP</t>
  </si>
  <si>
    <t>Lake Path Trail/JewEllsworth Trail Segment (Hamilton County Conservation Board)</t>
  </si>
  <si>
    <t>State Recreational Trail (SRT) Fund, Regional TE, cash from local entities and private donations</t>
  </si>
  <si>
    <t>Mississippi River Trail - Pikes Peak Road to Guttenberg (Clayton County)</t>
  </si>
  <si>
    <t>State Recreational Trail (SRT) Fund and local option sales tax</t>
  </si>
  <si>
    <t>Pottawattamie County Trail-Phase I (Pottawattamie County Conservation Board and Pottawattamie County Trail Board)</t>
  </si>
  <si>
    <t xml:space="preserve">State Recreational Trail (SRT) Fund, Federal Recreational Trails funding, county funds and Iowa West Foundation funds </t>
  </si>
  <si>
    <t>Red Cedar Trail and Connector (Linn County Conservation Board and Linn Area Mountain Bike Association)</t>
  </si>
  <si>
    <t>State Recreational Trail (SRT) Fund, Specialized Dealer Grant, Marion Hotel/Motel and other local grants, LAMBA and other donors</t>
  </si>
  <si>
    <t>SW 5th (Jackson) Street Bridge Rehabilitation (City of Des Moines)</t>
  </si>
  <si>
    <t>State Recreational Trail (SRT) Fund,  City CIP funds, TIGER funds and private fundraising</t>
  </si>
  <si>
    <t>Ankeny Connector - High Trestle Trail (Polk County Conservation Board and Ankeny)</t>
  </si>
  <si>
    <t>Agreement signed 10/25/2013 - project completed</t>
  </si>
  <si>
    <t>Agreement signed 1/30/2014 - development in process</t>
  </si>
  <si>
    <t>Agreement signed 1/09/2014 - development in process</t>
  </si>
  <si>
    <t>Agreement signed 11/12/2013 - development in process</t>
  </si>
  <si>
    <t>Agreement signed 12/23/2013 - development in process</t>
  </si>
  <si>
    <t>Agreement signed 11/28/2012 - development in process</t>
  </si>
  <si>
    <t>Agreement signed 11/25/2014 - development in process</t>
  </si>
  <si>
    <t>Agreement signed 3/24/2014 - development in process</t>
  </si>
  <si>
    <t>Agreement signed 7/11/2013 - development in process</t>
  </si>
  <si>
    <t>Cedar Valley Nature Trail Bridge at McFarlane Park (Black Hawk County Conservation Board)*****</t>
  </si>
  <si>
    <t>Agreement signed 12/20/2011 - project completed</t>
  </si>
  <si>
    <t>Agreement signed 1/10/2012 - development in process</t>
  </si>
  <si>
    <t>Agreement signed 1/18/2012 - development in process</t>
  </si>
  <si>
    <t>Agreement signed 1/5/2010 - development in process</t>
  </si>
  <si>
    <t>Summerset Trail Flood Repairs (Warren County Conservation Board)****</t>
  </si>
  <si>
    <t>Trout Run Trail - Decorah Fish Hatchery's Interpretive Restroom Facility (Northeast Iowa Resources Conservation and Development, Inc. and Iowa DNR's Fisheries)</t>
  </si>
  <si>
    <t>Garlock Slough Recreational Trail (City of West Okoboji and Dickinson County Tails Board)*****</t>
  </si>
  <si>
    <t>Riverview Recreation Area Expansion (Trailblazers Off Road Club)*****</t>
  </si>
  <si>
    <t>Agreement signed 12/14/2007 - project completed</t>
  </si>
  <si>
    <t>Agreement signed 2/07/2007 - project completed</t>
  </si>
  <si>
    <t>Lakeview OHV Park Upgrades (Dirt Surfers Inc.)</t>
  </si>
  <si>
    <t>Phase I of the Gypsum City OHV Park (Webster County)</t>
  </si>
  <si>
    <t>Trail construction connecting the Little Sioux County Park to the city of Correctionville (Woodbury County Conservation Board)</t>
  </si>
  <si>
    <t>Phase 4 of the Clear Creek Trail from Mormon Handcart Park to the Clear Creek bridge on U.S. Highway 6 (Coralville)</t>
  </si>
  <si>
    <t>Agreement signed 8/9/2006 - Final Voucher entered 6/11/08; Remaining funds to be used on next phase of project-project completed</t>
  </si>
  <si>
    <t>Construction of trail connecting existing trails in Johnston to the Neal Smith Trail in Des Moines (Polk County Conservation Board)</t>
  </si>
  <si>
    <t>Development of a trail to fill a gap in the trail network around Clear Lake and extending to Mason City (Cerro Gordo County)</t>
  </si>
  <si>
    <t>*****Funding for 2 Projects Rescinded by Local Sponsors and a $32,543 project underrun - Funding Reallocated to SRT Projects in FY 2014</t>
  </si>
  <si>
    <t xml:space="preserve">The FY 2015 SRT appropriation was for $6,000,000 with $1,000,000 for existing historic trail bridges. The total amount of SRT funding for projects listed in this report is over $5,500,000 as a result of awarding additional funding from a previous project underrun. </t>
  </si>
  <si>
    <t xml:space="preserve">FY 2015 Railroad Revolving Loan and Grant Program </t>
  </si>
  <si>
    <t xml:space="preserve">West Charles Street Viaduct </t>
  </si>
  <si>
    <t>Reconstruction, removal and replacement of the east side of the West Charles Street Viaduct</t>
  </si>
  <si>
    <t>Local Match</t>
  </si>
  <si>
    <t>In Agreement Phase</t>
  </si>
  <si>
    <t xml:space="preserve">Five Star Coop </t>
  </si>
  <si>
    <t>Expansion of current rail siding from 3 car capacity to 35 car capacity</t>
  </si>
  <si>
    <t>Des Moines Transload Facility</t>
  </si>
  <si>
    <t>Development of a transload facility to improve the overall freight capacity in Des Moines Metro area</t>
  </si>
  <si>
    <t>Crossroads of Global Innovation</t>
  </si>
  <si>
    <t>Phase two allows for connection to the CN mailline in the ICGI certrified site</t>
  </si>
  <si>
    <t>KJRY Railnetwork Improvements</t>
  </si>
  <si>
    <t>Upgrade a mainline yard switch along with heavily traveled mainline yard tracks</t>
  </si>
  <si>
    <t>Sioux Center Rail Port Study</t>
  </si>
  <si>
    <t xml:space="preserve">A planning study to determine the potential for a rail port adjacent to a BNSF line that runs north/south through the City limits </t>
  </si>
  <si>
    <t xml:space="preserve">Local Match </t>
  </si>
  <si>
    <t>Project Complete</t>
  </si>
  <si>
    <t>Complete - Certificate of Completion Peding</t>
  </si>
  <si>
    <t>Study Complete</t>
  </si>
  <si>
    <t>Project withdrawn by applicants</t>
  </si>
  <si>
    <t xml:space="preserve"> </t>
  </si>
  <si>
    <t xml:space="preserve">FY 2015 - Rebuild Iowa Infrastructure Fund </t>
  </si>
  <si>
    <t>(#16399)</t>
  </si>
  <si>
    <t>Bus depot improvements</t>
  </si>
  <si>
    <t>Est. 7/7/2016</t>
  </si>
  <si>
    <t>(#16400)</t>
  </si>
  <si>
    <t>DART Way front office remodel</t>
  </si>
  <si>
    <t>(#16401)</t>
  </si>
  <si>
    <t>Bus storage facility</t>
  </si>
  <si>
    <t>(#16402)</t>
  </si>
  <si>
    <t>Maintenance, repairs, and improvements for MLK Center</t>
  </si>
  <si>
    <t>FY 2015 RIIF - Commercial Service Vertical Infrastructure (CSVI) Projects</t>
  </si>
  <si>
    <t xml:space="preserve">Date Completed or Expected to be Completed </t>
  </si>
  <si>
    <t>Burlington- Southeast Iowa</t>
  </si>
  <si>
    <t>Replace three hangars</t>
  </si>
  <si>
    <t>Not Started</t>
  </si>
  <si>
    <t>Cedar Rapids- Eastern Iowa</t>
  </si>
  <si>
    <t>Customs &amp; Border Protection relocation</t>
  </si>
  <si>
    <t>Construct new terminal building</t>
  </si>
  <si>
    <t>Construct new hangar</t>
  </si>
  <si>
    <t>Upgrade terminal electrical service and replace overhead door in west maintenance facility</t>
  </si>
  <si>
    <t>Rehabilitate and build hangars</t>
  </si>
  <si>
    <t>Upgrade emergency generator, replace door at bag make-up, and terminal electrical improvements</t>
  </si>
  <si>
    <t>Relocate US Customs building</t>
  </si>
  <si>
    <t>Construct parking garage bridge</t>
  </si>
  <si>
    <t>Cedar Valley Trail "Paving the Way for the American Discovery Trail" (Linn County &amp; Black Hawk County Conservation Boards)</t>
  </si>
  <si>
    <t>State Recreational Trail (SRT) Fund</t>
  </si>
  <si>
    <t>Flint River Trail: Phase I South (Burlington)</t>
  </si>
  <si>
    <t>Hoover Trail -- "The Missing Link" (Johnson County Conservation Board)</t>
  </si>
  <si>
    <t>Hospital Connector Trail Bridge (Manning)</t>
  </si>
  <si>
    <t>Agreement signed 12/21/2015 - development in process</t>
  </si>
  <si>
    <t>Mitchellville to Prairie City Rails-to-Trails Corridor Development (Jasper County Conservation Board)</t>
  </si>
  <si>
    <t>Agreement signed 11/24/2015 - development in process</t>
  </si>
  <si>
    <t>Turkey River Recreational Corridor - Elgin to Gilbertson Park and the Turkey River (Fayette County Conservation Board)</t>
  </si>
  <si>
    <t>State Recreational Trail (SRT) Fund and Regional TAP funds</t>
  </si>
  <si>
    <t>Agreement signed 12/15/2014 - project completed</t>
  </si>
  <si>
    <t>Agreement signed 2/10/2015 - development in process</t>
  </si>
  <si>
    <t>Agreement signed 6/19/2014 - development in process</t>
  </si>
  <si>
    <t>Agreement signed 12/14/2014 - development in process</t>
  </si>
  <si>
    <t>Agreement signed 12/17/2014 - development in process</t>
  </si>
  <si>
    <t>Agreement signed 3/2/2015 - development in process</t>
  </si>
  <si>
    <t>Jurgensen Bridge Refurbishment (Winterset and Winterset Municipal Utility)</t>
  </si>
  <si>
    <t>Agreement signed 9/21/2015 - development in process</t>
  </si>
  <si>
    <t>State Recreational Trail (SRT) Fund, FEMA funds, and city funds</t>
  </si>
  <si>
    <t>******</t>
  </si>
  <si>
    <t>Agreement signed 1/6/2015 - development in process</t>
  </si>
  <si>
    <t>Agreement signed 8/31/2015 -development in process</t>
  </si>
  <si>
    <t>Agreement signed 12/15/2014 -development in process</t>
  </si>
  <si>
    <t>Agreement signed 1/27/2015 - development in process</t>
  </si>
  <si>
    <t>Agreement signed 9/29/2015 - development in process</t>
  </si>
  <si>
    <t>Agreement signed 6/3/2014 - development in process</t>
  </si>
  <si>
    <t>Agreement signed 12/05/2012 - project completed</t>
  </si>
  <si>
    <t>Agreement signed 11/28/2012 - project completed</t>
  </si>
  <si>
    <t>State Recreational Trail (SRT) Fund, Regional TAP funds, and city funds</t>
  </si>
  <si>
    <t>Agreement signed 9/16/2014 - development in process</t>
  </si>
  <si>
    <t>State Recreational Trail (SRT) Fund, National Scenic Byway funds, and city funds</t>
  </si>
  <si>
    <t>State Recreational Trail (SRT) Fund, SAFETEA-LU earmark funds, and city funds</t>
  </si>
  <si>
    <t>Agreement signed 12/15/2011 - project completed</t>
  </si>
  <si>
    <t>Agreement signed 2/6/2012 - project completed</t>
  </si>
  <si>
    <t>Agreement signed 2/23/2012 - project completed</t>
  </si>
  <si>
    <t>State Recreational Trail (SRT) Fund, DNR REAP Grant Award, ICAAP funds,  and City of Des Moines Capital Funds</t>
  </si>
  <si>
    <r>
      <t xml:space="preserve">Cemar Trail - Phase 2 (Cedar Rapids) </t>
    </r>
    <r>
      <rPr>
        <sz val="10"/>
        <color rgb="FFFF0000"/>
        <rFont val="Arial"/>
        <family val="2"/>
      </rPr>
      <t xml:space="preserve"> </t>
    </r>
  </si>
  <si>
    <t>State Recreational Trail (SRT) Fund, federal earmark funds, federal Transportation Alternatives funds, and Cedar Rapids CIP Funds</t>
  </si>
  <si>
    <t>State Recreational Trail (SRT) Fund, Federal Recreational Trails, Regional TAP funds, and county funds</t>
  </si>
  <si>
    <t>******Identifies 2 Projects funded through $1 million existing historic trail bridges allocation that was part of the FY 2015 appropriation.</t>
  </si>
  <si>
    <t>The FY 2016 SRT appropriation was for $3,400,000.  The total amount of SRT funding for projects listed in this report is $3,400,000.</t>
  </si>
  <si>
    <t xml:space="preserve">FY 2016 - Rebuild Iowa Infrastructure Fund </t>
  </si>
  <si>
    <t>(#17521)</t>
  </si>
  <si>
    <t>Building improvements</t>
  </si>
  <si>
    <t>Awarded 8-2015</t>
  </si>
  <si>
    <t>Est. 8/10/2017</t>
  </si>
  <si>
    <t>(#17522)</t>
  </si>
  <si>
    <t>Rehabilitate facility</t>
  </si>
  <si>
    <t>Federal transit funds
 Local funds</t>
  </si>
  <si>
    <t>(#17523)</t>
  </si>
  <si>
    <t>Maintenance, repairs, and replacement of bus shelters (partial funding---also see FY11, FY12, FY14 )</t>
  </si>
  <si>
    <t>(#17519)</t>
  </si>
  <si>
    <t>Region 2</t>
  </si>
  <si>
    <t>Construction of indoor parking facility</t>
  </si>
  <si>
    <t>(#17520)</t>
  </si>
  <si>
    <t>Region 8</t>
  </si>
  <si>
    <t>Roof mounted solar array (partial funding--also see FY15)</t>
  </si>
  <si>
    <t>Awarded 8-2014</t>
  </si>
  <si>
    <t>Roof mounted solar array (partial funding---also see FY16)</t>
  </si>
  <si>
    <t>Est. 3/30/2016</t>
  </si>
  <si>
    <t>Maintenance, repairs, and replacement of bus shelters (partial-- see funding from FY11, FY12 and FY16)</t>
  </si>
  <si>
    <t>Maintenance, repairs, and replacement of bus shelters (partial-- see funding from FY11, FY14 and FY16)</t>
  </si>
  <si>
    <t>Maintenance, repairs, and replacement of bus shelters (partial-- see funding from FY12, FY14 and FY16)</t>
  </si>
  <si>
    <t xml:space="preserve">FY 2008 - RIIF 017 - Rebuild Iowa Infrastructure Fund </t>
  </si>
  <si>
    <t>09522</t>
  </si>
  <si>
    <t>University of Iowa (Cambus)</t>
  </si>
  <si>
    <t>Construct new vehicle storage building for CAMBUS (partial - see also supplimental funding from FY07)</t>
  </si>
  <si>
    <t>09523</t>
  </si>
  <si>
    <t>Des Moines (DART)</t>
  </si>
  <si>
    <t>Construct addition to vehicle storage building (partial - see also supplimental funding from FY07)</t>
  </si>
  <si>
    <t>09524</t>
  </si>
  <si>
    <t>Region Six Planning Commission (Region 6) - Marshalltown</t>
  </si>
  <si>
    <t>Transit portion of Joint Facility</t>
  </si>
  <si>
    <t>09525</t>
  </si>
  <si>
    <t>Delaware, Dubuque and Jackson County Regional Transit Authority (Region 8) - Dubuque</t>
  </si>
  <si>
    <t>Construct new regional transit office, storage and maintenance facility in Dubuque (partial - see also supplimental funding from FY07)</t>
  </si>
  <si>
    <t xml:space="preserve">FY 2007 -  RC2 942  - Health Restricted Capitals Fund </t>
  </si>
  <si>
    <t>09410</t>
  </si>
  <si>
    <t>Expand operations/administration area of CyRide maintenance facility-Ride Facility</t>
  </si>
  <si>
    <t>Transit Agency funds</t>
  </si>
  <si>
    <t>09409</t>
  </si>
  <si>
    <t>City of Cedar Rapids</t>
  </si>
  <si>
    <t>Construct transit portion of new downtown Intermodal facility</t>
  </si>
  <si>
    <t>Federal Transit Funds, Transit Agency funds</t>
  </si>
  <si>
    <t>Project dropped after city reorganization</t>
  </si>
  <si>
    <t>09402</t>
  </si>
  <si>
    <t>City of Davenport (CitiBus)</t>
  </si>
  <si>
    <t>Construct new transit hubs adjacent to regional shopping center and on campus of local university</t>
  </si>
  <si>
    <t>09408</t>
  </si>
  <si>
    <t>Des Moines Area Regional Transit (DART)</t>
  </si>
  <si>
    <t>Renovate maintenance area of DART facility</t>
  </si>
  <si>
    <t>09404</t>
  </si>
  <si>
    <t>City of Sioux City</t>
  </si>
  <si>
    <t>Construct new parts storage building at transit maintenance facility</t>
  </si>
  <si>
    <t>09407</t>
  </si>
  <si>
    <t>North Iowa Area Regional Transit (Region 2) - Mason City</t>
  </si>
  <si>
    <t>Construct a variety of projects to finish out recently constructed transit maintenance facility shared with City of Mason City</t>
  </si>
  <si>
    <t>09406</t>
  </si>
  <si>
    <t>RIDES/Regional Transit Authority (Region 3) - Spencer</t>
  </si>
  <si>
    <t>Construct new satellite facility in Sheldon for transit vehicle storage and maintenance</t>
  </si>
  <si>
    <t>09405</t>
  </si>
  <si>
    <t>Expand transit maintenance and storage facility in Carroll</t>
  </si>
  <si>
    <t xml:space="preserve">Partial funding for FY08 project to construct new regional transit office, storage and maintenance facility in Dubuque </t>
  </si>
  <si>
    <t>University of Iowa (Cambus) - Iowa City</t>
  </si>
  <si>
    <t>Construct new vehicle storage building for CAMBUS (partial - see also funding from FY08)</t>
  </si>
  <si>
    <t>Construct addition to vehicle storage building (partial - see also  funding from FY08)</t>
  </si>
  <si>
    <t>Partial funding for FY09 project to construct a vehicle storage addition in Carroll</t>
  </si>
  <si>
    <t>Construct bus wash bash and expanded parts storage, etc. for relocated transit maintenance facility  (partial -- see also funding from FY09 and FY10)</t>
  </si>
  <si>
    <t>Storage barn (partial--also see supplemental funding from FY09, FY10, FY11, FY12)</t>
  </si>
  <si>
    <t>Complete pending certificate of completion</t>
  </si>
  <si>
    <t>Drawing remaining funds</t>
  </si>
  <si>
    <t xml:space="preserve">FY 2016 Railroad Revolving Loan and Grant Program </t>
  </si>
  <si>
    <t>ADM "S" Curve</t>
  </si>
  <si>
    <t>Current rail spur into the Clinton facility has an "s" curve.  Project proposes to straighten the curveto allow greater rail capacity and better safety.</t>
  </si>
  <si>
    <t>A to Z Drying Rail Enhancement</t>
  </si>
  <si>
    <t>A to Z Drying is replacing and changing the location of an exisiting spur due to expansion of neighboring company.</t>
  </si>
  <si>
    <t>Boone Scenic Valley Industrial Park Line Phase I</t>
  </si>
  <si>
    <t>Construction of a 1700 ft passing track.  Includes grading ballast, and installation of rail ties.  Will also be replacing ties and adding ballast where needed to maintain 286K service.  Company also constructing 1425 feet of track extending to their facility in nearby industrial park.</t>
  </si>
  <si>
    <t>In Kind Match</t>
  </si>
  <si>
    <t>Iowa Traction Transload Project</t>
  </si>
  <si>
    <t>IATR improving their current site by constructing 950 ft siding to support currently transload operation.  Project also includes installing a 90lb switch to accommodate 286K</t>
  </si>
  <si>
    <t>KJRY Yard Enhancements II</t>
  </si>
  <si>
    <t>Project involves replacing four switches and improving tracks, ties and ballast in the yard</t>
  </si>
  <si>
    <t>Project withdrawn by applicant</t>
  </si>
  <si>
    <t xml:space="preserve">Project complete </t>
  </si>
  <si>
    <t>Complete - drawing last of funds - Certificate of completion pending</t>
  </si>
  <si>
    <t>Project in process - granted 18 mo extension</t>
  </si>
  <si>
    <t>Project complete pending certificate of completion - still drawing funds</t>
  </si>
  <si>
    <t>Complete - pending certificate of completion</t>
  </si>
  <si>
    <t>Funding reserved for PE/NEPA activities to match a federal FY 2010 High Speed and Intercity Passenger Rail (HSIPR) award to Iowa DOT for Chicago to Iowa City.  Award announced by FRA in October 2010 to Iowa.</t>
  </si>
  <si>
    <t>Funding reserved for the Iowa City-Cedar Rapids Passenger Rail Conceptual Feasibility Study - Phase 1</t>
  </si>
  <si>
    <t>CRANDIC and MPOJC</t>
  </si>
  <si>
    <t>Funding reserved for Final Design &amp; Construction to match federal FY 2010 High Speed and Intercity Passenger Rail (HSIPR) award to Iowa DOT for Chicago to Iowa City.  Award announced by FRA in October 2010 to Iowa.</t>
  </si>
  <si>
    <t>TBD</t>
  </si>
  <si>
    <t>FY 2016 RIIF - General Aviation Vertical Infrastructure Program</t>
  </si>
  <si>
    <t>Ames Municipal Airport</t>
  </si>
  <si>
    <t>Site improvements for future terminal building</t>
  </si>
  <si>
    <t>Under Construction</t>
  </si>
  <si>
    <t>Council Bluffs Municipal Airport</t>
  </si>
  <si>
    <t>T-hangar Improvements</t>
  </si>
  <si>
    <t>Cresco Municipal Airport</t>
  </si>
  <si>
    <t>Rehabilitate hangar and construct pilot lounge</t>
  </si>
  <si>
    <t>Lamoni Municipal Airport</t>
  </si>
  <si>
    <t>Marshalltown Municipal Airport</t>
  </si>
  <si>
    <t>Pave hangar floor</t>
  </si>
  <si>
    <t>Project on Hold</t>
  </si>
  <si>
    <t>Perry Municipal Airport</t>
  </si>
  <si>
    <t>Repair hangar roof</t>
  </si>
  <si>
    <t>Under Contract</t>
  </si>
  <si>
    <t>Sioux County Regional Airport</t>
  </si>
  <si>
    <t>Construct maintenance and electrical vault buildings</t>
  </si>
  <si>
    <t>In Design</t>
  </si>
  <si>
    <t>Spencer Municipal Airport</t>
  </si>
  <si>
    <t>Rehabilate hangar floor</t>
  </si>
  <si>
    <t>Preliminary Design</t>
  </si>
  <si>
    <t>4/31/2016</t>
  </si>
  <si>
    <t>FY 2016 RIIF - Commercial Service Vertical Infrastructure (CSVI) Projects</t>
  </si>
  <si>
    <t>Replace Hangars</t>
  </si>
  <si>
    <t>Design Phase</t>
  </si>
  <si>
    <t>Rehabilitate Terminal Building</t>
  </si>
  <si>
    <t>General Aviation Improvements</t>
  </si>
  <si>
    <t>Storage Hangar Design</t>
  </si>
  <si>
    <t>Construct Hangar and Flight Service Station redesign</t>
  </si>
  <si>
    <t>Replace Overhead Garage Doors and Perform Terminal Systems Study</t>
  </si>
  <si>
    <t>Rehabilitate and Build Hangars</t>
  </si>
  <si>
    <t>Hangar rehabilitation and baggage area renovation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</si>
</sst>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_([$$-409]* #,##0_);_([$$-409]* \(#,##0\);_([$$-409]* &quot;-&quot;??_);_(@_)"/>
    <numFmt numFmtId="168" formatCode="[$$-409]#,##0_);\([$$-409]#,##0\)"/>
    <numFmt numFmtId="169" formatCode="_(&quot;$&quot;* #,##0.00_);_(&quot;$&quot;* \(#,##0.00\);_(&quot;$&quot;* &quot;-&quot;_);_(@_)"/>
    <numFmt numFmtId="170" formatCode="_(* #,##0_);_(* \(#,##0\);_(* &quot;-&quot;??_);_(@_)"/>
  </numFmts>
  <fonts count="20" x14ac:knownFonts="1">
    <font>
      <sz val="10"/>
      <name val="Arial"/>
    </font>
    <font>
      <sz val="10"/>
      <name val="Arial"/>
      <family val="2"/>
    </font>
    <font>
      <b/>
      <sz val="10"/>
      <name val="Arial"/>
      <family val="2"/>
    </font>
    <font>
      <sz val="11"/>
      <color indexed="8"/>
      <name val="Calibri"/>
      <family val="2"/>
    </font>
    <font>
      <sz val="10"/>
      <name val="Arial"/>
    </font>
    <font>
      <b/>
      <sz val="10"/>
      <color indexed="8"/>
      <name val="Arial"/>
      <family val="2"/>
    </font>
    <font>
      <b/>
      <sz val="18"/>
      <name val="Arial"/>
      <family val="2"/>
    </font>
    <font>
      <b/>
      <sz val="12"/>
      <name val="Arial"/>
      <family val="2"/>
    </font>
    <font>
      <sz val="12"/>
      <name val="Arial"/>
      <family val="2"/>
    </font>
    <font>
      <sz val="10"/>
      <color indexed="8"/>
      <name val="Arial"/>
      <family val="2"/>
    </font>
    <font>
      <sz val="10"/>
      <color rgb="FF000000"/>
      <name val="Arial"/>
      <family val="2"/>
    </font>
    <font>
      <b/>
      <sz val="16"/>
      <name val="Arial"/>
      <family val="2"/>
    </font>
    <font>
      <strike/>
      <sz val="12"/>
      <name val="Arial"/>
      <family val="2"/>
    </font>
    <font>
      <b/>
      <sz val="14"/>
      <name val="Arial"/>
      <family val="2"/>
    </font>
    <font>
      <sz val="12"/>
      <name val="Arial"/>
    </font>
    <font>
      <b/>
      <sz val="11"/>
      <color theme="1"/>
      <name val="Calibri"/>
      <family val="2"/>
      <scheme val="minor"/>
    </font>
    <font>
      <sz val="18"/>
      <name val="Arial"/>
      <family val="2"/>
    </font>
    <font>
      <sz val="10"/>
      <color rgb="FFFF0000"/>
      <name val="Arial"/>
      <family val="2"/>
    </font>
    <font>
      <b/>
      <sz val="12"/>
      <color rgb="FF00B050"/>
      <name val="Arial"/>
      <family val="2"/>
    </font>
    <font>
      <sz val="12"/>
      <color rgb="FF00B050"/>
      <name val="Arial"/>
      <family val="2"/>
    </font>
  </fonts>
  <fills count="15">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rgb="FF92D05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5">
    <xf numFmtId="0" fontId="0" fillId="0" borderId="0"/>
    <xf numFmtId="44" fontId="4" fillId="0" borderId="0" applyFont="0" applyFill="0" applyBorder="0" applyAlignment="0" applyProtection="0"/>
    <xf numFmtId="0" fontId="1" fillId="0" borderId="0"/>
    <xf numFmtId="0" fontId="3" fillId="0" borderId="0"/>
    <xf numFmtId="0" fontId="1" fillId="0" borderId="0"/>
    <xf numFmtId="0" fontId="1" fillId="0" borderId="0" applyBorder="0"/>
    <xf numFmtId="0" fontId="9" fillId="0" borderId="0"/>
    <xf numFmtId="44" fontId="1" fillId="0" borderId="0" applyFont="0" applyFill="0" applyBorder="0" applyAlignment="0" applyProtection="0"/>
    <xf numFmtId="0" fontId="8" fillId="0" borderId="0"/>
    <xf numFmtId="44" fontId="4" fillId="0" borderId="0" applyFont="0" applyFill="0" applyBorder="0" applyAlignment="0" applyProtection="0"/>
    <xf numFmtId="0" fontId="1" fillId="0" borderId="0" applyBorder="0"/>
    <xf numFmtId="43" fontId="4" fillId="0" borderId="0" applyFont="0" applyFill="0" applyBorder="0" applyAlignment="0" applyProtection="0"/>
    <xf numFmtId="0" fontId="1" fillId="0" borderId="0"/>
    <xf numFmtId="0" fontId="14" fillId="0" borderId="0"/>
    <xf numFmtId="44" fontId="1" fillId="0" borderId="0" applyFont="0" applyFill="0" applyBorder="0" applyAlignment="0" applyProtection="0"/>
  </cellStyleXfs>
  <cellXfs count="532">
    <xf numFmtId="0" fontId="0" fillId="0" borderId="0" xfId="0"/>
    <xf numFmtId="0" fontId="0" fillId="0" borderId="0" xfId="0" applyAlignment="1">
      <alignment wrapText="1"/>
    </xf>
    <xf numFmtId="0" fontId="0" fillId="0" borderId="1" xfId="0" applyBorder="1" applyAlignment="1">
      <alignment wrapText="1"/>
    </xf>
    <xf numFmtId="0" fontId="0" fillId="0" borderId="0" xfId="0" applyFill="1"/>
    <xf numFmtId="0" fontId="2" fillId="0" borderId="0" xfId="0" applyFont="1" applyAlignment="1">
      <alignment horizontal="right" wrapText="1"/>
    </xf>
    <xf numFmtId="165" fontId="2" fillId="0" borderId="0" xfId="0" applyNumberFormat="1" applyFont="1" applyAlignment="1">
      <alignment horizontal="left" wrapText="1"/>
    </xf>
    <xf numFmtId="165" fontId="2" fillId="0" borderId="0" xfId="0" applyNumberFormat="1" applyFont="1" applyAlignment="1">
      <alignment horizontal="right" wrapText="1"/>
    </xf>
    <xf numFmtId="164" fontId="2" fillId="3" borderId="3" xfId="0" applyNumberFormat="1" applyFont="1" applyFill="1" applyBorder="1" applyAlignment="1">
      <alignment horizontal="left" wrapText="1"/>
    </xf>
    <xf numFmtId="164" fontId="2" fillId="3" borderId="2" xfId="0" applyNumberFormat="1" applyFont="1" applyFill="1" applyBorder="1" applyAlignment="1">
      <alignment horizontal="right" wrapText="1"/>
    </xf>
    <xf numFmtId="164" fontId="2" fillId="3" borderId="1" xfId="0" applyNumberFormat="1" applyFont="1" applyFill="1" applyBorder="1" applyAlignment="1">
      <alignment horizontal="right" wrapText="1"/>
    </xf>
    <xf numFmtId="0" fontId="0" fillId="0" borderId="1" xfId="0" applyFill="1" applyBorder="1" applyAlignment="1">
      <alignment wrapText="1"/>
    </xf>
    <xf numFmtId="0" fontId="1" fillId="0" borderId="1" xfId="0" applyFont="1" applyBorder="1" applyAlignment="1">
      <alignment wrapText="1"/>
    </xf>
    <xf numFmtId="14" fontId="1" fillId="3" borderId="1" xfId="0" applyNumberFormat="1" applyFont="1" applyFill="1" applyBorder="1" applyAlignment="1">
      <alignment horizontal="center" wrapText="1"/>
    </xf>
    <xf numFmtId="0" fontId="1" fillId="0" borderId="1" xfId="0" applyFont="1" applyFill="1" applyBorder="1" applyAlignment="1">
      <alignment wrapText="1"/>
    </xf>
    <xf numFmtId="0" fontId="5" fillId="2" borderId="1" xfId="3" applyFont="1" applyFill="1" applyBorder="1" applyAlignment="1">
      <alignment horizontal="center" wrapText="1"/>
    </xf>
    <xf numFmtId="0" fontId="6" fillId="0" borderId="0" xfId="0" applyFont="1" applyAlignment="1">
      <alignment vertical="center"/>
    </xf>
    <xf numFmtId="0" fontId="1" fillId="2" borderId="1" xfId="5" applyFont="1" applyFill="1" applyBorder="1" applyAlignment="1">
      <alignment horizontal="left" vertical="center"/>
    </xf>
    <xf numFmtId="0" fontId="1" fillId="2" borderId="1" xfId="5" applyFont="1" applyFill="1" applyBorder="1" applyAlignment="1">
      <alignment horizontal="left" vertical="center" wrapText="1"/>
    </xf>
    <xf numFmtId="164" fontId="1" fillId="2" borderId="1" xfId="5" applyNumberFormat="1" applyFont="1" applyFill="1" applyBorder="1" applyAlignment="1">
      <alignment horizontal="center" vertical="center" wrapText="1"/>
    </xf>
    <xf numFmtId="44" fontId="1" fillId="2" borderId="1" xfId="5" applyNumberFormat="1" applyFont="1" applyFill="1" applyBorder="1" applyAlignment="1">
      <alignment horizontal="center" vertical="center" wrapText="1"/>
    </xf>
    <xf numFmtId="0" fontId="8" fillId="0" borderId="0" xfId="5" applyFont="1" applyAlignment="1">
      <alignment horizontal="center" vertical="center"/>
    </xf>
    <xf numFmtId="0" fontId="9" fillId="0" borderId="5" xfId="6" applyFont="1" applyFill="1" applyBorder="1" applyAlignment="1">
      <alignment horizontal="left" vertical="center" wrapText="1"/>
    </xf>
    <xf numFmtId="0" fontId="1" fillId="0" borderId="5" xfId="0" applyFont="1" applyFill="1" applyBorder="1" applyAlignment="1">
      <alignment horizontal="left" vertical="center" wrapText="1"/>
    </xf>
    <xf numFmtId="164" fontId="1" fillId="0" borderId="1" xfId="7" applyNumberFormat="1" applyFont="1" applyFill="1" applyBorder="1" applyAlignment="1">
      <alignment horizontal="center" vertical="center"/>
    </xf>
    <xf numFmtId="164" fontId="1" fillId="0" borderId="1" xfId="7"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4" fontId="1" fillId="0" borderId="1" xfId="0" applyNumberFormat="1" applyFont="1" applyBorder="1" applyAlignment="1">
      <alignment horizontal="center" vertical="center"/>
    </xf>
    <xf numFmtId="0" fontId="8" fillId="0" borderId="0" xfId="0" applyFont="1" applyAlignment="1">
      <alignment vertical="center"/>
    </xf>
    <xf numFmtId="0" fontId="9" fillId="0" borderId="1" xfId="6" applyFont="1" applyFill="1" applyBorder="1" applyAlignment="1">
      <alignment horizontal="left" vertical="center" wrapText="1"/>
    </xf>
    <xf numFmtId="0" fontId="1" fillId="0" borderId="1" xfId="0" applyFont="1" applyFill="1" applyBorder="1" applyAlignment="1">
      <alignment horizontal="left" vertical="center" wrapText="1"/>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9" fillId="0" borderId="6" xfId="6"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right" vertical="center" wrapText="1"/>
    </xf>
    <xf numFmtId="164" fontId="1" fillId="2" borderId="1" xfId="0" applyNumberFormat="1" applyFont="1" applyFill="1" applyBorder="1" applyAlignment="1">
      <alignment horizontal="center" vertical="center"/>
    </xf>
    <xf numFmtId="164" fontId="1" fillId="2" borderId="1" xfId="7"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9" fontId="1" fillId="0" borderId="7"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xf>
    <xf numFmtId="3" fontId="1" fillId="0" borderId="6"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0" xfId="5" applyFont="1" applyAlignment="1">
      <alignment horizontal="left" vertical="center"/>
    </xf>
    <xf numFmtId="0" fontId="1" fillId="0" borderId="0" xfId="5" applyFont="1" applyAlignment="1">
      <alignment horizontal="left" vertical="center" wrapText="1"/>
    </xf>
    <xf numFmtId="164" fontId="1" fillId="0" borderId="0" xfId="5" applyNumberFormat="1" applyFont="1" applyAlignment="1">
      <alignment horizontal="center" vertical="center"/>
    </xf>
    <xf numFmtId="164" fontId="1" fillId="0" borderId="0" xfId="5" applyNumberFormat="1" applyFont="1" applyAlignment="1">
      <alignment horizontal="center" vertical="center" wrapText="1"/>
    </xf>
    <xf numFmtId="44" fontId="1" fillId="0" borderId="0" xfId="5" applyNumberFormat="1" applyFont="1" applyAlignment="1">
      <alignment horizontal="center" vertical="center" wrapText="1"/>
    </xf>
    <xf numFmtId="0" fontId="1" fillId="0" borderId="0" xfId="5" applyFont="1" applyAlignment="1">
      <alignment horizontal="center" vertical="center"/>
    </xf>
    <xf numFmtId="0" fontId="1" fillId="0" borderId="1" xfId="0" applyFont="1" applyFill="1" applyBorder="1" applyAlignment="1">
      <alignment vertical="center" wrapText="1"/>
    </xf>
    <xf numFmtId="44" fontId="1" fillId="0" borderId="1" xfId="0" applyNumberFormat="1" applyFont="1" applyBorder="1" applyAlignment="1">
      <alignment horizontal="center" vertical="center" wrapText="1"/>
    </xf>
    <xf numFmtId="0" fontId="1" fillId="2" borderId="1" xfId="5" applyFont="1" applyFill="1" applyBorder="1" applyAlignment="1">
      <alignment horizontal="center" vertical="center"/>
    </xf>
    <xf numFmtId="164" fontId="1" fillId="0" borderId="1" xfId="0" applyNumberFormat="1" applyFont="1" applyBorder="1" applyAlignment="1">
      <alignment horizontal="center" vertical="center" wrapText="1"/>
    </xf>
    <xf numFmtId="164" fontId="1" fillId="2" borderId="1" xfId="5" applyNumberFormat="1" applyFont="1" applyFill="1" applyBorder="1" applyAlignment="1">
      <alignment horizontal="center" vertical="center"/>
    </xf>
    <xf numFmtId="164" fontId="1" fillId="2" borderId="1" xfId="5" applyNumberFormat="1" applyFont="1" applyFill="1" applyBorder="1" applyAlignment="1">
      <alignment horizontal="right" vertical="center"/>
    </xf>
    <xf numFmtId="44" fontId="1" fillId="2" borderId="1" xfId="5" applyNumberFormat="1" applyFont="1" applyFill="1" applyBorder="1" applyAlignment="1">
      <alignment horizontal="left" vertical="center" wrapText="1"/>
    </xf>
    <xf numFmtId="164" fontId="8" fillId="2" borderId="1" xfId="5" applyNumberFormat="1" applyFont="1" applyFill="1" applyBorder="1" applyAlignment="1">
      <alignment horizontal="center" vertical="center" wrapText="1"/>
    </xf>
    <xf numFmtId="44" fontId="8" fillId="2" borderId="1" xfId="5"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164"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0" xfId="5" applyFont="1" applyAlignment="1">
      <alignment horizontal="center" vertical="center" wrapText="1"/>
    </xf>
    <xf numFmtId="0" fontId="8" fillId="0" borderId="1" xfId="0" applyFont="1" applyFill="1" applyBorder="1" applyAlignment="1">
      <alignment horizontal="left" vertical="center" wrapText="1"/>
    </xf>
    <xf numFmtId="0" fontId="8" fillId="0" borderId="1" xfId="5"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64" fontId="7" fillId="0" borderId="1" xfId="0" applyNumberFormat="1" applyFont="1" applyBorder="1" applyAlignment="1">
      <alignment vertical="center"/>
    </xf>
    <xf numFmtId="164" fontId="8" fillId="0" borderId="1" xfId="0" applyNumberFormat="1" applyFont="1" applyBorder="1" applyAlignment="1">
      <alignment vertical="center"/>
    </xf>
    <xf numFmtId="0" fontId="7"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left" vertical="center"/>
    </xf>
    <xf numFmtId="164" fontId="8" fillId="0" borderId="1" xfId="2" applyNumberFormat="1" applyFont="1" applyBorder="1" applyAlignment="1">
      <alignment vertical="center"/>
    </xf>
    <xf numFmtId="6" fontId="8" fillId="0" borderId="1" xfId="0" applyNumberFormat="1" applyFont="1" applyFill="1" applyBorder="1" applyAlignment="1">
      <alignment horizontal="center" vertical="center" wrapText="1"/>
    </xf>
    <xf numFmtId="6" fontId="8" fillId="0" borderId="1" xfId="2" applyNumberFormat="1" applyFont="1" applyBorder="1" applyAlignment="1">
      <alignment vertical="center"/>
    </xf>
    <xf numFmtId="0" fontId="8" fillId="0" borderId="1" xfId="2" applyFont="1" applyBorder="1" applyAlignment="1">
      <alignment vertical="center" wrapText="1"/>
    </xf>
    <xf numFmtId="6" fontId="8" fillId="0" borderId="1" xfId="0" applyNumberFormat="1" applyFont="1" applyBorder="1" applyAlignment="1">
      <alignment vertical="center"/>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vertical="center"/>
    </xf>
    <xf numFmtId="0" fontId="8" fillId="0" borderId="1" xfId="0" applyFont="1" applyFill="1" applyBorder="1" applyAlignment="1">
      <alignment vertical="center"/>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6" xfId="0" applyFont="1" applyBorder="1" applyAlignment="1">
      <alignment vertical="center" wrapText="1"/>
    </xf>
    <xf numFmtId="6"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164" fontId="8" fillId="6" borderId="0" xfId="0" applyNumberFormat="1" applyFont="1" applyFill="1" applyAlignment="1">
      <alignment vertical="center"/>
    </xf>
    <xf numFmtId="0" fontId="8" fillId="6" borderId="1" xfId="0" applyFont="1" applyFill="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164" fontId="8" fillId="0" borderId="0" xfId="0" applyNumberFormat="1" applyFont="1" applyBorder="1" applyAlignment="1">
      <alignment vertical="center"/>
    </xf>
    <xf numFmtId="164" fontId="8" fillId="0" borderId="0" xfId="0" applyNumberFormat="1" applyFont="1" applyBorder="1"/>
    <xf numFmtId="0" fontId="8" fillId="0" borderId="0" xfId="0" applyFont="1" applyBorder="1" applyAlignment="1">
      <alignment horizontal="center" wrapText="1"/>
    </xf>
    <xf numFmtId="0" fontId="8" fillId="0" borderId="0" xfId="0" applyFont="1" applyBorder="1" applyAlignment="1">
      <alignment wrapText="1"/>
    </xf>
    <xf numFmtId="0" fontId="8" fillId="0" borderId="0" xfId="0" applyFont="1" applyBorder="1" applyAlignment="1">
      <alignment horizontal="left" vertical="center"/>
    </xf>
    <xf numFmtId="164" fontId="8" fillId="0" borderId="1" xfId="0" applyNumberFormat="1" applyFont="1" applyBorder="1"/>
    <xf numFmtId="0" fontId="8" fillId="0" borderId="1" xfId="0" applyFont="1" applyBorder="1" applyAlignment="1">
      <alignment horizontal="center" wrapText="1"/>
    </xf>
    <xf numFmtId="0" fontId="7" fillId="0" borderId="1" xfId="0" applyFont="1" applyBorder="1" applyAlignment="1">
      <alignment vertical="center" wrapText="1"/>
    </xf>
    <xf numFmtId="0" fontId="8" fillId="0" borderId="1" xfId="0" applyFont="1" applyBorder="1" applyAlignment="1">
      <alignment wrapText="1"/>
    </xf>
    <xf numFmtId="0" fontId="8" fillId="0" borderId="5" xfId="0" applyFont="1" applyBorder="1" applyAlignment="1">
      <alignment horizontal="center" vertical="center" wrapText="1"/>
    </xf>
    <xf numFmtId="14" fontId="8" fillId="0" borderId="5" xfId="0" applyNumberFormat="1" applyFont="1" applyFill="1" applyBorder="1" applyAlignment="1">
      <alignment horizontal="right" vertical="center"/>
    </xf>
    <xf numFmtId="6" fontId="8" fillId="0" borderId="5" xfId="0" applyNumberFormat="1" applyFont="1" applyFill="1" applyBorder="1" applyAlignment="1">
      <alignment horizontal="center" vertical="center" wrapText="1"/>
    </xf>
    <xf numFmtId="164" fontId="8" fillId="0" borderId="5" xfId="0" applyNumberFormat="1" applyFont="1" applyFill="1" applyBorder="1" applyAlignment="1">
      <alignment vertical="center"/>
    </xf>
    <xf numFmtId="0" fontId="8" fillId="0" borderId="1" xfId="8" applyFont="1" applyFill="1" applyBorder="1" applyAlignment="1">
      <alignment vertical="center" wrapText="1"/>
    </xf>
    <xf numFmtId="0" fontId="8" fillId="0" borderId="1" xfId="8"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14" fontId="8" fillId="0" borderId="1" xfId="0" applyNumberFormat="1" applyFont="1" applyFill="1" applyBorder="1" applyAlignment="1">
      <alignment horizontal="right" vertical="center" wrapText="1"/>
    </xf>
    <xf numFmtId="14" fontId="8" fillId="0" borderId="1" xfId="0" applyNumberFormat="1" applyFont="1" applyFill="1" applyBorder="1" applyAlignment="1">
      <alignment horizontal="right" vertical="center"/>
    </xf>
    <xf numFmtId="6" fontId="8" fillId="0" borderId="1" xfId="0" applyNumberFormat="1" applyFont="1" applyFill="1" applyBorder="1" applyAlignment="1">
      <alignment vertical="center"/>
    </xf>
    <xf numFmtId="0" fontId="8" fillId="0" borderId="1" xfId="0" applyFont="1" applyFill="1" applyBorder="1" applyAlignment="1">
      <alignment horizontal="right" vertical="center" wrapText="1"/>
    </xf>
    <xf numFmtId="49" fontId="12" fillId="0" borderId="1" xfId="0" applyNumberFormat="1" applyFont="1" applyFill="1" applyBorder="1" applyAlignment="1">
      <alignment horizontal="right" vertical="center"/>
    </xf>
    <xf numFmtId="0" fontId="12" fillId="0" borderId="1" xfId="0" applyFont="1" applyFill="1" applyBorder="1" applyAlignment="1">
      <alignment vertical="center"/>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righ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164" fontId="7" fillId="6" borderId="0" xfId="0" applyNumberFormat="1" applyFont="1" applyFill="1" applyAlignment="1">
      <alignment horizontal="center" vertical="center" wrapText="1"/>
    </xf>
    <xf numFmtId="14" fontId="8" fillId="0" borderId="0" xfId="0" applyNumberFormat="1" applyFont="1" applyFill="1" applyBorder="1" applyAlignment="1">
      <alignment horizontal="center" vertical="center"/>
    </xf>
    <xf numFmtId="6" fontId="8" fillId="0" borderId="0" xfId="0" applyNumberFormat="1" applyFont="1" applyFill="1" applyBorder="1" applyAlignment="1">
      <alignment horizontal="center" vertical="center" wrapText="1"/>
    </xf>
    <xf numFmtId="6" fontId="8" fillId="0" borderId="0" xfId="0" applyNumberFormat="1" applyFont="1" applyBorder="1" applyAlignment="1">
      <alignment vertical="center"/>
    </xf>
    <xf numFmtId="0" fontId="8" fillId="0" borderId="0" xfId="0" applyFont="1" applyBorder="1" applyAlignment="1">
      <alignment vertical="center" wrapText="1"/>
    </xf>
    <xf numFmtId="6" fontId="7" fillId="0" borderId="1" xfId="0" applyNumberFormat="1" applyFont="1" applyBorder="1" applyAlignment="1">
      <alignment vertical="center"/>
    </xf>
    <xf numFmtId="0" fontId="8" fillId="0" borderId="5" xfId="0" applyFont="1" applyFill="1" applyBorder="1" applyAlignment="1">
      <alignment vertical="center" wrapText="1"/>
    </xf>
    <xf numFmtId="0" fontId="8" fillId="0" borderId="5" xfId="0" applyFont="1" applyFill="1" applyBorder="1" applyAlignment="1">
      <alignment horizontal="left" vertical="center"/>
    </xf>
    <xf numFmtId="6" fontId="8" fillId="0" borderId="5" xfId="0" applyNumberFormat="1" applyFont="1" applyFill="1" applyBorder="1" applyAlignment="1">
      <alignment vertical="center"/>
    </xf>
    <xf numFmtId="0" fontId="8" fillId="0" borderId="0" xfId="8" applyFont="1" applyFill="1" applyAlignment="1">
      <alignment vertical="center" wrapText="1"/>
    </xf>
    <xf numFmtId="14" fontId="8" fillId="0" borderId="5" xfId="0" applyNumberFormat="1"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5" xfId="0" applyFont="1" applyBorder="1" applyAlignment="1">
      <alignment horizontal="left" vertical="center"/>
    </xf>
    <xf numFmtId="164" fontId="8" fillId="6" borderId="0" xfId="0" applyNumberFormat="1" applyFont="1" applyFill="1"/>
    <xf numFmtId="164" fontId="8" fillId="0" borderId="1" xfId="0" applyNumberFormat="1" applyFont="1" applyBorder="1" applyAlignment="1">
      <alignment horizontal="right" vertical="center"/>
    </xf>
    <xf numFmtId="0" fontId="8" fillId="6" borderId="6" xfId="0" applyFont="1" applyFill="1" applyBorder="1" applyAlignment="1">
      <alignment horizontal="center" vertical="center" wrapText="1"/>
    </xf>
    <xf numFmtId="0" fontId="8" fillId="6" borderId="6" xfId="0" applyFont="1" applyFill="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164" fontId="7" fillId="0" borderId="1" xfId="0" applyNumberFormat="1" applyFont="1" applyBorder="1" applyAlignment="1">
      <alignment horizontal="center"/>
    </xf>
    <xf numFmtId="0" fontId="7" fillId="0" borderId="1" xfId="0" applyFont="1" applyBorder="1"/>
    <xf numFmtId="0" fontId="7" fillId="0" borderId="1" xfId="0" applyFont="1" applyBorder="1" applyAlignment="1">
      <alignment horizontal="center" wrapText="1"/>
    </xf>
    <xf numFmtId="6" fontId="8" fillId="0" borderId="1" xfId="0" applyNumberFormat="1" applyFont="1" applyFill="1" applyBorder="1" applyAlignment="1">
      <alignment horizontal="center" wrapText="1"/>
    </xf>
    <xf numFmtId="0" fontId="7" fillId="5" borderId="1" xfId="0" applyFont="1" applyFill="1" applyBorder="1" applyAlignment="1">
      <alignment horizontal="center" wrapText="1"/>
    </xf>
    <xf numFmtId="164" fontId="8" fillId="0" borderId="1" xfId="8" applyNumberFormat="1" applyFont="1" applyFill="1" applyBorder="1" applyAlignment="1">
      <alignment horizontal="right" vertical="center"/>
    </xf>
    <xf numFmtId="6" fontId="8" fillId="0" borderId="1" xfId="2" applyNumberFormat="1" applyFont="1" applyFill="1" applyBorder="1" applyAlignment="1">
      <alignment horizontal="right" vertical="center"/>
    </xf>
    <xf numFmtId="6" fontId="1" fillId="0" borderId="1" xfId="0" applyNumberFormat="1" applyFont="1" applyFill="1" applyBorder="1" applyAlignment="1">
      <alignment horizontal="center" wrapText="1"/>
    </xf>
    <xf numFmtId="6" fontId="1" fillId="0" borderId="1" xfId="0" applyNumberFormat="1" applyFont="1" applyFill="1" applyBorder="1" applyAlignment="1">
      <alignment horizontal="center" vertical="center" wrapText="1"/>
    </xf>
    <xf numFmtId="0" fontId="8" fillId="0" borderId="1" xfId="8" applyFont="1" applyFill="1" applyBorder="1" applyAlignment="1">
      <alignment vertical="center"/>
    </xf>
    <xf numFmtId="0" fontId="0" fillId="0" borderId="4" xfId="0" applyBorder="1"/>
    <xf numFmtId="0" fontId="8" fillId="2" borderId="6" xfId="5" applyFont="1" applyFill="1" applyBorder="1" applyAlignment="1">
      <alignment horizontal="center" vertical="center"/>
    </xf>
    <xf numFmtId="0" fontId="8" fillId="2" borderId="6" xfId="5" applyFont="1" applyFill="1" applyBorder="1" applyAlignment="1">
      <alignment horizontal="center" vertical="center" wrapText="1"/>
    </xf>
    <xf numFmtId="164" fontId="8" fillId="2" borderId="6" xfId="5" applyNumberFormat="1" applyFont="1" applyFill="1" applyBorder="1" applyAlignment="1">
      <alignment horizontal="center" vertical="center" wrapText="1"/>
    </xf>
    <xf numFmtId="44" fontId="8" fillId="2" borderId="6" xfId="5" applyNumberFormat="1" applyFont="1" applyFill="1" applyBorder="1" applyAlignment="1">
      <alignment horizontal="center" vertical="center" wrapText="1"/>
    </xf>
    <xf numFmtId="167" fontId="0" fillId="0" borderId="1" xfId="9" applyNumberFormat="1" applyFont="1" applyBorder="1"/>
    <xf numFmtId="0" fontId="0" fillId="0" borderId="1" xfId="0" applyBorder="1"/>
    <xf numFmtId="6" fontId="0" fillId="0" borderId="1" xfId="0" applyNumberFormat="1" applyBorder="1"/>
    <xf numFmtId="165" fontId="0" fillId="0" borderId="1" xfId="9" applyNumberFormat="1" applyFont="1" applyBorder="1"/>
    <xf numFmtId="14" fontId="0" fillId="0" borderId="1" xfId="0" applyNumberFormat="1" applyBorder="1"/>
    <xf numFmtId="0" fontId="0" fillId="7" borderId="1" xfId="0" applyFill="1" applyBorder="1"/>
    <xf numFmtId="165" fontId="0" fillId="7" borderId="1" xfId="0" applyNumberFormat="1" applyFill="1" applyBorder="1"/>
    <xf numFmtId="165" fontId="1" fillId="7" borderId="1" xfId="9" applyNumberFormat="1" applyFont="1" applyFill="1" applyBorder="1"/>
    <xf numFmtId="0" fontId="1" fillId="0" borderId="0" xfId="0" applyFont="1"/>
    <xf numFmtId="0" fontId="0" fillId="0" borderId="0" xfId="0" applyAlignment="1">
      <alignment horizontal="center"/>
    </xf>
    <xf numFmtId="0" fontId="0" fillId="0" borderId="0" xfId="0" applyAlignment="1">
      <alignment horizontal="center" vertical="center"/>
    </xf>
    <xf numFmtId="0" fontId="8" fillId="2" borderId="1" xfId="5" applyFont="1" applyFill="1" applyBorder="1" applyAlignment="1">
      <alignment horizontal="center" vertical="center" wrapText="1"/>
    </xf>
    <xf numFmtId="166" fontId="0" fillId="0" borderId="1" xfId="7" applyNumberFormat="1" applyFont="1" applyBorder="1"/>
    <xf numFmtId="166" fontId="1" fillId="0" borderId="1" xfId="7" applyNumberFormat="1" applyFont="1" applyBorder="1"/>
    <xf numFmtId="14" fontId="0" fillId="0" borderId="1" xfId="0" applyNumberFormat="1" applyBorder="1" applyAlignment="1">
      <alignment horizontal="center"/>
    </xf>
    <xf numFmtId="14" fontId="1" fillId="0" borderId="1" xfId="0" applyNumberFormat="1" applyFont="1" applyBorder="1" applyAlignment="1">
      <alignment horizontal="center"/>
    </xf>
    <xf numFmtId="0" fontId="0" fillId="7" borderId="1" xfId="0" applyFill="1" applyBorder="1" applyAlignment="1">
      <alignment wrapText="1"/>
    </xf>
    <xf numFmtId="166" fontId="0" fillId="7" borderId="1" xfId="0" applyNumberFormat="1" applyFill="1" applyBorder="1"/>
    <xf numFmtId="164" fontId="0" fillId="0" borderId="1" xfId="7" applyNumberFormat="1" applyFont="1" applyBorder="1"/>
    <xf numFmtId="165" fontId="0" fillId="0" borderId="1" xfId="7" applyNumberFormat="1" applyFont="1" applyBorder="1"/>
    <xf numFmtId="167" fontId="0" fillId="0" borderId="1" xfId="7" applyNumberFormat="1" applyFont="1" applyBorder="1"/>
    <xf numFmtId="164" fontId="0" fillId="0" borderId="0" xfId="0" applyNumberFormat="1"/>
    <xf numFmtId="164" fontId="1" fillId="0" borderId="1" xfId="7" applyNumberFormat="1" applyFont="1" applyBorder="1"/>
    <xf numFmtId="164" fontId="0" fillId="7" borderId="1" xfId="0" applyNumberFormat="1" applyFill="1" applyBorder="1"/>
    <xf numFmtId="5" fontId="0" fillId="0" borderId="1" xfId="7" applyNumberFormat="1" applyFont="1" applyBorder="1"/>
    <xf numFmtId="6" fontId="1" fillId="0" borderId="1" xfId="0" applyNumberFormat="1" applyFont="1" applyBorder="1"/>
    <xf numFmtId="165" fontId="1" fillId="7" borderId="1" xfId="7" applyNumberFormat="1" applyFont="1" applyFill="1" applyBorder="1"/>
    <xf numFmtId="0" fontId="8" fillId="2" borderId="1" xfId="5" applyFont="1" applyFill="1" applyBorder="1" applyAlignment="1">
      <alignment horizontal="center" vertical="center"/>
    </xf>
    <xf numFmtId="164" fontId="8" fillId="0" borderId="1" xfId="7" applyNumberFormat="1" applyFont="1" applyFill="1" applyBorder="1" applyAlignment="1">
      <alignment vertical="center"/>
    </xf>
    <xf numFmtId="164" fontId="8" fillId="0" borderId="1" xfId="7" applyNumberFormat="1" applyFont="1" applyBorder="1" applyAlignment="1">
      <alignment horizontal="right" vertical="center" wrapText="1"/>
    </xf>
    <xf numFmtId="164" fontId="8" fillId="0" borderId="1" xfId="0" applyNumberFormat="1" applyFont="1" applyBorder="1" applyAlignment="1">
      <alignment horizontal="right" vertical="center" wrapText="1"/>
    </xf>
    <xf numFmtId="164" fontId="8" fillId="0" borderId="0" xfId="5" applyNumberFormat="1" applyFont="1" applyAlignment="1">
      <alignment horizontal="center" vertical="center" wrapText="1"/>
    </xf>
    <xf numFmtId="0" fontId="8" fillId="2" borderId="0" xfId="5" applyFont="1" applyFill="1" applyAlignment="1">
      <alignment horizontal="center" vertical="center"/>
    </xf>
    <xf numFmtId="164" fontId="8" fillId="2" borderId="1" xfId="5" applyNumberFormat="1" applyFont="1" applyFill="1" applyBorder="1" applyAlignment="1">
      <alignment vertical="center"/>
    </xf>
    <xf numFmtId="164" fontId="8" fillId="2" borderId="1" xfId="5" applyNumberFormat="1" applyFont="1" applyFill="1" applyBorder="1" applyAlignment="1">
      <alignment horizontal="right" vertical="center"/>
    </xf>
    <xf numFmtId="44" fontId="8" fillId="2" borderId="1" xfId="5" applyNumberFormat="1" applyFont="1" applyFill="1" applyBorder="1" applyAlignment="1">
      <alignment horizontal="left" vertical="center" wrapText="1"/>
    </xf>
    <xf numFmtId="164" fontId="8" fillId="2" borderId="1" xfId="5" applyNumberFormat="1" applyFont="1" applyFill="1" applyBorder="1" applyAlignment="1">
      <alignment vertical="center" wrapText="1"/>
    </xf>
    <xf numFmtId="164" fontId="1" fillId="0" borderId="0" xfId="5" applyNumberFormat="1" applyFont="1" applyAlignment="1">
      <alignment vertical="center"/>
    </xf>
    <xf numFmtId="164" fontId="1" fillId="0" borderId="0" xfId="5" applyNumberFormat="1" applyFont="1" applyAlignment="1">
      <alignment horizontal="right" vertical="center"/>
    </xf>
    <xf numFmtId="44" fontId="1" fillId="0" borderId="0" xfId="5" applyNumberFormat="1" applyFont="1" applyAlignment="1">
      <alignment horizontal="left" vertical="center" wrapText="1"/>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0" fontId="0" fillId="0" borderId="1" xfId="0" applyBorder="1" applyAlignment="1">
      <alignment vertical="center" wrapText="1"/>
    </xf>
    <xf numFmtId="164" fontId="0" fillId="0" borderId="1" xfId="0" applyNumberFormat="1" applyBorder="1" applyAlignment="1">
      <alignment vertical="center"/>
    </xf>
    <xf numFmtId="164" fontId="0" fillId="0" borderId="1" xfId="0" applyNumberFormat="1" applyBorder="1" applyAlignment="1">
      <alignment horizontal="center" vertical="center" wrapText="1"/>
    </xf>
    <xf numFmtId="164" fontId="1" fillId="0" borderId="1" xfId="0" applyNumberFormat="1" applyFont="1" applyBorder="1" applyAlignment="1">
      <alignment vertical="center"/>
    </xf>
    <xf numFmtId="0" fontId="1" fillId="0" borderId="1" xfId="0" applyFont="1" applyFill="1" applyBorder="1" applyAlignment="1">
      <alignment vertical="center"/>
    </xf>
    <xf numFmtId="164" fontId="1" fillId="0" borderId="1" xfId="0" applyNumberFormat="1" applyFont="1" applyFill="1" applyBorder="1" applyAlignment="1">
      <alignment horizontal="right" vertical="center" wrapText="1"/>
    </xf>
    <xf numFmtId="164" fontId="0" fillId="0" borderId="1" xfId="0" applyNumberFormat="1" applyFill="1" applyBorder="1" applyAlignment="1">
      <alignment vertical="center"/>
    </xf>
    <xf numFmtId="164" fontId="1" fillId="2" borderId="1" xfId="5" applyNumberFormat="1" applyFont="1" applyFill="1" applyBorder="1" applyAlignment="1">
      <alignment vertical="center"/>
    </xf>
    <xf numFmtId="164" fontId="0" fillId="0" borderId="0" xfId="0" applyNumberFormat="1" applyAlignment="1">
      <alignment horizontal="center" wrapText="1"/>
    </xf>
    <xf numFmtId="14" fontId="0" fillId="0" borderId="0" xfId="0" applyNumberFormat="1"/>
    <xf numFmtId="14" fontId="0" fillId="0" borderId="10" xfId="0" applyNumberFormat="1" applyBorder="1" applyAlignment="1">
      <alignment horizontal="center" vertical="center"/>
    </xf>
    <xf numFmtId="0" fontId="0" fillId="2" borderId="1" xfId="0" applyFill="1" applyBorder="1" applyAlignment="1">
      <alignment vertical="center" wrapText="1"/>
    </xf>
    <xf numFmtId="164" fontId="0" fillId="2" borderId="1" xfId="0" applyNumberFormat="1" applyFill="1" applyBorder="1" applyAlignment="1">
      <alignment vertical="center"/>
    </xf>
    <xf numFmtId="164" fontId="0" fillId="2" borderId="1" xfId="0" applyNumberFormat="1" applyFill="1" applyBorder="1" applyAlignment="1">
      <alignment horizontal="center" vertical="center" wrapText="1"/>
    </xf>
    <xf numFmtId="14" fontId="0" fillId="2" borderId="1" xfId="0" applyNumberFormat="1" applyFill="1" applyBorder="1" applyAlignment="1">
      <alignment vertical="center"/>
    </xf>
    <xf numFmtId="0" fontId="8" fillId="2" borderId="1" xfId="10" applyFont="1" applyFill="1" applyBorder="1" applyAlignment="1">
      <alignment horizontal="center" vertical="center" wrapText="1"/>
    </xf>
    <xf numFmtId="164" fontId="8" fillId="2" borderId="1" xfId="10" applyNumberFormat="1" applyFont="1" applyFill="1" applyBorder="1" applyAlignment="1">
      <alignment horizontal="center" vertical="center" wrapText="1"/>
    </xf>
    <xf numFmtId="44" fontId="8" fillId="2" borderId="1" xfId="10" applyNumberFormat="1" applyFont="1" applyFill="1" applyBorder="1" applyAlignment="1">
      <alignment horizontal="center" vertical="center" wrapText="1"/>
    </xf>
    <xf numFmtId="42" fontId="8" fillId="4" borderId="1" xfId="1" applyNumberFormat="1" applyFont="1" applyFill="1" applyBorder="1" applyAlignment="1">
      <alignment horizontal="right" vertical="center"/>
    </xf>
    <xf numFmtId="0" fontId="8" fillId="2" borderId="1" xfId="10" applyFont="1" applyFill="1" applyBorder="1" applyAlignment="1">
      <alignment horizontal="center" vertical="center"/>
    </xf>
    <xf numFmtId="42" fontId="8" fillId="2" borderId="1" xfId="10" applyNumberFormat="1" applyFont="1" applyFill="1" applyBorder="1" applyAlignment="1">
      <alignment vertical="center"/>
    </xf>
    <xf numFmtId="42" fontId="8" fillId="2" borderId="1" xfId="10" applyNumberFormat="1" applyFont="1" applyFill="1" applyBorder="1" applyAlignment="1">
      <alignment horizontal="right" vertical="center"/>
    </xf>
    <xf numFmtId="44" fontId="8" fillId="2" borderId="1" xfId="10" applyNumberFormat="1" applyFont="1" applyFill="1" applyBorder="1" applyAlignment="1">
      <alignment horizontal="left" vertical="center" wrapText="1"/>
    </xf>
    <xf numFmtId="0" fontId="8" fillId="4" borderId="4" xfId="10" applyFont="1" applyFill="1" applyBorder="1" applyAlignment="1">
      <alignment horizontal="center" vertical="center"/>
    </xf>
    <xf numFmtId="42" fontId="8" fillId="4" borderId="4" xfId="10" applyNumberFormat="1" applyFont="1" applyFill="1" applyBorder="1" applyAlignment="1">
      <alignment vertical="center"/>
    </xf>
    <xf numFmtId="164" fontId="8" fillId="4" borderId="4" xfId="10" applyNumberFormat="1" applyFont="1" applyFill="1" applyBorder="1" applyAlignment="1">
      <alignment horizontal="center" vertical="center" wrapText="1"/>
    </xf>
    <xf numFmtId="42" fontId="8" fillId="4" borderId="4" xfId="10" applyNumberFormat="1" applyFont="1" applyFill="1" applyBorder="1" applyAlignment="1">
      <alignment horizontal="right" vertical="center"/>
    </xf>
    <xf numFmtId="44" fontId="8" fillId="4" borderId="4" xfId="10" applyNumberFormat="1" applyFont="1" applyFill="1" applyBorder="1" applyAlignment="1">
      <alignment horizontal="left" vertical="center" wrapText="1"/>
    </xf>
    <xf numFmtId="44" fontId="8" fillId="4" borderId="4" xfId="10" applyNumberFormat="1" applyFont="1" applyFill="1" applyBorder="1" applyAlignment="1">
      <alignment horizontal="center" vertical="center" wrapText="1"/>
    </xf>
    <xf numFmtId="42" fontId="8" fillId="0" borderId="1" xfId="1" applyNumberFormat="1" applyFont="1" applyFill="1" applyBorder="1" applyAlignment="1">
      <alignment horizontal="right" vertical="center"/>
    </xf>
    <xf numFmtId="42" fontId="8" fillId="0" borderId="1" xfId="1" applyNumberFormat="1" applyFont="1" applyBorder="1" applyAlignment="1">
      <alignment horizontal="right" vertical="center" wrapText="1"/>
    </xf>
    <xf numFmtId="0" fontId="9" fillId="8" borderId="1" xfId="2" applyFont="1" applyFill="1" applyBorder="1" applyAlignment="1">
      <alignment horizontal="left"/>
    </xf>
    <xf numFmtId="0" fontId="1" fillId="0" borderId="3" xfId="2" applyFont="1" applyFill="1" applyBorder="1" applyAlignment="1">
      <alignment wrapText="1"/>
    </xf>
    <xf numFmtId="168" fontId="1" fillId="0" borderId="1" xfId="7" applyNumberFormat="1" applyFont="1" applyFill="1" applyBorder="1" applyAlignment="1">
      <alignment horizontal="center" vertical="center"/>
    </xf>
    <xf numFmtId="164" fontId="1" fillId="0" borderId="1" xfId="2" applyNumberFormat="1"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9" fillId="0" borderId="1" xfId="2" applyFont="1" applyFill="1" applyBorder="1" applyAlignment="1">
      <alignment horizontal="left"/>
    </xf>
    <xf numFmtId="0" fontId="1" fillId="0" borderId="1" xfId="2" applyFont="1" applyFill="1" applyBorder="1"/>
    <xf numFmtId="3" fontId="1" fillId="0" borderId="1" xfId="2" applyNumberFormat="1" applyFont="1" applyFill="1" applyBorder="1" applyAlignment="1">
      <alignment horizontal="center" vertical="center"/>
    </xf>
    <xf numFmtId="3" fontId="1" fillId="0" borderId="1" xfId="2" applyNumberFormat="1" applyFont="1" applyFill="1" applyBorder="1" applyAlignment="1">
      <alignment horizontal="center" vertical="center" wrapText="1"/>
    </xf>
    <xf numFmtId="0" fontId="1" fillId="0" borderId="1" xfId="2" applyFont="1" applyFill="1" applyBorder="1" applyAlignment="1">
      <alignment wrapText="1"/>
    </xf>
    <xf numFmtId="0" fontId="1" fillId="0" borderId="0" xfId="0" applyFont="1" applyFill="1" applyAlignment="1">
      <alignment horizontal="center" vertical="center" wrapText="1"/>
    </xf>
    <xf numFmtId="0" fontId="9" fillId="0" borderId="1" xfId="11" applyNumberFormat="1" applyFont="1" applyFill="1" applyBorder="1" applyAlignment="1">
      <alignment horizontal="left"/>
    </xf>
    <xf numFmtId="0" fontId="1" fillId="0" borderId="1" xfId="11" applyNumberFormat="1" applyFont="1" applyFill="1" applyBorder="1" applyAlignment="1">
      <alignment wrapText="1"/>
    </xf>
    <xf numFmtId="37" fontId="1" fillId="0" borderId="1" xfId="11" applyNumberFormat="1" applyFont="1" applyFill="1" applyBorder="1" applyAlignment="1">
      <alignment horizontal="center" vertical="center"/>
    </xf>
    <xf numFmtId="37" fontId="1" fillId="0" borderId="1" xfId="11" applyNumberFormat="1"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6" xfId="0" applyFont="1" applyFill="1" applyBorder="1" applyAlignment="1">
      <alignment horizontal="right" vertical="center" wrapText="1"/>
    </xf>
    <xf numFmtId="164" fontId="1" fillId="2" borderId="6" xfId="0" applyNumberFormat="1" applyFont="1" applyFill="1" applyBorder="1" applyAlignment="1">
      <alignment horizontal="center" vertical="center"/>
    </xf>
    <xf numFmtId="9" fontId="1" fillId="0" borderId="5"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14" fontId="10" fillId="0" borderId="6" xfId="0" applyNumberFormat="1" applyFont="1" applyFill="1" applyBorder="1" applyAlignment="1">
      <alignment horizontal="center" vertical="center"/>
    </xf>
    <xf numFmtId="0" fontId="1" fillId="0" borderId="3"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0" fontId="1" fillId="0" borderId="0" xfId="0" applyFont="1" applyAlignment="1">
      <alignment horizontal="left"/>
    </xf>
    <xf numFmtId="164" fontId="8" fillId="7" borderId="1" xfId="5" applyNumberFormat="1" applyFont="1" applyFill="1" applyBorder="1" applyAlignment="1">
      <alignment horizontal="center" vertical="center" wrapText="1"/>
    </xf>
    <xf numFmtId="44" fontId="8" fillId="7" borderId="1" xfId="5" applyNumberFormat="1" applyFont="1" applyFill="1" applyBorder="1" applyAlignment="1">
      <alignment horizontal="center" vertical="center" wrapText="1"/>
    </xf>
    <xf numFmtId="0" fontId="0" fillId="0" borderId="1" xfId="0" applyFill="1" applyBorder="1"/>
    <xf numFmtId="14" fontId="0" fillId="0" borderId="1" xfId="0" applyNumberFormat="1" applyFill="1" applyBorder="1"/>
    <xf numFmtId="0" fontId="1" fillId="0" borderId="1" xfId="0" applyFont="1" applyFill="1" applyBorder="1"/>
    <xf numFmtId="14" fontId="1" fillId="0" borderId="1" xfId="0" applyNumberFormat="1" applyFont="1" applyFill="1" applyBorder="1"/>
    <xf numFmtId="14" fontId="1" fillId="0" borderId="1" xfId="0" applyNumberFormat="1" applyFont="1" applyBorder="1"/>
    <xf numFmtId="164" fontId="8" fillId="0" borderId="1" xfId="0" applyNumberFormat="1" applyFont="1" applyFill="1" applyBorder="1" applyAlignment="1">
      <alignment horizontal="right" vertical="center" wrapText="1"/>
    </xf>
    <xf numFmtId="16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8" applyFont="1" applyFill="1" applyBorder="1" applyAlignment="1">
      <alignment horizontal="left" vertical="center" wrapText="1"/>
    </xf>
    <xf numFmtId="164" fontId="8" fillId="0" borderId="1" xfId="0" applyNumberFormat="1" applyFont="1" applyBorder="1" applyAlignment="1">
      <alignment horizontal="center" wrapText="1"/>
    </xf>
    <xf numFmtId="6" fontId="7" fillId="0" borderId="1" xfId="0" applyNumberFormat="1" applyFont="1" applyBorder="1" applyAlignment="1"/>
    <xf numFmtId="14" fontId="8" fillId="0" borderId="1" xfId="2" applyNumberFormat="1" applyFont="1" applyFill="1" applyBorder="1" applyAlignment="1">
      <alignment horizontal="right" vertical="center" wrapText="1"/>
    </xf>
    <xf numFmtId="164" fontId="8" fillId="0" borderId="1" xfId="0" applyNumberFormat="1" applyFont="1" applyFill="1" applyBorder="1" applyAlignment="1">
      <alignment horizontal="right" vertical="center"/>
    </xf>
    <xf numFmtId="164" fontId="8" fillId="0" borderId="6" xfId="0" applyNumberFormat="1" applyFont="1" applyFill="1" applyBorder="1" applyAlignment="1">
      <alignment horizontal="right" vertical="center"/>
    </xf>
    <xf numFmtId="164" fontId="8" fillId="0" borderId="0" xfId="0" applyNumberFormat="1" applyFont="1" applyFill="1" applyAlignment="1">
      <alignment horizontal="right"/>
    </xf>
    <xf numFmtId="164" fontId="8" fillId="0" borderId="1" xfId="2" applyNumberFormat="1" applyFont="1" applyFill="1" applyBorder="1" applyAlignment="1">
      <alignment vertical="center"/>
    </xf>
    <xf numFmtId="0" fontId="1" fillId="0" borderId="3" xfId="0" applyFont="1" applyFill="1" applyBorder="1" applyAlignment="1">
      <alignment wrapText="1"/>
    </xf>
    <xf numFmtId="164" fontId="1" fillId="0" borderId="1" xfId="11" applyNumberFormat="1" applyFont="1" applyFill="1" applyBorder="1" applyAlignment="1">
      <alignment horizontal="center"/>
    </xf>
    <xf numFmtId="164" fontId="1" fillId="0" borderId="1" xfId="11" applyNumberFormat="1" applyFont="1" applyFill="1" applyBorder="1" applyAlignment="1">
      <alignment horizontal="center" wrapText="1"/>
    </xf>
    <xf numFmtId="164" fontId="1" fillId="0" borderId="1" xfId="11" applyNumberFormat="1" applyFont="1" applyFill="1" applyBorder="1" applyAlignment="1">
      <alignment horizontal="center" vertical="center" wrapText="1"/>
    </xf>
    <xf numFmtId="164" fontId="1" fillId="0" borderId="1" xfId="11" applyNumberFormat="1" applyFont="1" applyFill="1" applyBorder="1" applyAlignment="1">
      <alignment horizontal="center" vertical="center"/>
    </xf>
    <xf numFmtId="3" fontId="1" fillId="0" borderId="0" xfId="0" applyNumberFormat="1" applyFont="1" applyAlignment="1">
      <alignment horizontal="center" vertical="center"/>
    </xf>
    <xf numFmtId="0" fontId="1" fillId="0" borderId="0" xfId="0" applyFont="1" applyAlignment="1">
      <alignment horizontal="center" vertical="center"/>
    </xf>
    <xf numFmtId="164" fontId="1" fillId="0" borderId="1" xfId="7" applyNumberFormat="1" applyFont="1" applyFill="1" applyBorder="1"/>
    <xf numFmtId="164" fontId="0" fillId="0" borderId="1" xfId="7" applyNumberFormat="1" applyFont="1" applyFill="1" applyBorder="1"/>
    <xf numFmtId="6" fontId="0" fillId="0" borderId="1" xfId="0" applyNumberFormat="1" applyFill="1" applyBorder="1"/>
    <xf numFmtId="14" fontId="1" fillId="0" borderId="1" xfId="0" applyNumberFormat="1" applyFont="1" applyFill="1" applyBorder="1" applyAlignment="1">
      <alignment horizontal="right"/>
    </xf>
    <xf numFmtId="14" fontId="1" fillId="0" borderId="1" xfId="0" applyNumberFormat="1" applyFont="1" applyBorder="1" applyAlignment="1">
      <alignment horizontal="right"/>
    </xf>
    <xf numFmtId="165" fontId="0" fillId="0" borderId="1" xfId="7" applyNumberFormat="1" applyFont="1" applyFill="1" applyBorder="1"/>
    <xf numFmtId="14" fontId="0" fillId="0" borderId="1" xfId="0" applyNumberFormat="1" applyFill="1" applyBorder="1" applyAlignment="1">
      <alignment horizontal="center"/>
    </xf>
    <xf numFmtId="167" fontId="0" fillId="0" borderId="1" xfId="7" applyNumberFormat="1" applyFont="1" applyFill="1" applyBorder="1"/>
    <xf numFmtId="167" fontId="1" fillId="0" borderId="1" xfId="7" applyNumberFormat="1" applyFont="1" applyFill="1" applyBorder="1"/>
    <xf numFmtId="42" fontId="0" fillId="0" borderId="1" xfId="7" applyNumberFormat="1" applyFont="1" applyBorder="1"/>
    <xf numFmtId="14" fontId="0" fillId="0" borderId="1" xfId="0" applyNumberFormat="1" applyFill="1" applyBorder="1" applyAlignment="1">
      <alignment horizontal="center" vertical="center"/>
    </xf>
    <xf numFmtId="42" fontId="0" fillId="0" borderId="1" xfId="9" applyNumberFormat="1" applyFont="1" applyBorder="1"/>
    <xf numFmtId="0" fontId="8" fillId="4" borderId="1" xfId="12" applyFont="1" applyFill="1" applyBorder="1" applyAlignment="1">
      <alignment horizontal="left" vertical="center" wrapText="1"/>
    </xf>
    <xf numFmtId="166" fontId="8" fillId="4" borderId="1" xfId="12" applyNumberFormat="1" applyFont="1" applyFill="1" applyBorder="1" applyAlignment="1">
      <alignment vertical="center"/>
    </xf>
    <xf numFmtId="164" fontId="8" fillId="4" borderId="1" xfId="12" applyNumberFormat="1" applyFont="1" applyFill="1" applyBorder="1" applyAlignment="1">
      <alignment horizontal="center" vertical="center" wrapText="1"/>
    </xf>
    <xf numFmtId="169" fontId="8" fillId="4" borderId="1" xfId="1" applyNumberFormat="1" applyFont="1" applyFill="1" applyBorder="1" applyAlignment="1">
      <alignment horizontal="right" vertical="center" wrapText="1"/>
    </xf>
    <xf numFmtId="42" fontId="8" fillId="4" borderId="1" xfId="12" applyNumberFormat="1" applyFont="1" applyFill="1" applyBorder="1" applyAlignment="1">
      <alignment horizontal="right" vertical="center" wrapText="1"/>
    </xf>
    <xf numFmtId="44" fontId="8" fillId="4" borderId="1" xfId="12" applyNumberFormat="1" applyFont="1" applyFill="1" applyBorder="1" applyAlignment="1">
      <alignment horizontal="center" vertical="center" wrapText="1"/>
    </xf>
    <xf numFmtId="14" fontId="8" fillId="4" borderId="1" xfId="12" applyNumberFormat="1" applyFont="1" applyFill="1" applyBorder="1" applyAlignment="1">
      <alignment horizontal="center" vertical="center" wrapText="1"/>
    </xf>
    <xf numFmtId="169" fontId="8" fillId="4" borderId="1" xfId="12" applyNumberFormat="1" applyFont="1" applyFill="1" applyBorder="1" applyAlignment="1">
      <alignment horizontal="right" vertical="center" wrapText="1"/>
    </xf>
    <xf numFmtId="169" fontId="8" fillId="2" borderId="1" xfId="10" applyNumberFormat="1" applyFont="1" applyFill="1" applyBorder="1" applyAlignment="1">
      <alignment horizontal="right" vertical="center"/>
    </xf>
    <xf numFmtId="0" fontId="8" fillId="0" borderId="1" xfId="12" applyFont="1" applyFill="1" applyBorder="1" applyAlignment="1">
      <alignment horizontal="left" vertical="center" wrapText="1"/>
    </xf>
    <xf numFmtId="42" fontId="8" fillId="0" borderId="1" xfId="12" applyNumberFormat="1" applyFont="1" applyBorder="1" applyAlignment="1">
      <alignment vertical="center"/>
    </xf>
    <xf numFmtId="164" fontId="8" fillId="0" borderId="1" xfId="12" applyNumberFormat="1" applyFont="1" applyBorder="1" applyAlignment="1">
      <alignment horizontal="center" vertical="center" wrapText="1"/>
    </xf>
    <xf numFmtId="42" fontId="8" fillId="0" borderId="1" xfId="12" applyNumberFormat="1" applyFont="1" applyBorder="1" applyAlignment="1">
      <alignment horizontal="right" vertical="center" wrapText="1"/>
    </xf>
    <xf numFmtId="44" fontId="8" fillId="0" borderId="1" xfId="12" applyNumberFormat="1" applyFont="1" applyBorder="1" applyAlignment="1">
      <alignment horizontal="center" vertical="center" wrapText="1"/>
    </xf>
    <xf numFmtId="14" fontId="8" fillId="0" borderId="1" xfId="12" applyNumberFormat="1" applyFont="1" applyBorder="1" applyAlignment="1">
      <alignment horizontal="center" vertical="center" wrapText="1"/>
    </xf>
    <xf numFmtId="0" fontId="8" fillId="0" borderId="1" xfId="13" applyFont="1" applyFill="1" applyBorder="1" applyAlignment="1">
      <alignment vertical="center"/>
    </xf>
    <xf numFmtId="0" fontId="8" fillId="0" borderId="1" xfId="13" applyFont="1" applyFill="1" applyBorder="1" applyAlignment="1">
      <alignment vertical="center" wrapText="1"/>
    </xf>
    <xf numFmtId="164" fontId="8" fillId="0" borderId="1" xfId="13" applyNumberFormat="1" applyFont="1" applyFill="1" applyBorder="1" applyAlignment="1">
      <alignment vertical="center"/>
    </xf>
    <xf numFmtId="164" fontId="8" fillId="0" borderId="1" xfId="0" applyNumberFormat="1" applyFont="1" applyFill="1" applyBorder="1" applyAlignment="1">
      <alignment horizontal="center" vertical="center" wrapText="1"/>
    </xf>
    <xf numFmtId="0" fontId="0" fillId="0" borderId="0" xfId="0" applyBorder="1"/>
    <xf numFmtId="0" fontId="1" fillId="0" borderId="0" xfId="0" applyFont="1" applyAlignment="1">
      <alignment horizontal="left" wrapText="1"/>
    </xf>
    <xf numFmtId="0" fontId="15" fillId="0" borderId="0" xfId="0" applyFont="1"/>
    <xf numFmtId="0" fontId="15" fillId="7" borderId="1" xfId="0" applyFont="1" applyFill="1" applyBorder="1" applyAlignment="1">
      <alignment vertical="center"/>
    </xf>
    <xf numFmtId="0" fontId="15" fillId="7" borderId="1" xfId="0" applyFont="1" applyFill="1" applyBorder="1" applyAlignment="1">
      <alignment horizontal="center" vertical="center" wrapText="1"/>
    </xf>
    <xf numFmtId="0" fontId="15" fillId="0" borderId="0" xfId="0" applyFont="1" applyFill="1" applyAlignment="1">
      <alignmen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15" fillId="7" borderId="1" xfId="0" applyFont="1" applyFill="1" applyBorder="1" applyAlignment="1">
      <alignment horizontal="right"/>
    </xf>
    <xf numFmtId="164" fontId="0" fillId="7" borderId="1" xfId="0" applyNumberFormat="1" applyFill="1" applyBorder="1" applyAlignment="1">
      <alignment horizontal="center"/>
    </xf>
    <xf numFmtId="164" fontId="0" fillId="0" borderId="1" xfId="0" applyNumberFormat="1" applyBorder="1" applyAlignment="1">
      <alignment horizontal="center" vertical="center"/>
    </xf>
    <xf numFmtId="164" fontId="0" fillId="0" borderId="1" xfId="11" applyNumberFormat="1" applyFont="1" applyBorder="1" applyAlignment="1">
      <alignment horizontal="center" vertical="center"/>
    </xf>
    <xf numFmtId="0" fontId="0" fillId="0" borderId="1" xfId="0" applyBorder="1" applyAlignment="1">
      <alignment vertical="center"/>
    </xf>
    <xf numFmtId="164" fontId="0" fillId="7" borderId="1" xfId="11" applyNumberFormat="1" applyFont="1" applyFill="1" applyBorder="1" applyAlignment="1">
      <alignment horizontal="center"/>
    </xf>
    <xf numFmtId="0" fontId="0" fillId="0" borderId="0" xfId="0" applyFill="1" applyBorder="1"/>
    <xf numFmtId="0" fontId="15" fillId="0" borderId="0" xfId="0" applyFont="1" applyFill="1" applyBorder="1" applyAlignment="1">
      <alignment horizontal="right"/>
    </xf>
    <xf numFmtId="164" fontId="0" fillId="0" borderId="0" xfId="11" applyNumberFormat="1" applyFont="1" applyFill="1" applyBorder="1"/>
    <xf numFmtId="164" fontId="0" fillId="0" borderId="0" xfId="0" applyNumberFormat="1" applyFill="1" applyBorder="1"/>
    <xf numFmtId="170" fontId="0" fillId="0" borderId="0" xfId="11" applyNumberFormat="1" applyFont="1" applyFill="1" applyBorder="1"/>
    <xf numFmtId="164" fontId="1" fillId="0" borderId="1" xfId="11" applyNumberFormat="1" applyFont="1" applyBorder="1" applyAlignment="1">
      <alignment horizontal="center" vertical="center"/>
    </xf>
    <xf numFmtId="0" fontId="1" fillId="0" borderId="8" xfId="0" applyFont="1" applyFill="1" applyBorder="1" applyAlignment="1">
      <alignment wrapText="1"/>
    </xf>
    <xf numFmtId="164" fontId="1" fillId="0" borderId="1" xfId="0" applyNumberFormat="1" applyFont="1" applyFill="1" applyBorder="1" applyAlignment="1">
      <alignment horizontal="center"/>
    </xf>
    <xf numFmtId="164" fontId="1" fillId="0" borderId="1" xfId="0" applyNumberFormat="1" applyFont="1" applyFill="1" applyBorder="1" applyAlignment="1">
      <alignment horizontal="center" wrapText="1"/>
    </xf>
    <xf numFmtId="164" fontId="0" fillId="0" borderId="1" xfId="0" applyNumberFormat="1" applyBorder="1" applyAlignment="1">
      <alignment horizontal="center"/>
    </xf>
    <xf numFmtId="0" fontId="16" fillId="0" borderId="0" xfId="0" applyFont="1" applyAlignment="1">
      <alignment wrapText="1"/>
    </xf>
    <xf numFmtId="0" fontId="5" fillId="2" borderId="3" xfId="3" applyFont="1" applyFill="1" applyBorder="1" applyAlignment="1">
      <alignment horizontal="center" wrapText="1"/>
    </xf>
    <xf numFmtId="0" fontId="9" fillId="2" borderId="1" xfId="3" applyFont="1" applyFill="1" applyBorder="1" applyAlignment="1">
      <alignment horizontal="center" wrapText="1"/>
    </xf>
    <xf numFmtId="0" fontId="1" fillId="0" borderId="0" xfId="0" applyFont="1" applyAlignment="1">
      <alignment wrapText="1"/>
    </xf>
    <xf numFmtId="0" fontId="9" fillId="0" borderId="3" xfId="3" applyFont="1" applyFill="1" applyBorder="1" applyAlignment="1">
      <alignment horizontal="left" vertical="top" wrapText="1"/>
    </xf>
    <xf numFmtId="0" fontId="9" fillId="0" borderId="1" xfId="3" applyFont="1" applyFill="1" applyBorder="1" applyAlignment="1">
      <alignment horizontal="center" vertical="top" wrapText="1"/>
    </xf>
    <xf numFmtId="0" fontId="9" fillId="0" borderId="1" xfId="3" applyFont="1" applyFill="1" applyBorder="1" applyAlignment="1">
      <alignment horizontal="left" vertical="top" wrapText="1"/>
    </xf>
    <xf numFmtId="14" fontId="1" fillId="0" borderId="1" xfId="0" applyNumberFormat="1" applyFont="1" applyFill="1" applyBorder="1" applyAlignment="1">
      <alignment horizontal="left" vertical="top" wrapText="1"/>
    </xf>
    <xf numFmtId="5" fontId="1" fillId="0" borderId="1" xfId="1" applyNumberFormat="1" applyFont="1" applyFill="1" applyBorder="1" applyAlignment="1">
      <alignment horizontal="right" vertical="top" wrapText="1"/>
    </xf>
    <xf numFmtId="0" fontId="1" fillId="0" borderId="1" xfId="0" applyFont="1" applyFill="1" applyBorder="1" applyAlignment="1">
      <alignment vertical="top" wrapText="1"/>
    </xf>
    <xf numFmtId="5" fontId="1" fillId="0" borderId="2" xfId="1" applyNumberFormat="1" applyFont="1" applyFill="1" applyBorder="1" applyAlignment="1">
      <alignment horizontal="right" vertical="top" wrapText="1"/>
    </xf>
    <xf numFmtId="0" fontId="9" fillId="0" borderId="3" xfId="3" applyFont="1" applyFill="1" applyBorder="1" applyAlignment="1">
      <alignment horizontal="center" vertical="top" wrapText="1"/>
    </xf>
    <xf numFmtId="5" fontId="1" fillId="0" borderId="1" xfId="1" applyNumberFormat="1" applyFont="1" applyFill="1" applyBorder="1" applyAlignment="1">
      <alignment vertical="top" wrapText="1"/>
    </xf>
    <xf numFmtId="14" fontId="9" fillId="0" borderId="1" xfId="3" applyNumberFormat="1" applyFont="1" applyFill="1" applyBorder="1" applyAlignment="1">
      <alignment horizontal="center" vertical="top" wrapText="1"/>
    </xf>
    <xf numFmtId="0" fontId="1" fillId="0" borderId="0" xfId="0" applyFont="1" applyAlignment="1">
      <alignment vertical="top" wrapText="1"/>
    </xf>
    <xf numFmtId="0" fontId="5" fillId="3" borderId="3" xfId="3" applyFont="1" applyFill="1" applyBorder="1" applyAlignment="1">
      <alignment horizontal="center" vertical="top" wrapText="1"/>
    </xf>
    <xf numFmtId="0" fontId="5" fillId="3" borderId="1" xfId="3" applyFont="1" applyFill="1" applyBorder="1" applyAlignment="1">
      <alignment horizontal="center" vertical="top" wrapText="1"/>
    </xf>
    <xf numFmtId="0" fontId="9" fillId="3" borderId="1" xfId="3" applyFont="1" applyFill="1" applyBorder="1" applyAlignment="1">
      <alignment horizontal="center" vertical="top" wrapText="1"/>
    </xf>
    <xf numFmtId="0" fontId="9" fillId="3" borderId="2" xfId="3" applyFont="1" applyFill="1" applyBorder="1" applyAlignment="1">
      <alignment horizontal="center" vertical="top" wrapText="1"/>
    </xf>
    <xf numFmtId="0" fontId="9" fillId="3" borderId="3" xfId="3" applyFont="1" applyFill="1" applyBorder="1" applyAlignment="1">
      <alignment horizontal="center" vertical="top" wrapText="1"/>
    </xf>
    <xf numFmtId="0" fontId="1" fillId="0" borderId="3" xfId="0" applyFont="1" applyFill="1" applyBorder="1" applyAlignment="1">
      <alignment vertical="top" wrapText="1"/>
    </xf>
    <xf numFmtId="14" fontId="1" fillId="0" borderId="1" xfId="0" quotePrefix="1" applyNumberFormat="1" applyFont="1" applyFill="1" applyBorder="1" applyAlignment="1">
      <alignment horizontal="center" vertical="top" wrapText="1"/>
    </xf>
    <xf numFmtId="0" fontId="1" fillId="0" borderId="0" xfId="0" applyFont="1" applyFill="1" applyAlignment="1">
      <alignment vertical="top" wrapText="1"/>
    </xf>
    <xf numFmtId="0" fontId="9" fillId="3" borderId="1" xfId="3" applyFont="1" applyFill="1" applyBorder="1" applyAlignment="1">
      <alignment horizontal="right" vertical="top" wrapText="1"/>
    </xf>
    <xf numFmtId="0" fontId="1" fillId="3" borderId="0" xfId="0" applyFont="1" applyFill="1" applyAlignment="1">
      <alignment vertical="top" wrapText="1"/>
    </xf>
    <xf numFmtId="165" fontId="2" fillId="3" borderId="0" xfId="0" applyNumberFormat="1" applyFont="1" applyFill="1" applyAlignment="1">
      <alignment horizontal="right" vertical="top" wrapText="1"/>
    </xf>
    <xf numFmtId="0" fontId="1" fillId="9" borderId="0" xfId="0" applyFont="1" applyFill="1" applyAlignment="1">
      <alignment vertical="top" wrapText="1"/>
    </xf>
    <xf numFmtId="165" fontId="2" fillId="0" borderId="0" xfId="0" applyNumberFormat="1" applyFont="1" applyFill="1" applyAlignment="1">
      <alignment horizontal="left" vertical="top" wrapText="1"/>
    </xf>
    <xf numFmtId="0" fontId="1" fillId="0" borderId="3" xfId="0" applyFont="1" applyFill="1" applyBorder="1" applyAlignment="1">
      <alignment horizontal="left" vertical="top" wrapText="1"/>
    </xf>
    <xf numFmtId="0" fontId="9" fillId="0" borderId="0" xfId="3" applyFont="1" applyFill="1" applyAlignment="1">
      <alignment horizontal="center" vertical="top" wrapText="1"/>
    </xf>
    <xf numFmtId="0" fontId="9" fillId="0" borderId="0" xfId="3" applyFont="1" applyFill="1" applyAlignment="1">
      <alignment vertical="top" wrapText="1"/>
    </xf>
    <xf numFmtId="0" fontId="1" fillId="0" borderId="1" xfId="0" applyFont="1" applyFill="1" applyBorder="1" applyAlignment="1">
      <alignment horizontal="center" vertical="top" wrapText="1"/>
    </xf>
    <xf numFmtId="165" fontId="1" fillId="0" borderId="3" xfId="1" applyNumberFormat="1" applyFont="1" applyFill="1" applyBorder="1" applyAlignment="1">
      <alignment horizontal="left" vertical="top" wrapText="1"/>
    </xf>
    <xf numFmtId="165" fontId="2" fillId="3" borderId="0" xfId="0" applyNumberFormat="1" applyFont="1" applyFill="1" applyAlignment="1">
      <alignment horizontal="left" vertical="top" wrapText="1"/>
    </xf>
    <xf numFmtId="0" fontId="1" fillId="0" borderId="1" xfId="4" applyFont="1" applyFill="1" applyBorder="1" applyAlignment="1">
      <alignment vertical="top" wrapText="1"/>
    </xf>
    <xf numFmtId="164" fontId="1" fillId="0" borderId="1" xfId="4" applyNumberFormat="1" applyFont="1" applyFill="1" applyBorder="1" applyAlignment="1">
      <alignment vertical="top"/>
    </xf>
    <xf numFmtId="164" fontId="1" fillId="0" borderId="2" xfId="4" applyNumberFormat="1" applyFont="1" applyFill="1" applyBorder="1" applyAlignment="1">
      <alignment horizontal="right" vertical="top"/>
    </xf>
    <xf numFmtId="0" fontId="1" fillId="0" borderId="0" xfId="3" applyFont="1" applyFill="1" applyAlignment="1">
      <alignment vertical="top" wrapText="1"/>
    </xf>
    <xf numFmtId="165" fontId="2" fillId="3" borderId="0" xfId="0" applyNumberFormat="1" applyFont="1" applyFill="1" applyAlignment="1">
      <alignment horizontal="center" vertical="top" wrapText="1"/>
    </xf>
    <xf numFmtId="164" fontId="1" fillId="0" borderId="1" xfId="0" applyNumberFormat="1" applyFont="1" applyFill="1" applyBorder="1" applyAlignment="1">
      <alignment horizontal="right" vertical="top" wrapText="1"/>
    </xf>
    <xf numFmtId="14" fontId="1" fillId="0" borderId="1" xfId="0" applyNumberFormat="1" applyFont="1" applyFill="1" applyBorder="1" applyAlignment="1">
      <alignment horizontal="center" vertical="top" wrapText="1"/>
    </xf>
    <xf numFmtId="0" fontId="1" fillId="3" borderId="3" xfId="0" applyFont="1" applyFill="1" applyBorder="1" applyAlignment="1">
      <alignment vertical="top" wrapText="1"/>
    </xf>
    <xf numFmtId="0" fontId="1" fillId="3" borderId="1" xfId="0" applyFont="1" applyFill="1" applyBorder="1" applyAlignment="1">
      <alignment vertical="top" wrapText="1"/>
    </xf>
    <xf numFmtId="14" fontId="1" fillId="3" borderId="1" xfId="0" applyNumberFormat="1" applyFont="1" applyFill="1" applyBorder="1" applyAlignment="1">
      <alignment horizontal="left" vertical="top" wrapText="1"/>
    </xf>
    <xf numFmtId="164" fontId="2" fillId="3" borderId="1" xfId="0" applyNumberFormat="1" applyFont="1" applyFill="1" applyBorder="1" applyAlignment="1">
      <alignment horizontal="center" vertical="top" wrapText="1"/>
    </xf>
    <xf numFmtId="164" fontId="2" fillId="3" borderId="2" xfId="0" applyNumberFormat="1" applyFont="1" applyFill="1" applyBorder="1" applyAlignment="1">
      <alignment horizontal="right" vertical="top" wrapText="1"/>
    </xf>
    <xf numFmtId="164" fontId="2" fillId="3" borderId="3" xfId="0" applyNumberFormat="1" applyFont="1" applyFill="1" applyBorder="1" applyAlignment="1">
      <alignment horizontal="left" vertical="top" wrapText="1"/>
    </xf>
    <xf numFmtId="164" fontId="1" fillId="3" borderId="1" xfId="0" applyNumberFormat="1" applyFont="1" applyFill="1" applyBorder="1" applyAlignment="1">
      <alignment horizontal="center" vertical="top" wrapText="1"/>
    </xf>
    <xf numFmtId="14" fontId="1" fillId="3" borderId="1" xfId="0" applyNumberFormat="1" applyFont="1" applyFill="1" applyBorder="1" applyAlignment="1">
      <alignment horizontal="center" vertical="top" wrapText="1"/>
    </xf>
    <xf numFmtId="165" fontId="1" fillId="3" borderId="1" xfId="1" applyNumberFormat="1" applyFont="1" applyFill="1" applyBorder="1" applyAlignment="1">
      <alignment vertical="top" wrapText="1"/>
    </xf>
    <xf numFmtId="0" fontId="1" fillId="3" borderId="1" xfId="0" applyFont="1" applyFill="1" applyBorder="1" applyAlignment="1">
      <alignment wrapText="1"/>
    </xf>
    <xf numFmtId="14" fontId="1" fillId="3" borderId="1" xfId="0" applyNumberFormat="1" applyFont="1" applyFill="1" applyBorder="1" applyAlignment="1">
      <alignment horizontal="left" wrapText="1"/>
    </xf>
    <xf numFmtId="164" fontId="1" fillId="3" borderId="1" xfId="0" applyNumberFormat="1" applyFont="1" applyFill="1" applyBorder="1" applyAlignment="1">
      <alignment horizontal="center" wrapText="1"/>
    </xf>
    <xf numFmtId="0" fontId="1" fillId="0" borderId="0" xfId="0" applyFont="1" applyAlignment="1">
      <alignment horizontal="right" wrapText="1"/>
    </xf>
    <xf numFmtId="0" fontId="8" fillId="0" borderId="0" xfId="0" applyFont="1" applyAlignment="1">
      <alignment horizontal="left" vertical="center"/>
    </xf>
    <xf numFmtId="0" fontId="8" fillId="0" borderId="0" xfId="0" applyFont="1" applyAlignment="1">
      <alignment wrapText="1"/>
    </xf>
    <xf numFmtId="0" fontId="8" fillId="0" borderId="0" xfId="0" applyFont="1"/>
    <xf numFmtId="164" fontId="8" fillId="0" borderId="0" xfId="0" applyNumberFormat="1" applyFont="1"/>
    <xf numFmtId="0" fontId="8" fillId="0" borderId="0" xfId="0" applyFont="1" applyAlignment="1">
      <alignment horizont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 xfId="0" applyFont="1" applyFill="1" applyBorder="1" applyAlignment="1">
      <alignment horizontal="center" vertical="center"/>
    </xf>
    <xf numFmtId="164" fontId="7" fillId="0" borderId="1" xfId="0" applyNumberFormat="1" applyFont="1" applyFill="1" applyBorder="1" applyAlignment="1">
      <alignment horizont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18" fillId="0" borderId="0" xfId="0" applyFont="1" applyAlignment="1">
      <alignment horizontal="left" vertical="center"/>
    </xf>
    <xf numFmtId="0" fontId="19" fillId="0" borderId="0" xfId="0" applyFont="1" applyAlignment="1">
      <alignment wrapText="1"/>
    </xf>
    <xf numFmtId="0" fontId="8" fillId="10" borderId="1" xfId="0" applyFont="1" applyFill="1" applyBorder="1" applyAlignment="1">
      <alignment horizontal="left" vertical="center" wrapText="1"/>
    </xf>
    <xf numFmtId="0" fontId="8" fillId="11" borderId="1" xfId="0" applyFont="1" applyFill="1" applyBorder="1" applyAlignment="1">
      <alignment horizontal="left" vertical="center" wrapText="1"/>
    </xf>
    <xf numFmtId="0" fontId="8" fillId="10" borderId="1" xfId="8" applyFont="1" applyFill="1" applyBorder="1" applyAlignment="1">
      <alignment horizontal="left" vertical="center"/>
    </xf>
    <xf numFmtId="0" fontId="8" fillId="9" borderId="1" xfId="13" applyFont="1" applyFill="1" applyBorder="1" applyAlignment="1">
      <alignment horizontal="left" vertical="center"/>
    </xf>
    <xf numFmtId="0" fontId="8" fillId="9" borderId="1" xfId="0" applyFont="1" applyFill="1" applyBorder="1" applyAlignment="1">
      <alignment horizontal="left" vertical="center" wrapText="1"/>
    </xf>
    <xf numFmtId="0" fontId="8" fillId="12" borderId="1" xfId="0" applyFont="1" applyFill="1" applyBorder="1" applyAlignment="1">
      <alignment horizontal="left" vertical="center" wrapText="1"/>
    </xf>
    <xf numFmtId="0" fontId="8" fillId="0" borderId="1" xfId="0" applyFont="1" applyFill="1" applyBorder="1" applyAlignment="1">
      <alignment wrapText="1"/>
    </xf>
    <xf numFmtId="6" fontId="8" fillId="0" borderId="1" xfId="2" applyNumberFormat="1" applyFont="1" applyFill="1" applyBorder="1" applyAlignment="1">
      <alignment vertical="center"/>
    </xf>
    <xf numFmtId="0" fontId="8" fillId="13" borderId="1" xfId="0" applyFont="1" applyFill="1" applyBorder="1" applyAlignment="1">
      <alignment horizontal="left" vertical="center"/>
    </xf>
    <xf numFmtId="0" fontId="8" fillId="0" borderId="1" xfId="2" applyFont="1" applyFill="1" applyBorder="1" applyAlignment="1">
      <alignment vertical="center" wrapText="1"/>
    </xf>
    <xf numFmtId="0" fontId="8" fillId="14" borderId="1" xfId="0" applyFont="1" applyFill="1" applyBorder="1" applyAlignment="1">
      <alignment horizontal="left" vertical="center"/>
    </xf>
    <xf numFmtId="0" fontId="8" fillId="4" borderId="0" xfId="0" applyFont="1" applyFill="1" applyBorder="1"/>
    <xf numFmtId="0" fontId="8" fillId="4" borderId="0" xfId="0" applyFont="1" applyFill="1" applyBorder="1" applyAlignment="1">
      <alignment vertical="center" wrapText="1"/>
    </xf>
    <xf numFmtId="0" fontId="7" fillId="4" borderId="0" xfId="0" applyFont="1" applyFill="1" applyBorder="1" applyAlignment="1">
      <alignment vertical="center"/>
    </xf>
    <xf numFmtId="6" fontId="8" fillId="4" borderId="0" xfId="0" applyNumberFormat="1" applyFont="1" applyFill="1" applyBorder="1" applyAlignment="1">
      <alignment vertical="center"/>
    </xf>
    <xf numFmtId="164" fontId="8" fillId="4" borderId="0" xfId="0" applyNumberFormat="1" applyFont="1" applyFill="1" applyBorder="1" applyAlignment="1">
      <alignment vertical="center"/>
    </xf>
    <xf numFmtId="0" fontId="8" fillId="4" borderId="0" xfId="0" applyFont="1" applyFill="1" applyBorder="1" applyAlignment="1">
      <alignment horizontal="center" wrapText="1"/>
    </xf>
    <xf numFmtId="164" fontId="8" fillId="4" borderId="0" xfId="0" applyNumberFormat="1" applyFont="1" applyFill="1" applyBorder="1" applyAlignment="1">
      <alignment horizontal="center"/>
    </xf>
    <xf numFmtId="0" fontId="8" fillId="4" borderId="0" xfId="0" applyFont="1" applyFill="1" applyBorder="1" applyAlignment="1">
      <alignment horizontal="left" vertical="center" wrapText="1"/>
    </xf>
    <xf numFmtId="0" fontId="8" fillId="4" borderId="0" xfId="0" applyFont="1" applyFill="1" applyBorder="1" applyAlignment="1">
      <alignment horizontal="center" vertical="center"/>
    </xf>
    <xf numFmtId="6" fontId="8" fillId="0" borderId="1" xfId="0" applyNumberFormat="1" applyFont="1" applyFill="1" applyBorder="1" applyAlignment="1">
      <alignment horizontal="right" vertical="center"/>
    </xf>
    <xf numFmtId="0" fontId="8" fillId="0" borderId="6" xfId="0" applyFont="1" applyFill="1" applyBorder="1" applyAlignment="1">
      <alignment vertical="center" wrapText="1"/>
    </xf>
    <xf numFmtId="164" fontId="8" fillId="0" borderId="1" xfId="0" applyNumberFormat="1" applyFont="1" applyFill="1" applyBorder="1" applyAlignment="1">
      <alignment horizontal="right"/>
    </xf>
    <xf numFmtId="0" fontId="8" fillId="0" borderId="0" xfId="0" applyFont="1" applyFill="1"/>
    <xf numFmtId="6" fontId="7" fillId="0" borderId="6" xfId="0" applyNumberFormat="1" applyFont="1" applyBorder="1" applyAlignment="1">
      <alignment vertical="center"/>
    </xf>
    <xf numFmtId="0" fontId="7" fillId="0" borderId="0" xfId="0" applyFont="1"/>
    <xf numFmtId="6" fontId="8" fillId="0" borderId="4" xfId="0" applyNumberFormat="1" applyFont="1" applyBorder="1" applyAlignment="1">
      <alignment vertical="center"/>
    </xf>
    <xf numFmtId="0" fontId="8" fillId="0" borderId="0" xfId="0" applyFont="1" applyFill="1" applyAlignment="1">
      <alignment vertical="center" wrapText="1"/>
    </xf>
    <xf numFmtId="0" fontId="8" fillId="13" borderId="0" xfId="8" applyFont="1" applyFill="1" applyAlignment="1">
      <alignment horizontal="left" vertical="center"/>
    </xf>
    <xf numFmtId="0" fontId="8" fillId="13" borderId="1" xfId="2" applyFont="1" applyFill="1" applyBorder="1" applyAlignment="1">
      <alignment horizontal="left" vertical="center"/>
    </xf>
    <xf numFmtId="164" fontId="12" fillId="0" borderId="1" xfId="0" applyNumberFormat="1" applyFont="1" applyFill="1" applyBorder="1" applyAlignment="1">
      <alignment vertical="center"/>
    </xf>
    <xf numFmtId="6" fontId="12" fillId="0" borderId="1" xfId="0" applyNumberFormat="1" applyFont="1" applyFill="1" applyBorder="1" applyAlignment="1">
      <alignment vertical="center"/>
    </xf>
    <xf numFmtId="0" fontId="8" fillId="0" borderId="0" xfId="0" applyFont="1" applyBorder="1"/>
    <xf numFmtId="164" fontId="8" fillId="6" borderId="0" xfId="0" applyNumberFormat="1" applyFont="1" applyFill="1" applyBorder="1" applyAlignment="1">
      <alignment vertical="center"/>
    </xf>
    <xf numFmtId="0" fontId="8" fillId="6" borderId="0" xfId="0" applyFont="1" applyFill="1" applyBorder="1" applyAlignment="1">
      <alignment horizontal="center" vertical="center" wrapText="1"/>
    </xf>
    <xf numFmtId="0" fontId="8" fillId="0" borderId="1" xfId="0" quotePrefix="1" applyFont="1" applyFill="1" applyBorder="1" applyAlignment="1">
      <alignment horizontal="left" vertical="center"/>
    </xf>
    <xf numFmtId="164" fontId="8" fillId="0" borderId="1" xfId="0" applyNumberFormat="1" applyFont="1" applyFill="1" applyBorder="1" applyAlignment="1">
      <alignment vertical="center" wrapText="1"/>
    </xf>
    <xf numFmtId="0" fontId="8" fillId="0" borderId="1" xfId="0" quotePrefix="1" applyFont="1" applyBorder="1" applyAlignment="1">
      <alignment horizontal="left" vertical="center"/>
    </xf>
    <xf numFmtId="164" fontId="7" fillId="0" borderId="1" xfId="0" applyNumberFormat="1" applyFont="1" applyFill="1" applyBorder="1" applyAlignment="1">
      <alignment vertical="center"/>
    </xf>
    <xf numFmtId="0" fontId="8" fillId="0" borderId="0" xfId="0" applyFont="1" applyFill="1" applyAlignment="1">
      <alignment horizontal="left" vertical="center"/>
    </xf>
    <xf numFmtId="6" fontId="8" fillId="0" borderId="0" xfId="0" applyNumberFormat="1" applyFont="1" applyFill="1" applyAlignment="1">
      <alignment vertical="center" wrapText="1"/>
    </xf>
    <xf numFmtId="0" fontId="8" fillId="0" borderId="0" xfId="0" applyFont="1" applyFill="1" applyAlignment="1">
      <alignment vertical="center"/>
    </xf>
    <xf numFmtId="164" fontId="8" fillId="0" borderId="0" xfId="0" applyNumberFormat="1" applyFont="1" applyFill="1" applyAlignment="1">
      <alignment vertical="center"/>
    </xf>
    <xf numFmtId="6" fontId="8"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2" fillId="0" borderId="1" xfId="0" quotePrefix="1" applyFont="1" applyFill="1" applyBorder="1" applyAlignment="1">
      <alignment horizontal="left" vertical="center"/>
    </xf>
    <xf numFmtId="0" fontId="12" fillId="0" borderId="1" xfId="0" applyFont="1" applyFill="1" applyBorder="1" applyAlignment="1">
      <alignment vertical="center" wrapText="1"/>
    </xf>
    <xf numFmtId="0" fontId="8" fillId="0" borderId="6" xfId="0" quotePrefix="1" applyFont="1" applyBorder="1" applyAlignment="1">
      <alignment horizontal="left" vertical="center"/>
    </xf>
    <xf numFmtId="0" fontId="8" fillId="0" borderId="6" xfId="0" applyFont="1" applyBorder="1" applyAlignment="1">
      <alignment horizontal="left" vertical="center" wrapText="1"/>
    </xf>
    <xf numFmtId="164" fontId="8" fillId="0" borderId="6" xfId="0" applyNumberFormat="1" applyFont="1" applyBorder="1" applyAlignment="1">
      <alignment vertical="center"/>
    </xf>
    <xf numFmtId="6" fontId="8" fillId="0" borderId="6"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14" fontId="8" fillId="0" borderId="6" xfId="0" applyNumberFormat="1" applyFont="1" applyBorder="1" applyAlignment="1">
      <alignment horizontal="center" vertical="center"/>
    </xf>
    <xf numFmtId="14" fontId="8" fillId="0" borderId="6" xfId="0" applyNumberFormat="1" applyFont="1" applyBorder="1" applyAlignment="1">
      <alignment horizontal="center" vertical="center" wrapText="1"/>
    </xf>
    <xf numFmtId="0" fontId="1" fillId="0" borderId="1" xfId="0" applyFont="1" applyBorder="1"/>
    <xf numFmtId="0" fontId="0" fillId="0" borderId="0" xfId="0" applyFill="1" applyBorder="1" applyAlignment="1">
      <alignment wrapText="1"/>
    </xf>
    <xf numFmtId="166" fontId="0" fillId="0" borderId="0" xfId="0" applyNumberFormat="1" applyFill="1" applyBorder="1"/>
    <xf numFmtId="0" fontId="0" fillId="0" borderId="9" xfId="0" applyFill="1" applyBorder="1" applyAlignment="1">
      <alignment wrapText="1"/>
    </xf>
    <xf numFmtId="164" fontId="0" fillId="0" borderId="9" xfId="0" applyNumberFormat="1" applyFill="1" applyBorder="1"/>
    <xf numFmtId="166" fontId="0" fillId="0" borderId="9" xfId="0" applyNumberFormat="1" applyFill="1" applyBorder="1"/>
    <xf numFmtId="0" fontId="1" fillId="0" borderId="0" xfId="0" applyFont="1" applyFill="1"/>
    <xf numFmtId="166" fontId="8" fillId="4" borderId="1" xfId="12" applyNumberFormat="1" applyFont="1" applyFill="1" applyBorder="1" applyAlignment="1">
      <alignment horizontal="right" vertical="center" wrapText="1"/>
    </xf>
    <xf numFmtId="44" fontId="0" fillId="0" borderId="0" xfId="0" applyNumberFormat="1"/>
    <xf numFmtId="44" fontId="8" fillId="4" borderId="1" xfId="9" applyFont="1" applyFill="1" applyBorder="1" applyAlignment="1">
      <alignment horizontal="right" vertical="center" wrapText="1"/>
    </xf>
    <xf numFmtId="166" fontId="8" fillId="2" borderId="1" xfId="10" applyNumberFormat="1" applyFont="1" applyFill="1" applyBorder="1" applyAlignment="1">
      <alignment vertical="center"/>
    </xf>
    <xf numFmtId="164" fontId="0" fillId="0" borderId="1" xfId="0" applyNumberFormat="1" applyFill="1" applyBorder="1" applyAlignment="1">
      <alignment horizontal="center"/>
    </xf>
    <xf numFmtId="0" fontId="1" fillId="0" borderId="0" xfId="5" applyFont="1" applyFill="1" applyAlignment="1">
      <alignment horizontal="center" vertical="center"/>
    </xf>
    <xf numFmtId="0" fontId="0" fillId="4" borderId="1" xfId="0" applyFill="1" applyBorder="1"/>
    <xf numFmtId="0" fontId="0" fillId="4" borderId="1" xfId="0" applyFill="1" applyBorder="1" applyAlignment="1">
      <alignment wrapText="1"/>
    </xf>
    <xf numFmtId="164" fontId="0" fillId="4" borderId="1" xfId="0" applyNumberFormat="1" applyFill="1" applyBorder="1" applyAlignment="1">
      <alignment horizontal="center"/>
    </xf>
    <xf numFmtId="164" fontId="1" fillId="4" borderId="1" xfId="7" applyNumberFormat="1" applyFont="1" applyFill="1" applyBorder="1" applyAlignment="1">
      <alignment horizontal="center" vertical="center" wrapText="1"/>
    </xf>
    <xf numFmtId="164" fontId="1" fillId="4" borderId="1" xfId="0" applyNumberFormat="1" applyFont="1" applyFill="1" applyBorder="1" applyAlignment="1">
      <alignment horizontal="center"/>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xf>
    <xf numFmtId="0" fontId="1" fillId="4" borderId="0" xfId="5" applyFont="1" applyFill="1" applyAlignment="1">
      <alignment horizontal="center" vertical="center"/>
    </xf>
    <xf numFmtId="0" fontId="0" fillId="0" borderId="2" xfId="0" applyFill="1" applyBorder="1" applyAlignment="1">
      <alignment wrapText="1"/>
    </xf>
    <xf numFmtId="0" fontId="9" fillId="8" borderId="6" xfId="2" applyFont="1" applyFill="1" applyBorder="1" applyAlignment="1">
      <alignment horizontal="left"/>
    </xf>
    <xf numFmtId="0" fontId="1" fillId="0" borderId="11" xfId="0" applyFont="1" applyFill="1" applyBorder="1" applyAlignment="1">
      <alignment wrapText="1"/>
    </xf>
    <xf numFmtId="164" fontId="1" fillId="0" borderId="6" xfId="11" applyNumberFormat="1" applyFont="1" applyFill="1" applyBorder="1" applyAlignment="1">
      <alignment horizontal="center"/>
    </xf>
    <xf numFmtId="0" fontId="9" fillId="4" borderId="1" xfId="2" applyFont="1" applyFill="1" applyBorder="1" applyAlignment="1">
      <alignment horizontal="left"/>
    </xf>
    <xf numFmtId="0" fontId="1" fillId="4" borderId="1" xfId="0" applyFont="1" applyFill="1" applyBorder="1"/>
    <xf numFmtId="164" fontId="1" fillId="4" borderId="1" xfId="11" applyNumberFormat="1" applyFont="1" applyFill="1" applyBorder="1" applyAlignment="1">
      <alignment horizontal="center"/>
    </xf>
    <xf numFmtId="164" fontId="1" fillId="4" borderId="1" xfId="11" applyNumberFormat="1" applyFont="1" applyFill="1" applyBorder="1" applyAlignment="1">
      <alignment horizontal="center" wrapText="1"/>
    </xf>
    <xf numFmtId="164" fontId="1" fillId="4" borderId="1" xfId="11" applyNumberFormat="1" applyFont="1" applyFill="1" applyBorder="1" applyAlignment="1">
      <alignment horizontal="center" vertical="center" wrapText="1"/>
    </xf>
    <xf numFmtId="0" fontId="1" fillId="4" borderId="3" xfId="0" applyFont="1" applyFill="1" applyBorder="1" applyAlignment="1">
      <alignment wrapText="1"/>
    </xf>
    <xf numFmtId="164" fontId="1" fillId="4" borderId="1" xfId="7" applyNumberFormat="1" applyFont="1" applyFill="1" applyBorder="1" applyAlignment="1">
      <alignment horizontal="center" vertical="center"/>
    </xf>
    <xf numFmtId="0" fontId="1" fillId="0" borderId="1" xfId="0" applyFont="1" applyBorder="1" applyAlignment="1">
      <alignment horizontal="left" vertical="center" wrapText="1"/>
    </xf>
    <xf numFmtId="164" fontId="1" fillId="0" borderId="1" xfId="2" applyNumberFormat="1" applyFont="1" applyBorder="1" applyAlignment="1">
      <alignment horizontal="center"/>
    </xf>
    <xf numFmtId="164" fontId="1" fillId="0" borderId="1" xfId="14" applyNumberFormat="1"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164" fontId="1" fillId="0" borderId="1" xfId="14" applyNumberFormat="1" applyFont="1" applyBorder="1" applyAlignment="1">
      <alignment horizontal="center" vertical="center"/>
    </xf>
    <xf numFmtId="164" fontId="1" fillId="0" borderId="5" xfId="14" applyNumberFormat="1" applyFont="1" applyBorder="1" applyAlignment="1">
      <alignment horizontal="center" vertical="center"/>
    </xf>
    <xf numFmtId="164" fontId="0" fillId="7" borderId="1" xfId="14" applyNumberFormat="1" applyFont="1" applyFill="1" applyBorder="1" applyAlignment="1">
      <alignment horizontal="center"/>
    </xf>
    <xf numFmtId="164" fontId="1" fillId="0" borderId="1" xfId="14" applyNumberFormat="1" applyFont="1" applyFill="1" applyBorder="1" applyAlignment="1">
      <alignment horizontal="center" vertical="center"/>
    </xf>
    <xf numFmtId="164" fontId="1" fillId="0" borderId="1" xfId="14" applyNumberFormat="1" applyFont="1" applyFill="1" applyBorder="1" applyAlignment="1">
      <alignment horizontal="center" vertical="center" wrapText="1"/>
    </xf>
    <xf numFmtId="164" fontId="0" fillId="7" borderId="1" xfId="14" applyNumberFormat="1" applyFont="1" applyFill="1" applyBorder="1" applyAlignment="1">
      <alignment horizontal="center" vertical="center"/>
    </xf>
    <xf numFmtId="164" fontId="1" fillId="0" borderId="1" xfId="14" applyNumberFormat="1" applyFont="1" applyFill="1" applyBorder="1" applyAlignment="1">
      <alignment horizontal="center" wrapText="1"/>
    </xf>
    <xf numFmtId="0" fontId="7" fillId="0" borderId="4" xfId="0" applyFont="1" applyBorder="1" applyAlignment="1">
      <alignment horizontal="center" vertical="center"/>
    </xf>
    <xf numFmtId="0" fontId="1" fillId="0" borderId="0" xfId="0" applyFont="1" applyAlignment="1">
      <alignment horizontal="left" wrapText="1"/>
    </xf>
    <xf numFmtId="0" fontId="1" fillId="0" borderId="0" xfId="0" applyFont="1" applyFill="1" applyBorder="1" applyAlignment="1">
      <alignment horizontal="left" wrapText="1"/>
    </xf>
    <xf numFmtId="0" fontId="6" fillId="0" borderId="4" xfId="0" applyFont="1" applyFill="1" applyBorder="1" applyAlignment="1">
      <alignment horizontal="center" wrapText="1"/>
    </xf>
    <xf numFmtId="0" fontId="9" fillId="2" borderId="2" xfId="3" applyFont="1" applyFill="1" applyBorder="1" applyAlignment="1">
      <alignment horizontal="center" wrapText="1"/>
    </xf>
    <xf numFmtId="0" fontId="9" fillId="2" borderId="3" xfId="3" applyFont="1" applyFill="1" applyBorder="1" applyAlignment="1">
      <alignment horizontal="center" wrapText="1"/>
    </xf>
    <xf numFmtId="0" fontId="11" fillId="0" borderId="4" xfId="0" applyFont="1" applyBorder="1" applyAlignment="1">
      <alignment horizontal="center" wrapText="1"/>
    </xf>
    <xf numFmtId="0" fontId="11" fillId="0" borderId="4" xfId="0" applyFont="1" applyBorder="1" applyAlignment="1">
      <alignment horizontal="center"/>
    </xf>
    <xf numFmtId="0" fontId="7" fillId="0" borderId="0" xfId="0" applyFont="1" applyFill="1" applyAlignment="1">
      <alignment horizontal="center" vertical="center" wrapText="1"/>
    </xf>
    <xf numFmtId="0" fontId="7" fillId="0" borderId="9" xfId="0" applyFont="1" applyFill="1" applyBorder="1" applyAlignment="1">
      <alignment horizontal="center" vertical="center" wrapText="1"/>
    </xf>
    <xf numFmtId="0" fontId="13" fillId="0" borderId="4" xfId="0" applyFont="1" applyBorder="1" applyAlignment="1">
      <alignment horizontal="center"/>
    </xf>
    <xf numFmtId="0" fontId="11" fillId="0" borderId="4" xfId="5" applyFont="1" applyBorder="1" applyAlignment="1">
      <alignment horizontal="center" vertical="center" wrapText="1"/>
    </xf>
    <xf numFmtId="0" fontId="2" fillId="0" borderId="4" xfId="0" applyFont="1" applyBorder="1" applyAlignment="1">
      <alignment horizontal="center" vertical="center" wrapText="1"/>
    </xf>
    <xf numFmtId="0" fontId="13" fillId="0" borderId="4" xfId="12" applyFont="1" applyBorder="1" applyAlignment="1">
      <alignment horizontal="center" vertical="center" wrapText="1"/>
    </xf>
    <xf numFmtId="0" fontId="7" fillId="6" borderId="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6" borderId="9" xfId="0" applyFont="1" applyFill="1" applyBorder="1" applyAlignment="1">
      <alignment vertical="center" wrapText="1"/>
    </xf>
    <xf numFmtId="0" fontId="8" fillId="6" borderId="3" xfId="0" applyFont="1" applyFill="1" applyBorder="1" applyAlignment="1">
      <alignment vertical="center" wrapText="1"/>
    </xf>
    <xf numFmtId="0" fontId="7" fillId="6" borderId="1" xfId="0" applyFont="1" applyFill="1" applyBorder="1" applyAlignment="1">
      <alignment horizontal="center" vertical="center" wrapText="1"/>
    </xf>
    <xf numFmtId="0" fontId="7" fillId="6" borderId="6" xfId="0" applyFont="1" applyFill="1" applyBorder="1" applyAlignment="1">
      <alignment horizontal="center" vertical="center" wrapText="1"/>
    </xf>
  </cellXfs>
  <cellStyles count="15">
    <cellStyle name="Comma" xfId="11" builtinId="3"/>
    <cellStyle name="Currency" xfId="9" builtinId="4"/>
    <cellStyle name="Currency 2" xfId="1"/>
    <cellStyle name="Currency 2 2" xfId="14"/>
    <cellStyle name="Currency 3" xfId="7"/>
    <cellStyle name="Normal" xfId="0" builtinId="0"/>
    <cellStyle name="Normal 2" xfId="2"/>
    <cellStyle name="Normal 3" xfId="8"/>
    <cellStyle name="Normal 4" xfId="12"/>
    <cellStyle name="Normal 7" xfId="13"/>
    <cellStyle name="Normal_FY 2002 Project Summary" xfId="5"/>
    <cellStyle name="Normal_FY 2002 Project Summary 2" xfId="10"/>
    <cellStyle name="Normal_Sheet1" xfId="6"/>
    <cellStyle name="Normal_Sheet1 2" xfId="3"/>
    <cellStyle name="Normal_Sheet1_SR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workbookViewId="0">
      <selection sqref="A1:I1"/>
    </sheetView>
  </sheetViews>
  <sheetFormatPr defaultRowHeight="12.75" x14ac:dyDescent="0.2"/>
  <cols>
    <col min="1" max="1" width="26.5703125" style="51" bestFit="1" customWidth="1"/>
    <col min="2" max="2" width="32.140625" style="52" customWidth="1"/>
    <col min="3" max="3" width="14.7109375" style="53" customWidth="1"/>
    <col min="4" max="4" width="14.28515625" style="53" customWidth="1"/>
    <col min="5" max="5" width="22.7109375" style="54" customWidth="1"/>
    <col min="6" max="6" width="12.5703125" style="53" customWidth="1"/>
    <col min="7" max="7" width="15" style="53" customWidth="1"/>
    <col min="8" max="8" width="24" style="55" customWidth="1"/>
    <col min="9" max="9" width="17.28515625" style="55" customWidth="1"/>
    <col min="10" max="10" width="10.85546875" style="56" bestFit="1" customWidth="1"/>
    <col min="11" max="256" width="9.140625" style="56"/>
    <col min="257" max="257" width="18.28515625" style="56" customWidth="1"/>
    <col min="258" max="258" width="48.5703125" style="56" customWidth="1"/>
    <col min="259" max="259" width="14.7109375" style="56" customWidth="1"/>
    <col min="260" max="260" width="14.28515625" style="56" customWidth="1"/>
    <col min="261" max="261" width="30.7109375" style="56" customWidth="1"/>
    <col min="262" max="262" width="12.5703125" style="56" customWidth="1"/>
    <col min="263" max="263" width="15" style="56" customWidth="1"/>
    <col min="264" max="264" width="17.85546875" style="56" customWidth="1"/>
    <col min="265" max="265" width="17.28515625" style="56" customWidth="1"/>
    <col min="266" max="266" width="10.85546875" style="56" bestFit="1" customWidth="1"/>
    <col min="267" max="512" width="9.140625" style="56"/>
    <col min="513" max="513" width="18.28515625" style="56" customWidth="1"/>
    <col min="514" max="514" width="48.5703125" style="56" customWidth="1"/>
    <col min="515" max="515" width="14.7109375" style="56" customWidth="1"/>
    <col min="516" max="516" width="14.28515625" style="56" customWidth="1"/>
    <col min="517" max="517" width="30.7109375" style="56" customWidth="1"/>
    <col min="518" max="518" width="12.5703125" style="56" customWidth="1"/>
    <col min="519" max="519" width="15" style="56" customWidth="1"/>
    <col min="520" max="520" width="17.85546875" style="56" customWidth="1"/>
    <col min="521" max="521" width="17.28515625" style="56" customWidth="1"/>
    <col min="522" max="522" width="10.85546875" style="56" bestFit="1" customWidth="1"/>
    <col min="523" max="768" width="9.140625" style="56"/>
    <col min="769" max="769" width="18.28515625" style="56" customWidth="1"/>
    <col min="770" max="770" width="48.5703125" style="56" customWidth="1"/>
    <col min="771" max="771" width="14.7109375" style="56" customWidth="1"/>
    <col min="772" max="772" width="14.28515625" style="56" customWidth="1"/>
    <col min="773" max="773" width="30.7109375" style="56" customWidth="1"/>
    <col min="774" max="774" width="12.5703125" style="56" customWidth="1"/>
    <col min="775" max="775" width="15" style="56" customWidth="1"/>
    <col min="776" max="776" width="17.85546875" style="56" customWidth="1"/>
    <col min="777" max="777" width="17.28515625" style="56" customWidth="1"/>
    <col min="778" max="778" width="10.85546875" style="56" bestFit="1" customWidth="1"/>
    <col min="779" max="1024" width="9.140625" style="56"/>
    <col min="1025" max="1025" width="18.28515625" style="56" customWidth="1"/>
    <col min="1026" max="1026" width="48.5703125" style="56" customWidth="1"/>
    <col min="1027" max="1027" width="14.7109375" style="56" customWidth="1"/>
    <col min="1028" max="1028" width="14.28515625" style="56" customWidth="1"/>
    <col min="1029" max="1029" width="30.7109375" style="56" customWidth="1"/>
    <col min="1030" max="1030" width="12.5703125" style="56" customWidth="1"/>
    <col min="1031" max="1031" width="15" style="56" customWidth="1"/>
    <col min="1032" max="1032" width="17.85546875" style="56" customWidth="1"/>
    <col min="1033" max="1033" width="17.28515625" style="56" customWidth="1"/>
    <col min="1034" max="1034" width="10.85546875" style="56" bestFit="1" customWidth="1"/>
    <col min="1035" max="1280" width="9.140625" style="56"/>
    <col min="1281" max="1281" width="18.28515625" style="56" customWidth="1"/>
    <col min="1282" max="1282" width="48.5703125" style="56" customWidth="1"/>
    <col min="1283" max="1283" width="14.7109375" style="56" customWidth="1"/>
    <col min="1284" max="1284" width="14.28515625" style="56" customWidth="1"/>
    <col min="1285" max="1285" width="30.7109375" style="56" customWidth="1"/>
    <col min="1286" max="1286" width="12.5703125" style="56" customWidth="1"/>
    <col min="1287" max="1287" width="15" style="56" customWidth="1"/>
    <col min="1288" max="1288" width="17.85546875" style="56" customWidth="1"/>
    <col min="1289" max="1289" width="17.28515625" style="56" customWidth="1"/>
    <col min="1290" max="1290" width="10.85546875" style="56" bestFit="1" customWidth="1"/>
    <col min="1291" max="1536" width="9.140625" style="56"/>
    <col min="1537" max="1537" width="18.28515625" style="56" customWidth="1"/>
    <col min="1538" max="1538" width="48.5703125" style="56" customWidth="1"/>
    <col min="1539" max="1539" width="14.7109375" style="56" customWidth="1"/>
    <col min="1540" max="1540" width="14.28515625" style="56" customWidth="1"/>
    <col min="1541" max="1541" width="30.7109375" style="56" customWidth="1"/>
    <col min="1542" max="1542" width="12.5703125" style="56" customWidth="1"/>
    <col min="1543" max="1543" width="15" style="56" customWidth="1"/>
    <col min="1544" max="1544" width="17.85546875" style="56" customWidth="1"/>
    <col min="1545" max="1545" width="17.28515625" style="56" customWidth="1"/>
    <col min="1546" max="1546" width="10.85546875" style="56" bestFit="1" customWidth="1"/>
    <col min="1547" max="1792" width="9.140625" style="56"/>
    <col min="1793" max="1793" width="18.28515625" style="56" customWidth="1"/>
    <col min="1794" max="1794" width="48.5703125" style="56" customWidth="1"/>
    <col min="1795" max="1795" width="14.7109375" style="56" customWidth="1"/>
    <col min="1796" max="1796" width="14.28515625" style="56" customWidth="1"/>
    <col min="1797" max="1797" width="30.7109375" style="56" customWidth="1"/>
    <col min="1798" max="1798" width="12.5703125" style="56" customWidth="1"/>
    <col min="1799" max="1799" width="15" style="56" customWidth="1"/>
    <col min="1800" max="1800" width="17.85546875" style="56" customWidth="1"/>
    <col min="1801" max="1801" width="17.28515625" style="56" customWidth="1"/>
    <col min="1802" max="1802" width="10.85546875" style="56" bestFit="1" customWidth="1"/>
    <col min="1803" max="2048" width="9.140625" style="56"/>
    <col min="2049" max="2049" width="18.28515625" style="56" customWidth="1"/>
    <col min="2050" max="2050" width="48.5703125" style="56" customWidth="1"/>
    <col min="2051" max="2051" width="14.7109375" style="56" customWidth="1"/>
    <col min="2052" max="2052" width="14.28515625" style="56" customWidth="1"/>
    <col min="2053" max="2053" width="30.7109375" style="56" customWidth="1"/>
    <col min="2054" max="2054" width="12.5703125" style="56" customWidth="1"/>
    <col min="2055" max="2055" width="15" style="56" customWidth="1"/>
    <col min="2056" max="2056" width="17.85546875" style="56" customWidth="1"/>
    <col min="2057" max="2057" width="17.28515625" style="56" customWidth="1"/>
    <col min="2058" max="2058" width="10.85546875" style="56" bestFit="1" customWidth="1"/>
    <col min="2059" max="2304" width="9.140625" style="56"/>
    <col min="2305" max="2305" width="18.28515625" style="56" customWidth="1"/>
    <col min="2306" max="2306" width="48.5703125" style="56" customWidth="1"/>
    <col min="2307" max="2307" width="14.7109375" style="56" customWidth="1"/>
    <col min="2308" max="2308" width="14.28515625" style="56" customWidth="1"/>
    <col min="2309" max="2309" width="30.7109375" style="56" customWidth="1"/>
    <col min="2310" max="2310" width="12.5703125" style="56" customWidth="1"/>
    <col min="2311" max="2311" width="15" style="56" customWidth="1"/>
    <col min="2312" max="2312" width="17.85546875" style="56" customWidth="1"/>
    <col min="2313" max="2313" width="17.28515625" style="56" customWidth="1"/>
    <col min="2314" max="2314" width="10.85546875" style="56" bestFit="1" customWidth="1"/>
    <col min="2315" max="2560" width="9.140625" style="56"/>
    <col min="2561" max="2561" width="18.28515625" style="56" customWidth="1"/>
    <col min="2562" max="2562" width="48.5703125" style="56" customWidth="1"/>
    <col min="2563" max="2563" width="14.7109375" style="56" customWidth="1"/>
    <col min="2564" max="2564" width="14.28515625" style="56" customWidth="1"/>
    <col min="2565" max="2565" width="30.7109375" style="56" customWidth="1"/>
    <col min="2566" max="2566" width="12.5703125" style="56" customWidth="1"/>
    <col min="2567" max="2567" width="15" style="56" customWidth="1"/>
    <col min="2568" max="2568" width="17.85546875" style="56" customWidth="1"/>
    <col min="2569" max="2569" width="17.28515625" style="56" customWidth="1"/>
    <col min="2570" max="2570" width="10.85546875" style="56" bestFit="1" customWidth="1"/>
    <col min="2571" max="2816" width="9.140625" style="56"/>
    <col min="2817" max="2817" width="18.28515625" style="56" customWidth="1"/>
    <col min="2818" max="2818" width="48.5703125" style="56" customWidth="1"/>
    <col min="2819" max="2819" width="14.7109375" style="56" customWidth="1"/>
    <col min="2820" max="2820" width="14.28515625" style="56" customWidth="1"/>
    <col min="2821" max="2821" width="30.7109375" style="56" customWidth="1"/>
    <col min="2822" max="2822" width="12.5703125" style="56" customWidth="1"/>
    <col min="2823" max="2823" width="15" style="56" customWidth="1"/>
    <col min="2824" max="2824" width="17.85546875" style="56" customWidth="1"/>
    <col min="2825" max="2825" width="17.28515625" style="56" customWidth="1"/>
    <col min="2826" max="2826" width="10.85546875" style="56" bestFit="1" customWidth="1"/>
    <col min="2827" max="3072" width="9.140625" style="56"/>
    <col min="3073" max="3073" width="18.28515625" style="56" customWidth="1"/>
    <col min="3074" max="3074" width="48.5703125" style="56" customWidth="1"/>
    <col min="3075" max="3075" width="14.7109375" style="56" customWidth="1"/>
    <col min="3076" max="3076" width="14.28515625" style="56" customWidth="1"/>
    <col min="3077" max="3077" width="30.7109375" style="56" customWidth="1"/>
    <col min="3078" max="3078" width="12.5703125" style="56" customWidth="1"/>
    <col min="3079" max="3079" width="15" style="56" customWidth="1"/>
    <col min="3080" max="3080" width="17.85546875" style="56" customWidth="1"/>
    <col min="3081" max="3081" width="17.28515625" style="56" customWidth="1"/>
    <col min="3082" max="3082" width="10.85546875" style="56" bestFit="1" customWidth="1"/>
    <col min="3083" max="3328" width="9.140625" style="56"/>
    <col min="3329" max="3329" width="18.28515625" style="56" customWidth="1"/>
    <col min="3330" max="3330" width="48.5703125" style="56" customWidth="1"/>
    <col min="3331" max="3331" width="14.7109375" style="56" customWidth="1"/>
    <col min="3332" max="3332" width="14.28515625" style="56" customWidth="1"/>
    <col min="3333" max="3333" width="30.7109375" style="56" customWidth="1"/>
    <col min="3334" max="3334" width="12.5703125" style="56" customWidth="1"/>
    <col min="3335" max="3335" width="15" style="56" customWidth="1"/>
    <col min="3336" max="3336" width="17.85546875" style="56" customWidth="1"/>
    <col min="3337" max="3337" width="17.28515625" style="56" customWidth="1"/>
    <col min="3338" max="3338" width="10.85546875" style="56" bestFit="1" customWidth="1"/>
    <col min="3339" max="3584" width="9.140625" style="56"/>
    <col min="3585" max="3585" width="18.28515625" style="56" customWidth="1"/>
    <col min="3586" max="3586" width="48.5703125" style="56" customWidth="1"/>
    <col min="3587" max="3587" width="14.7109375" style="56" customWidth="1"/>
    <col min="3588" max="3588" width="14.28515625" style="56" customWidth="1"/>
    <col min="3589" max="3589" width="30.7109375" style="56" customWidth="1"/>
    <col min="3590" max="3590" width="12.5703125" style="56" customWidth="1"/>
    <col min="3591" max="3591" width="15" style="56" customWidth="1"/>
    <col min="3592" max="3592" width="17.85546875" style="56" customWidth="1"/>
    <col min="3593" max="3593" width="17.28515625" style="56" customWidth="1"/>
    <col min="3594" max="3594" width="10.85546875" style="56" bestFit="1" customWidth="1"/>
    <col min="3595" max="3840" width="9.140625" style="56"/>
    <col min="3841" max="3841" width="18.28515625" style="56" customWidth="1"/>
    <col min="3842" max="3842" width="48.5703125" style="56" customWidth="1"/>
    <col min="3843" max="3843" width="14.7109375" style="56" customWidth="1"/>
    <col min="3844" max="3844" width="14.28515625" style="56" customWidth="1"/>
    <col min="3845" max="3845" width="30.7109375" style="56" customWidth="1"/>
    <col min="3846" max="3846" width="12.5703125" style="56" customWidth="1"/>
    <col min="3847" max="3847" width="15" style="56" customWidth="1"/>
    <col min="3848" max="3848" width="17.85546875" style="56" customWidth="1"/>
    <col min="3849" max="3849" width="17.28515625" style="56" customWidth="1"/>
    <col min="3850" max="3850" width="10.85546875" style="56" bestFit="1" customWidth="1"/>
    <col min="3851" max="4096" width="9.140625" style="56"/>
    <col min="4097" max="4097" width="18.28515625" style="56" customWidth="1"/>
    <col min="4098" max="4098" width="48.5703125" style="56" customWidth="1"/>
    <col min="4099" max="4099" width="14.7109375" style="56" customWidth="1"/>
    <col min="4100" max="4100" width="14.28515625" style="56" customWidth="1"/>
    <col min="4101" max="4101" width="30.7109375" style="56" customWidth="1"/>
    <col min="4102" max="4102" width="12.5703125" style="56" customWidth="1"/>
    <col min="4103" max="4103" width="15" style="56" customWidth="1"/>
    <col min="4104" max="4104" width="17.85546875" style="56" customWidth="1"/>
    <col min="4105" max="4105" width="17.28515625" style="56" customWidth="1"/>
    <col min="4106" max="4106" width="10.85546875" style="56" bestFit="1" customWidth="1"/>
    <col min="4107" max="4352" width="9.140625" style="56"/>
    <col min="4353" max="4353" width="18.28515625" style="56" customWidth="1"/>
    <col min="4354" max="4354" width="48.5703125" style="56" customWidth="1"/>
    <col min="4355" max="4355" width="14.7109375" style="56" customWidth="1"/>
    <col min="4356" max="4356" width="14.28515625" style="56" customWidth="1"/>
    <col min="4357" max="4357" width="30.7109375" style="56" customWidth="1"/>
    <col min="4358" max="4358" width="12.5703125" style="56" customWidth="1"/>
    <col min="4359" max="4359" width="15" style="56" customWidth="1"/>
    <col min="4360" max="4360" width="17.85546875" style="56" customWidth="1"/>
    <col min="4361" max="4361" width="17.28515625" style="56" customWidth="1"/>
    <col min="4362" max="4362" width="10.85546875" style="56" bestFit="1" customWidth="1"/>
    <col min="4363" max="4608" width="9.140625" style="56"/>
    <col min="4609" max="4609" width="18.28515625" style="56" customWidth="1"/>
    <col min="4610" max="4610" width="48.5703125" style="56" customWidth="1"/>
    <col min="4611" max="4611" width="14.7109375" style="56" customWidth="1"/>
    <col min="4612" max="4612" width="14.28515625" style="56" customWidth="1"/>
    <col min="4613" max="4613" width="30.7109375" style="56" customWidth="1"/>
    <col min="4614" max="4614" width="12.5703125" style="56" customWidth="1"/>
    <col min="4615" max="4615" width="15" style="56" customWidth="1"/>
    <col min="4616" max="4616" width="17.85546875" style="56" customWidth="1"/>
    <col min="4617" max="4617" width="17.28515625" style="56" customWidth="1"/>
    <col min="4618" max="4618" width="10.85546875" style="56" bestFit="1" customWidth="1"/>
    <col min="4619" max="4864" width="9.140625" style="56"/>
    <col min="4865" max="4865" width="18.28515625" style="56" customWidth="1"/>
    <col min="4866" max="4866" width="48.5703125" style="56" customWidth="1"/>
    <col min="4867" max="4867" width="14.7109375" style="56" customWidth="1"/>
    <col min="4868" max="4868" width="14.28515625" style="56" customWidth="1"/>
    <col min="4869" max="4869" width="30.7109375" style="56" customWidth="1"/>
    <col min="4870" max="4870" width="12.5703125" style="56" customWidth="1"/>
    <col min="4871" max="4871" width="15" style="56" customWidth="1"/>
    <col min="4872" max="4872" width="17.85546875" style="56" customWidth="1"/>
    <col min="4873" max="4873" width="17.28515625" style="56" customWidth="1"/>
    <col min="4874" max="4874" width="10.85546875" style="56" bestFit="1" customWidth="1"/>
    <col min="4875" max="5120" width="9.140625" style="56"/>
    <col min="5121" max="5121" width="18.28515625" style="56" customWidth="1"/>
    <col min="5122" max="5122" width="48.5703125" style="56" customWidth="1"/>
    <col min="5123" max="5123" width="14.7109375" style="56" customWidth="1"/>
    <col min="5124" max="5124" width="14.28515625" style="56" customWidth="1"/>
    <col min="5125" max="5125" width="30.7109375" style="56" customWidth="1"/>
    <col min="5126" max="5126" width="12.5703125" style="56" customWidth="1"/>
    <col min="5127" max="5127" width="15" style="56" customWidth="1"/>
    <col min="5128" max="5128" width="17.85546875" style="56" customWidth="1"/>
    <col min="5129" max="5129" width="17.28515625" style="56" customWidth="1"/>
    <col min="5130" max="5130" width="10.85546875" style="56" bestFit="1" customWidth="1"/>
    <col min="5131" max="5376" width="9.140625" style="56"/>
    <col min="5377" max="5377" width="18.28515625" style="56" customWidth="1"/>
    <col min="5378" max="5378" width="48.5703125" style="56" customWidth="1"/>
    <col min="5379" max="5379" width="14.7109375" style="56" customWidth="1"/>
    <col min="5380" max="5380" width="14.28515625" style="56" customWidth="1"/>
    <col min="5381" max="5381" width="30.7109375" style="56" customWidth="1"/>
    <col min="5382" max="5382" width="12.5703125" style="56" customWidth="1"/>
    <col min="5383" max="5383" width="15" style="56" customWidth="1"/>
    <col min="5384" max="5384" width="17.85546875" style="56" customWidth="1"/>
    <col min="5385" max="5385" width="17.28515625" style="56" customWidth="1"/>
    <col min="5386" max="5386" width="10.85546875" style="56" bestFit="1" customWidth="1"/>
    <col min="5387" max="5632" width="9.140625" style="56"/>
    <col min="5633" max="5633" width="18.28515625" style="56" customWidth="1"/>
    <col min="5634" max="5634" width="48.5703125" style="56" customWidth="1"/>
    <col min="5635" max="5635" width="14.7109375" style="56" customWidth="1"/>
    <col min="5636" max="5636" width="14.28515625" style="56" customWidth="1"/>
    <col min="5637" max="5637" width="30.7109375" style="56" customWidth="1"/>
    <col min="5638" max="5638" width="12.5703125" style="56" customWidth="1"/>
    <col min="5639" max="5639" width="15" style="56" customWidth="1"/>
    <col min="5640" max="5640" width="17.85546875" style="56" customWidth="1"/>
    <col min="5641" max="5641" width="17.28515625" style="56" customWidth="1"/>
    <col min="5642" max="5642" width="10.85546875" style="56" bestFit="1" customWidth="1"/>
    <col min="5643" max="5888" width="9.140625" style="56"/>
    <col min="5889" max="5889" width="18.28515625" style="56" customWidth="1"/>
    <col min="5890" max="5890" width="48.5703125" style="56" customWidth="1"/>
    <col min="5891" max="5891" width="14.7109375" style="56" customWidth="1"/>
    <col min="5892" max="5892" width="14.28515625" style="56" customWidth="1"/>
    <col min="5893" max="5893" width="30.7109375" style="56" customWidth="1"/>
    <col min="5894" max="5894" width="12.5703125" style="56" customWidth="1"/>
    <col min="5895" max="5895" width="15" style="56" customWidth="1"/>
    <col min="5896" max="5896" width="17.85546875" style="56" customWidth="1"/>
    <col min="5897" max="5897" width="17.28515625" style="56" customWidth="1"/>
    <col min="5898" max="5898" width="10.85546875" style="56" bestFit="1" customWidth="1"/>
    <col min="5899" max="6144" width="9.140625" style="56"/>
    <col min="6145" max="6145" width="18.28515625" style="56" customWidth="1"/>
    <col min="6146" max="6146" width="48.5703125" style="56" customWidth="1"/>
    <col min="6147" max="6147" width="14.7109375" style="56" customWidth="1"/>
    <col min="6148" max="6148" width="14.28515625" style="56" customWidth="1"/>
    <col min="6149" max="6149" width="30.7109375" style="56" customWidth="1"/>
    <col min="6150" max="6150" width="12.5703125" style="56" customWidth="1"/>
    <col min="6151" max="6151" width="15" style="56" customWidth="1"/>
    <col min="6152" max="6152" width="17.85546875" style="56" customWidth="1"/>
    <col min="6153" max="6153" width="17.28515625" style="56" customWidth="1"/>
    <col min="6154" max="6154" width="10.85546875" style="56" bestFit="1" customWidth="1"/>
    <col min="6155" max="6400" width="9.140625" style="56"/>
    <col min="6401" max="6401" width="18.28515625" style="56" customWidth="1"/>
    <col min="6402" max="6402" width="48.5703125" style="56" customWidth="1"/>
    <col min="6403" max="6403" width="14.7109375" style="56" customWidth="1"/>
    <col min="6404" max="6404" width="14.28515625" style="56" customWidth="1"/>
    <col min="6405" max="6405" width="30.7109375" style="56" customWidth="1"/>
    <col min="6406" max="6406" width="12.5703125" style="56" customWidth="1"/>
    <col min="6407" max="6407" width="15" style="56" customWidth="1"/>
    <col min="6408" max="6408" width="17.85546875" style="56" customWidth="1"/>
    <col min="6409" max="6409" width="17.28515625" style="56" customWidth="1"/>
    <col min="6410" max="6410" width="10.85546875" style="56" bestFit="1" customWidth="1"/>
    <col min="6411" max="6656" width="9.140625" style="56"/>
    <col min="6657" max="6657" width="18.28515625" style="56" customWidth="1"/>
    <col min="6658" max="6658" width="48.5703125" style="56" customWidth="1"/>
    <col min="6659" max="6659" width="14.7109375" style="56" customWidth="1"/>
    <col min="6660" max="6660" width="14.28515625" style="56" customWidth="1"/>
    <col min="6661" max="6661" width="30.7109375" style="56" customWidth="1"/>
    <col min="6662" max="6662" width="12.5703125" style="56" customWidth="1"/>
    <col min="6663" max="6663" width="15" style="56" customWidth="1"/>
    <col min="6664" max="6664" width="17.85546875" style="56" customWidth="1"/>
    <col min="6665" max="6665" width="17.28515625" style="56" customWidth="1"/>
    <col min="6666" max="6666" width="10.85546875" style="56" bestFit="1" customWidth="1"/>
    <col min="6667" max="6912" width="9.140625" style="56"/>
    <col min="6913" max="6913" width="18.28515625" style="56" customWidth="1"/>
    <col min="6914" max="6914" width="48.5703125" style="56" customWidth="1"/>
    <col min="6915" max="6915" width="14.7109375" style="56" customWidth="1"/>
    <col min="6916" max="6916" width="14.28515625" style="56" customWidth="1"/>
    <col min="6917" max="6917" width="30.7109375" style="56" customWidth="1"/>
    <col min="6918" max="6918" width="12.5703125" style="56" customWidth="1"/>
    <col min="6919" max="6919" width="15" style="56" customWidth="1"/>
    <col min="6920" max="6920" width="17.85546875" style="56" customWidth="1"/>
    <col min="6921" max="6921" width="17.28515625" style="56" customWidth="1"/>
    <col min="6922" max="6922" width="10.85546875" style="56" bestFit="1" customWidth="1"/>
    <col min="6923" max="7168" width="9.140625" style="56"/>
    <col min="7169" max="7169" width="18.28515625" style="56" customWidth="1"/>
    <col min="7170" max="7170" width="48.5703125" style="56" customWidth="1"/>
    <col min="7171" max="7171" width="14.7109375" style="56" customWidth="1"/>
    <col min="7172" max="7172" width="14.28515625" style="56" customWidth="1"/>
    <col min="7173" max="7173" width="30.7109375" style="56" customWidth="1"/>
    <col min="7174" max="7174" width="12.5703125" style="56" customWidth="1"/>
    <col min="7175" max="7175" width="15" style="56" customWidth="1"/>
    <col min="7176" max="7176" width="17.85546875" style="56" customWidth="1"/>
    <col min="7177" max="7177" width="17.28515625" style="56" customWidth="1"/>
    <col min="7178" max="7178" width="10.85546875" style="56" bestFit="1" customWidth="1"/>
    <col min="7179" max="7424" width="9.140625" style="56"/>
    <col min="7425" max="7425" width="18.28515625" style="56" customWidth="1"/>
    <col min="7426" max="7426" width="48.5703125" style="56" customWidth="1"/>
    <col min="7427" max="7427" width="14.7109375" style="56" customWidth="1"/>
    <col min="7428" max="7428" width="14.28515625" style="56" customWidth="1"/>
    <col min="7429" max="7429" width="30.7109375" style="56" customWidth="1"/>
    <col min="7430" max="7430" width="12.5703125" style="56" customWidth="1"/>
    <col min="7431" max="7431" width="15" style="56" customWidth="1"/>
    <col min="7432" max="7432" width="17.85546875" style="56" customWidth="1"/>
    <col min="7433" max="7433" width="17.28515625" style="56" customWidth="1"/>
    <col min="7434" max="7434" width="10.85546875" style="56" bestFit="1" customWidth="1"/>
    <col min="7435" max="7680" width="9.140625" style="56"/>
    <col min="7681" max="7681" width="18.28515625" style="56" customWidth="1"/>
    <col min="7682" max="7682" width="48.5703125" style="56" customWidth="1"/>
    <col min="7683" max="7683" width="14.7109375" style="56" customWidth="1"/>
    <col min="7684" max="7684" width="14.28515625" style="56" customWidth="1"/>
    <col min="7685" max="7685" width="30.7109375" style="56" customWidth="1"/>
    <col min="7686" max="7686" width="12.5703125" style="56" customWidth="1"/>
    <col min="7687" max="7687" width="15" style="56" customWidth="1"/>
    <col min="7688" max="7688" width="17.85546875" style="56" customWidth="1"/>
    <col min="7689" max="7689" width="17.28515625" style="56" customWidth="1"/>
    <col min="7690" max="7690" width="10.85546875" style="56" bestFit="1" customWidth="1"/>
    <col min="7691" max="7936" width="9.140625" style="56"/>
    <col min="7937" max="7937" width="18.28515625" style="56" customWidth="1"/>
    <col min="7938" max="7938" width="48.5703125" style="56" customWidth="1"/>
    <col min="7939" max="7939" width="14.7109375" style="56" customWidth="1"/>
    <col min="7940" max="7940" width="14.28515625" style="56" customWidth="1"/>
    <col min="7941" max="7941" width="30.7109375" style="56" customWidth="1"/>
    <col min="7942" max="7942" width="12.5703125" style="56" customWidth="1"/>
    <col min="7943" max="7943" width="15" style="56" customWidth="1"/>
    <col min="7944" max="7944" width="17.85546875" style="56" customWidth="1"/>
    <col min="7945" max="7945" width="17.28515625" style="56" customWidth="1"/>
    <col min="7946" max="7946" width="10.85546875" style="56" bestFit="1" customWidth="1"/>
    <col min="7947" max="8192" width="9.140625" style="56"/>
    <col min="8193" max="8193" width="18.28515625" style="56" customWidth="1"/>
    <col min="8194" max="8194" width="48.5703125" style="56" customWidth="1"/>
    <col min="8195" max="8195" width="14.7109375" style="56" customWidth="1"/>
    <col min="8196" max="8196" width="14.28515625" style="56" customWidth="1"/>
    <col min="8197" max="8197" width="30.7109375" style="56" customWidth="1"/>
    <col min="8198" max="8198" width="12.5703125" style="56" customWidth="1"/>
    <col min="8199" max="8199" width="15" style="56" customWidth="1"/>
    <col min="8200" max="8200" width="17.85546875" style="56" customWidth="1"/>
    <col min="8201" max="8201" width="17.28515625" style="56" customWidth="1"/>
    <col min="8202" max="8202" width="10.85546875" style="56" bestFit="1" customWidth="1"/>
    <col min="8203" max="8448" width="9.140625" style="56"/>
    <col min="8449" max="8449" width="18.28515625" style="56" customWidth="1"/>
    <col min="8450" max="8450" width="48.5703125" style="56" customWidth="1"/>
    <col min="8451" max="8451" width="14.7109375" style="56" customWidth="1"/>
    <col min="8452" max="8452" width="14.28515625" style="56" customWidth="1"/>
    <col min="8453" max="8453" width="30.7109375" style="56" customWidth="1"/>
    <col min="8454" max="8454" width="12.5703125" style="56" customWidth="1"/>
    <col min="8455" max="8455" width="15" style="56" customWidth="1"/>
    <col min="8456" max="8456" width="17.85546875" style="56" customWidth="1"/>
    <col min="8457" max="8457" width="17.28515625" style="56" customWidth="1"/>
    <col min="8458" max="8458" width="10.85546875" style="56" bestFit="1" customWidth="1"/>
    <col min="8459" max="8704" width="9.140625" style="56"/>
    <col min="8705" max="8705" width="18.28515625" style="56" customWidth="1"/>
    <col min="8706" max="8706" width="48.5703125" style="56" customWidth="1"/>
    <col min="8707" max="8707" width="14.7109375" style="56" customWidth="1"/>
    <col min="8708" max="8708" width="14.28515625" style="56" customWidth="1"/>
    <col min="8709" max="8709" width="30.7109375" style="56" customWidth="1"/>
    <col min="8710" max="8710" width="12.5703125" style="56" customWidth="1"/>
    <col min="8711" max="8711" width="15" style="56" customWidth="1"/>
    <col min="8712" max="8712" width="17.85546875" style="56" customWidth="1"/>
    <col min="8713" max="8713" width="17.28515625" style="56" customWidth="1"/>
    <col min="8714" max="8714" width="10.85546875" style="56" bestFit="1" customWidth="1"/>
    <col min="8715" max="8960" width="9.140625" style="56"/>
    <col min="8961" max="8961" width="18.28515625" style="56" customWidth="1"/>
    <col min="8962" max="8962" width="48.5703125" style="56" customWidth="1"/>
    <col min="8963" max="8963" width="14.7109375" style="56" customWidth="1"/>
    <col min="8964" max="8964" width="14.28515625" style="56" customWidth="1"/>
    <col min="8965" max="8965" width="30.7109375" style="56" customWidth="1"/>
    <col min="8966" max="8966" width="12.5703125" style="56" customWidth="1"/>
    <col min="8967" max="8967" width="15" style="56" customWidth="1"/>
    <col min="8968" max="8968" width="17.85546875" style="56" customWidth="1"/>
    <col min="8969" max="8969" width="17.28515625" style="56" customWidth="1"/>
    <col min="8970" max="8970" width="10.85546875" style="56" bestFit="1" customWidth="1"/>
    <col min="8971" max="9216" width="9.140625" style="56"/>
    <col min="9217" max="9217" width="18.28515625" style="56" customWidth="1"/>
    <col min="9218" max="9218" width="48.5703125" style="56" customWidth="1"/>
    <col min="9219" max="9219" width="14.7109375" style="56" customWidth="1"/>
    <col min="9220" max="9220" width="14.28515625" style="56" customWidth="1"/>
    <col min="9221" max="9221" width="30.7109375" style="56" customWidth="1"/>
    <col min="9222" max="9222" width="12.5703125" style="56" customWidth="1"/>
    <col min="9223" max="9223" width="15" style="56" customWidth="1"/>
    <col min="9224" max="9224" width="17.85546875" style="56" customWidth="1"/>
    <col min="9225" max="9225" width="17.28515625" style="56" customWidth="1"/>
    <col min="9226" max="9226" width="10.85546875" style="56" bestFit="1" customWidth="1"/>
    <col min="9227" max="9472" width="9.140625" style="56"/>
    <col min="9473" max="9473" width="18.28515625" style="56" customWidth="1"/>
    <col min="9474" max="9474" width="48.5703125" style="56" customWidth="1"/>
    <col min="9475" max="9475" width="14.7109375" style="56" customWidth="1"/>
    <col min="9476" max="9476" width="14.28515625" style="56" customWidth="1"/>
    <col min="9477" max="9477" width="30.7109375" style="56" customWidth="1"/>
    <col min="9478" max="9478" width="12.5703125" style="56" customWidth="1"/>
    <col min="9479" max="9479" width="15" style="56" customWidth="1"/>
    <col min="9480" max="9480" width="17.85546875" style="56" customWidth="1"/>
    <col min="9481" max="9481" width="17.28515625" style="56" customWidth="1"/>
    <col min="9482" max="9482" width="10.85546875" style="56" bestFit="1" customWidth="1"/>
    <col min="9483" max="9728" width="9.140625" style="56"/>
    <col min="9729" max="9729" width="18.28515625" style="56" customWidth="1"/>
    <col min="9730" max="9730" width="48.5703125" style="56" customWidth="1"/>
    <col min="9731" max="9731" width="14.7109375" style="56" customWidth="1"/>
    <col min="9732" max="9732" width="14.28515625" style="56" customWidth="1"/>
    <col min="9733" max="9733" width="30.7109375" style="56" customWidth="1"/>
    <col min="9734" max="9734" width="12.5703125" style="56" customWidth="1"/>
    <col min="9735" max="9735" width="15" style="56" customWidth="1"/>
    <col min="9736" max="9736" width="17.85546875" style="56" customWidth="1"/>
    <col min="9737" max="9737" width="17.28515625" style="56" customWidth="1"/>
    <col min="9738" max="9738" width="10.85546875" style="56" bestFit="1" customWidth="1"/>
    <col min="9739" max="9984" width="9.140625" style="56"/>
    <col min="9985" max="9985" width="18.28515625" style="56" customWidth="1"/>
    <col min="9986" max="9986" width="48.5703125" style="56" customWidth="1"/>
    <col min="9987" max="9987" width="14.7109375" style="56" customWidth="1"/>
    <col min="9988" max="9988" width="14.28515625" style="56" customWidth="1"/>
    <col min="9989" max="9989" width="30.7109375" style="56" customWidth="1"/>
    <col min="9990" max="9990" width="12.5703125" style="56" customWidth="1"/>
    <col min="9991" max="9991" width="15" style="56" customWidth="1"/>
    <col min="9992" max="9992" width="17.85546875" style="56" customWidth="1"/>
    <col min="9993" max="9993" width="17.28515625" style="56" customWidth="1"/>
    <col min="9994" max="9994" width="10.85546875" style="56" bestFit="1" customWidth="1"/>
    <col min="9995" max="10240" width="9.140625" style="56"/>
    <col min="10241" max="10241" width="18.28515625" style="56" customWidth="1"/>
    <col min="10242" max="10242" width="48.5703125" style="56" customWidth="1"/>
    <col min="10243" max="10243" width="14.7109375" style="56" customWidth="1"/>
    <col min="10244" max="10244" width="14.28515625" style="56" customWidth="1"/>
    <col min="10245" max="10245" width="30.7109375" style="56" customWidth="1"/>
    <col min="10246" max="10246" width="12.5703125" style="56" customWidth="1"/>
    <col min="10247" max="10247" width="15" style="56" customWidth="1"/>
    <col min="10248" max="10248" width="17.85546875" style="56" customWidth="1"/>
    <col min="10249" max="10249" width="17.28515625" style="56" customWidth="1"/>
    <col min="10250" max="10250" width="10.85546875" style="56" bestFit="1" customWidth="1"/>
    <col min="10251" max="10496" width="9.140625" style="56"/>
    <col min="10497" max="10497" width="18.28515625" style="56" customWidth="1"/>
    <col min="10498" max="10498" width="48.5703125" style="56" customWidth="1"/>
    <col min="10499" max="10499" width="14.7109375" style="56" customWidth="1"/>
    <col min="10500" max="10500" width="14.28515625" style="56" customWidth="1"/>
    <col min="10501" max="10501" width="30.7109375" style="56" customWidth="1"/>
    <col min="10502" max="10502" width="12.5703125" style="56" customWidth="1"/>
    <col min="10503" max="10503" width="15" style="56" customWidth="1"/>
    <col min="10504" max="10504" width="17.85546875" style="56" customWidth="1"/>
    <col min="10505" max="10505" width="17.28515625" style="56" customWidth="1"/>
    <col min="10506" max="10506" width="10.85546875" style="56" bestFit="1" customWidth="1"/>
    <col min="10507" max="10752" width="9.140625" style="56"/>
    <col min="10753" max="10753" width="18.28515625" style="56" customWidth="1"/>
    <col min="10754" max="10754" width="48.5703125" style="56" customWidth="1"/>
    <col min="10755" max="10755" width="14.7109375" style="56" customWidth="1"/>
    <col min="10756" max="10756" width="14.28515625" style="56" customWidth="1"/>
    <col min="10757" max="10757" width="30.7109375" style="56" customWidth="1"/>
    <col min="10758" max="10758" width="12.5703125" style="56" customWidth="1"/>
    <col min="10759" max="10759" width="15" style="56" customWidth="1"/>
    <col min="10760" max="10760" width="17.85546875" style="56" customWidth="1"/>
    <col min="10761" max="10761" width="17.28515625" style="56" customWidth="1"/>
    <col min="10762" max="10762" width="10.85546875" style="56" bestFit="1" customWidth="1"/>
    <col min="10763" max="11008" width="9.140625" style="56"/>
    <col min="11009" max="11009" width="18.28515625" style="56" customWidth="1"/>
    <col min="11010" max="11010" width="48.5703125" style="56" customWidth="1"/>
    <col min="11011" max="11011" width="14.7109375" style="56" customWidth="1"/>
    <col min="11012" max="11012" width="14.28515625" style="56" customWidth="1"/>
    <col min="11013" max="11013" width="30.7109375" style="56" customWidth="1"/>
    <col min="11014" max="11014" width="12.5703125" style="56" customWidth="1"/>
    <col min="11015" max="11015" width="15" style="56" customWidth="1"/>
    <col min="11016" max="11016" width="17.85546875" style="56" customWidth="1"/>
    <col min="11017" max="11017" width="17.28515625" style="56" customWidth="1"/>
    <col min="11018" max="11018" width="10.85546875" style="56" bestFit="1" customWidth="1"/>
    <col min="11019" max="11264" width="9.140625" style="56"/>
    <col min="11265" max="11265" width="18.28515625" style="56" customWidth="1"/>
    <col min="11266" max="11266" width="48.5703125" style="56" customWidth="1"/>
    <col min="11267" max="11267" width="14.7109375" style="56" customWidth="1"/>
    <col min="11268" max="11268" width="14.28515625" style="56" customWidth="1"/>
    <col min="11269" max="11269" width="30.7109375" style="56" customWidth="1"/>
    <col min="11270" max="11270" width="12.5703125" style="56" customWidth="1"/>
    <col min="11271" max="11271" width="15" style="56" customWidth="1"/>
    <col min="11272" max="11272" width="17.85546875" style="56" customWidth="1"/>
    <col min="11273" max="11273" width="17.28515625" style="56" customWidth="1"/>
    <col min="11274" max="11274" width="10.85546875" style="56" bestFit="1" customWidth="1"/>
    <col min="11275" max="11520" width="9.140625" style="56"/>
    <col min="11521" max="11521" width="18.28515625" style="56" customWidth="1"/>
    <col min="11522" max="11522" width="48.5703125" style="56" customWidth="1"/>
    <col min="11523" max="11523" width="14.7109375" style="56" customWidth="1"/>
    <col min="11524" max="11524" width="14.28515625" style="56" customWidth="1"/>
    <col min="11525" max="11525" width="30.7109375" style="56" customWidth="1"/>
    <col min="11526" max="11526" width="12.5703125" style="56" customWidth="1"/>
    <col min="11527" max="11527" width="15" style="56" customWidth="1"/>
    <col min="11528" max="11528" width="17.85546875" style="56" customWidth="1"/>
    <col min="11529" max="11529" width="17.28515625" style="56" customWidth="1"/>
    <col min="11530" max="11530" width="10.85546875" style="56" bestFit="1" customWidth="1"/>
    <col min="11531" max="11776" width="9.140625" style="56"/>
    <col min="11777" max="11777" width="18.28515625" style="56" customWidth="1"/>
    <col min="11778" max="11778" width="48.5703125" style="56" customWidth="1"/>
    <col min="11779" max="11779" width="14.7109375" style="56" customWidth="1"/>
    <col min="11780" max="11780" width="14.28515625" style="56" customWidth="1"/>
    <col min="11781" max="11781" width="30.7109375" style="56" customWidth="1"/>
    <col min="11782" max="11782" width="12.5703125" style="56" customWidth="1"/>
    <col min="11783" max="11783" width="15" style="56" customWidth="1"/>
    <col min="11784" max="11784" width="17.85546875" style="56" customWidth="1"/>
    <col min="11785" max="11785" width="17.28515625" style="56" customWidth="1"/>
    <col min="11786" max="11786" width="10.85546875" style="56" bestFit="1" customWidth="1"/>
    <col min="11787" max="12032" width="9.140625" style="56"/>
    <col min="12033" max="12033" width="18.28515625" style="56" customWidth="1"/>
    <col min="12034" max="12034" width="48.5703125" style="56" customWidth="1"/>
    <col min="12035" max="12035" width="14.7109375" style="56" customWidth="1"/>
    <col min="12036" max="12036" width="14.28515625" style="56" customWidth="1"/>
    <col min="12037" max="12037" width="30.7109375" style="56" customWidth="1"/>
    <col min="12038" max="12038" width="12.5703125" style="56" customWidth="1"/>
    <col min="12039" max="12039" width="15" style="56" customWidth="1"/>
    <col min="12040" max="12040" width="17.85546875" style="56" customWidth="1"/>
    <col min="12041" max="12041" width="17.28515625" style="56" customWidth="1"/>
    <col min="12042" max="12042" width="10.85546875" style="56" bestFit="1" customWidth="1"/>
    <col min="12043" max="12288" width="9.140625" style="56"/>
    <col min="12289" max="12289" width="18.28515625" style="56" customWidth="1"/>
    <col min="12290" max="12290" width="48.5703125" style="56" customWidth="1"/>
    <col min="12291" max="12291" width="14.7109375" style="56" customWidth="1"/>
    <col min="12292" max="12292" width="14.28515625" style="56" customWidth="1"/>
    <col min="12293" max="12293" width="30.7109375" style="56" customWidth="1"/>
    <col min="12294" max="12294" width="12.5703125" style="56" customWidth="1"/>
    <col min="12295" max="12295" width="15" style="56" customWidth="1"/>
    <col min="12296" max="12296" width="17.85546875" style="56" customWidth="1"/>
    <col min="12297" max="12297" width="17.28515625" style="56" customWidth="1"/>
    <col min="12298" max="12298" width="10.85546875" style="56" bestFit="1" customWidth="1"/>
    <col min="12299" max="12544" width="9.140625" style="56"/>
    <col min="12545" max="12545" width="18.28515625" style="56" customWidth="1"/>
    <col min="12546" max="12546" width="48.5703125" style="56" customWidth="1"/>
    <col min="12547" max="12547" width="14.7109375" style="56" customWidth="1"/>
    <col min="12548" max="12548" width="14.28515625" style="56" customWidth="1"/>
    <col min="12549" max="12549" width="30.7109375" style="56" customWidth="1"/>
    <col min="12550" max="12550" width="12.5703125" style="56" customWidth="1"/>
    <col min="12551" max="12551" width="15" style="56" customWidth="1"/>
    <col min="12552" max="12552" width="17.85546875" style="56" customWidth="1"/>
    <col min="12553" max="12553" width="17.28515625" style="56" customWidth="1"/>
    <col min="12554" max="12554" width="10.85546875" style="56" bestFit="1" customWidth="1"/>
    <col min="12555" max="12800" width="9.140625" style="56"/>
    <col min="12801" max="12801" width="18.28515625" style="56" customWidth="1"/>
    <col min="12802" max="12802" width="48.5703125" style="56" customWidth="1"/>
    <col min="12803" max="12803" width="14.7109375" style="56" customWidth="1"/>
    <col min="12804" max="12804" width="14.28515625" style="56" customWidth="1"/>
    <col min="12805" max="12805" width="30.7109375" style="56" customWidth="1"/>
    <col min="12806" max="12806" width="12.5703125" style="56" customWidth="1"/>
    <col min="12807" max="12807" width="15" style="56" customWidth="1"/>
    <col min="12808" max="12808" width="17.85546875" style="56" customWidth="1"/>
    <col min="12809" max="12809" width="17.28515625" style="56" customWidth="1"/>
    <col min="12810" max="12810" width="10.85546875" style="56" bestFit="1" customWidth="1"/>
    <col min="12811" max="13056" width="9.140625" style="56"/>
    <col min="13057" max="13057" width="18.28515625" style="56" customWidth="1"/>
    <col min="13058" max="13058" width="48.5703125" style="56" customWidth="1"/>
    <col min="13059" max="13059" width="14.7109375" style="56" customWidth="1"/>
    <col min="13060" max="13060" width="14.28515625" style="56" customWidth="1"/>
    <col min="13061" max="13061" width="30.7109375" style="56" customWidth="1"/>
    <col min="13062" max="13062" width="12.5703125" style="56" customWidth="1"/>
    <col min="13063" max="13063" width="15" style="56" customWidth="1"/>
    <col min="13064" max="13064" width="17.85546875" style="56" customWidth="1"/>
    <col min="13065" max="13065" width="17.28515625" style="56" customWidth="1"/>
    <col min="13066" max="13066" width="10.85546875" style="56" bestFit="1" customWidth="1"/>
    <col min="13067" max="13312" width="9.140625" style="56"/>
    <col min="13313" max="13313" width="18.28515625" style="56" customWidth="1"/>
    <col min="13314" max="13314" width="48.5703125" style="56" customWidth="1"/>
    <col min="13315" max="13315" width="14.7109375" style="56" customWidth="1"/>
    <col min="13316" max="13316" width="14.28515625" style="56" customWidth="1"/>
    <col min="13317" max="13317" width="30.7109375" style="56" customWidth="1"/>
    <col min="13318" max="13318" width="12.5703125" style="56" customWidth="1"/>
    <col min="13319" max="13319" width="15" style="56" customWidth="1"/>
    <col min="13320" max="13320" width="17.85546875" style="56" customWidth="1"/>
    <col min="13321" max="13321" width="17.28515625" style="56" customWidth="1"/>
    <col min="13322" max="13322" width="10.85546875" style="56" bestFit="1" customWidth="1"/>
    <col min="13323" max="13568" width="9.140625" style="56"/>
    <col min="13569" max="13569" width="18.28515625" style="56" customWidth="1"/>
    <col min="13570" max="13570" width="48.5703125" style="56" customWidth="1"/>
    <col min="13571" max="13571" width="14.7109375" style="56" customWidth="1"/>
    <col min="13572" max="13572" width="14.28515625" style="56" customWidth="1"/>
    <col min="13573" max="13573" width="30.7109375" style="56" customWidth="1"/>
    <col min="13574" max="13574" width="12.5703125" style="56" customWidth="1"/>
    <col min="13575" max="13575" width="15" style="56" customWidth="1"/>
    <col min="13576" max="13576" width="17.85546875" style="56" customWidth="1"/>
    <col min="13577" max="13577" width="17.28515625" style="56" customWidth="1"/>
    <col min="13578" max="13578" width="10.85546875" style="56" bestFit="1" customWidth="1"/>
    <col min="13579" max="13824" width="9.140625" style="56"/>
    <col min="13825" max="13825" width="18.28515625" style="56" customWidth="1"/>
    <col min="13826" max="13826" width="48.5703125" style="56" customWidth="1"/>
    <col min="13827" max="13827" width="14.7109375" style="56" customWidth="1"/>
    <col min="13828" max="13828" width="14.28515625" style="56" customWidth="1"/>
    <col min="13829" max="13829" width="30.7109375" style="56" customWidth="1"/>
    <col min="13830" max="13830" width="12.5703125" style="56" customWidth="1"/>
    <col min="13831" max="13831" width="15" style="56" customWidth="1"/>
    <col min="13832" max="13832" width="17.85546875" style="56" customWidth="1"/>
    <col min="13833" max="13833" width="17.28515625" style="56" customWidth="1"/>
    <col min="13834" max="13834" width="10.85546875" style="56" bestFit="1" customWidth="1"/>
    <col min="13835" max="14080" width="9.140625" style="56"/>
    <col min="14081" max="14081" width="18.28515625" style="56" customWidth="1"/>
    <col min="14082" max="14082" width="48.5703125" style="56" customWidth="1"/>
    <col min="14083" max="14083" width="14.7109375" style="56" customWidth="1"/>
    <col min="14084" max="14084" width="14.28515625" style="56" customWidth="1"/>
    <col min="14085" max="14085" width="30.7109375" style="56" customWidth="1"/>
    <col min="14086" max="14086" width="12.5703125" style="56" customWidth="1"/>
    <col min="14087" max="14087" width="15" style="56" customWidth="1"/>
    <col min="14088" max="14088" width="17.85546875" style="56" customWidth="1"/>
    <col min="14089" max="14089" width="17.28515625" style="56" customWidth="1"/>
    <col min="14090" max="14090" width="10.85546875" style="56" bestFit="1" customWidth="1"/>
    <col min="14091" max="14336" width="9.140625" style="56"/>
    <col min="14337" max="14337" width="18.28515625" style="56" customWidth="1"/>
    <col min="14338" max="14338" width="48.5703125" style="56" customWidth="1"/>
    <col min="14339" max="14339" width="14.7109375" style="56" customWidth="1"/>
    <col min="14340" max="14340" width="14.28515625" style="56" customWidth="1"/>
    <col min="14341" max="14341" width="30.7109375" style="56" customWidth="1"/>
    <col min="14342" max="14342" width="12.5703125" style="56" customWidth="1"/>
    <col min="14343" max="14343" width="15" style="56" customWidth="1"/>
    <col min="14344" max="14344" width="17.85546875" style="56" customWidth="1"/>
    <col min="14345" max="14345" width="17.28515625" style="56" customWidth="1"/>
    <col min="14346" max="14346" width="10.85546875" style="56" bestFit="1" customWidth="1"/>
    <col min="14347" max="14592" width="9.140625" style="56"/>
    <col min="14593" max="14593" width="18.28515625" style="56" customWidth="1"/>
    <col min="14594" max="14594" width="48.5703125" style="56" customWidth="1"/>
    <col min="14595" max="14595" width="14.7109375" style="56" customWidth="1"/>
    <col min="14596" max="14596" width="14.28515625" style="56" customWidth="1"/>
    <col min="14597" max="14597" width="30.7109375" style="56" customWidth="1"/>
    <col min="14598" max="14598" width="12.5703125" style="56" customWidth="1"/>
    <col min="14599" max="14599" width="15" style="56" customWidth="1"/>
    <col min="14600" max="14600" width="17.85546875" style="56" customWidth="1"/>
    <col min="14601" max="14601" width="17.28515625" style="56" customWidth="1"/>
    <col min="14602" max="14602" width="10.85546875" style="56" bestFit="1" customWidth="1"/>
    <col min="14603" max="14848" width="9.140625" style="56"/>
    <col min="14849" max="14849" width="18.28515625" style="56" customWidth="1"/>
    <col min="14850" max="14850" width="48.5703125" style="56" customWidth="1"/>
    <col min="14851" max="14851" width="14.7109375" style="56" customWidth="1"/>
    <col min="14852" max="14852" width="14.28515625" style="56" customWidth="1"/>
    <col min="14853" max="14853" width="30.7109375" style="56" customWidth="1"/>
    <col min="14854" max="14854" width="12.5703125" style="56" customWidth="1"/>
    <col min="14855" max="14855" width="15" style="56" customWidth="1"/>
    <col min="14856" max="14856" width="17.85546875" style="56" customWidth="1"/>
    <col min="14857" max="14857" width="17.28515625" style="56" customWidth="1"/>
    <col min="14858" max="14858" width="10.85546875" style="56" bestFit="1" customWidth="1"/>
    <col min="14859" max="15104" width="9.140625" style="56"/>
    <col min="15105" max="15105" width="18.28515625" style="56" customWidth="1"/>
    <col min="15106" max="15106" width="48.5703125" style="56" customWidth="1"/>
    <col min="15107" max="15107" width="14.7109375" style="56" customWidth="1"/>
    <col min="15108" max="15108" width="14.28515625" style="56" customWidth="1"/>
    <col min="15109" max="15109" width="30.7109375" style="56" customWidth="1"/>
    <col min="15110" max="15110" width="12.5703125" style="56" customWidth="1"/>
    <col min="15111" max="15111" width="15" style="56" customWidth="1"/>
    <col min="15112" max="15112" width="17.85546875" style="56" customWidth="1"/>
    <col min="15113" max="15113" width="17.28515625" style="56" customWidth="1"/>
    <col min="15114" max="15114" width="10.85546875" style="56" bestFit="1" customWidth="1"/>
    <col min="15115" max="15360" width="9.140625" style="56"/>
    <col min="15361" max="15361" width="18.28515625" style="56" customWidth="1"/>
    <col min="15362" max="15362" width="48.5703125" style="56" customWidth="1"/>
    <col min="15363" max="15363" width="14.7109375" style="56" customWidth="1"/>
    <col min="15364" max="15364" width="14.28515625" style="56" customWidth="1"/>
    <col min="15365" max="15365" width="30.7109375" style="56" customWidth="1"/>
    <col min="15366" max="15366" width="12.5703125" style="56" customWidth="1"/>
    <col min="15367" max="15367" width="15" style="56" customWidth="1"/>
    <col min="15368" max="15368" width="17.85546875" style="56" customWidth="1"/>
    <col min="15369" max="15369" width="17.28515625" style="56" customWidth="1"/>
    <col min="15370" max="15370" width="10.85546875" style="56" bestFit="1" customWidth="1"/>
    <col min="15371" max="15616" width="9.140625" style="56"/>
    <col min="15617" max="15617" width="18.28515625" style="56" customWidth="1"/>
    <col min="15618" max="15618" width="48.5703125" style="56" customWidth="1"/>
    <col min="15619" max="15619" width="14.7109375" style="56" customWidth="1"/>
    <col min="15620" max="15620" width="14.28515625" style="56" customWidth="1"/>
    <col min="15621" max="15621" width="30.7109375" style="56" customWidth="1"/>
    <col min="15622" max="15622" width="12.5703125" style="56" customWidth="1"/>
    <col min="15623" max="15623" width="15" style="56" customWidth="1"/>
    <col min="15624" max="15624" width="17.85546875" style="56" customWidth="1"/>
    <col min="15625" max="15625" width="17.28515625" style="56" customWidth="1"/>
    <col min="15626" max="15626" width="10.85546875" style="56" bestFit="1" customWidth="1"/>
    <col min="15627" max="15872" width="9.140625" style="56"/>
    <col min="15873" max="15873" width="18.28515625" style="56" customWidth="1"/>
    <col min="15874" max="15874" width="48.5703125" style="56" customWidth="1"/>
    <col min="15875" max="15875" width="14.7109375" style="56" customWidth="1"/>
    <col min="15876" max="15876" width="14.28515625" style="56" customWidth="1"/>
    <col min="15877" max="15877" width="30.7109375" style="56" customWidth="1"/>
    <col min="15878" max="15878" width="12.5703125" style="56" customWidth="1"/>
    <col min="15879" max="15879" width="15" style="56" customWidth="1"/>
    <col min="15880" max="15880" width="17.85546875" style="56" customWidth="1"/>
    <col min="15881" max="15881" width="17.28515625" style="56" customWidth="1"/>
    <col min="15882" max="15882" width="10.85546875" style="56" bestFit="1" customWidth="1"/>
    <col min="15883" max="16128" width="9.140625" style="56"/>
    <col min="16129" max="16129" width="18.28515625" style="56" customWidth="1"/>
    <col min="16130" max="16130" width="48.5703125" style="56" customWidth="1"/>
    <col min="16131" max="16131" width="14.7109375" style="56" customWidth="1"/>
    <col min="16132" max="16132" width="14.28515625" style="56" customWidth="1"/>
    <col min="16133" max="16133" width="30.7109375" style="56" customWidth="1"/>
    <col min="16134" max="16134" width="12.5703125" style="56" customWidth="1"/>
    <col min="16135" max="16135" width="15" style="56" customWidth="1"/>
    <col min="16136" max="16136" width="17.85546875" style="56" customWidth="1"/>
    <col min="16137" max="16137" width="17.28515625" style="56" customWidth="1"/>
    <col min="16138" max="16138" width="10.85546875" style="56" bestFit="1" customWidth="1"/>
    <col min="16139" max="16384" width="9.140625" style="56"/>
  </cols>
  <sheetData>
    <row r="1" spans="1:9" ht="33.75" customHeight="1" x14ac:dyDescent="0.2">
      <c r="A1" s="511" t="s">
        <v>791</v>
      </c>
      <c r="B1" s="511"/>
      <c r="C1" s="511"/>
      <c r="D1" s="511"/>
      <c r="E1" s="511"/>
      <c r="F1" s="511"/>
      <c r="G1" s="511"/>
      <c r="H1" s="511"/>
      <c r="I1" s="511"/>
    </row>
    <row r="2" spans="1:9" ht="57" customHeight="1" x14ac:dyDescent="0.2">
      <c r="A2" s="16" t="s">
        <v>165</v>
      </c>
      <c r="B2" s="17" t="s">
        <v>0</v>
      </c>
      <c r="C2" s="18" t="s">
        <v>1</v>
      </c>
      <c r="D2" s="18" t="s">
        <v>166</v>
      </c>
      <c r="E2" s="18" t="s">
        <v>167</v>
      </c>
      <c r="F2" s="18" t="s">
        <v>168</v>
      </c>
      <c r="G2" s="18" t="s">
        <v>169</v>
      </c>
      <c r="H2" s="19" t="s">
        <v>170</v>
      </c>
      <c r="I2" s="19" t="s">
        <v>171</v>
      </c>
    </row>
    <row r="3" spans="1:9" s="479" customFormat="1" ht="25.9" customHeight="1" x14ac:dyDescent="0.2">
      <c r="A3" s="266" t="s">
        <v>792</v>
      </c>
      <c r="B3" s="10" t="s">
        <v>793</v>
      </c>
      <c r="C3" s="478">
        <v>2410000</v>
      </c>
      <c r="D3" s="478">
        <v>150000</v>
      </c>
      <c r="E3" s="24" t="s">
        <v>174</v>
      </c>
      <c r="F3" s="342"/>
      <c r="G3" s="342">
        <v>150000</v>
      </c>
      <c r="H3" s="31" t="s">
        <v>794</v>
      </c>
      <c r="I3" s="32">
        <v>42582</v>
      </c>
    </row>
    <row r="4" spans="1:9" s="487" customFormat="1" ht="25.9" customHeight="1" x14ac:dyDescent="0.2">
      <c r="A4" s="480" t="s">
        <v>795</v>
      </c>
      <c r="B4" s="481" t="s">
        <v>796</v>
      </c>
      <c r="C4" s="482">
        <v>216451</v>
      </c>
      <c r="D4" s="482">
        <v>75000</v>
      </c>
      <c r="E4" s="483" t="s">
        <v>174</v>
      </c>
      <c r="F4" s="484"/>
      <c r="G4" s="484">
        <v>75000</v>
      </c>
      <c r="H4" s="485" t="s">
        <v>794</v>
      </c>
      <c r="I4" s="486">
        <v>42735</v>
      </c>
    </row>
    <row r="5" spans="1:9" s="487" customFormat="1" ht="25.9" customHeight="1" x14ac:dyDescent="0.2">
      <c r="A5" s="480" t="s">
        <v>797</v>
      </c>
      <c r="B5" s="481" t="s">
        <v>798</v>
      </c>
      <c r="C5" s="482">
        <v>18728</v>
      </c>
      <c r="D5" s="482">
        <v>15919</v>
      </c>
      <c r="E5" s="483" t="s">
        <v>174</v>
      </c>
      <c r="F5" s="484"/>
      <c r="G5" s="484">
        <v>15919</v>
      </c>
      <c r="H5" s="485" t="s">
        <v>794</v>
      </c>
      <c r="I5" s="486">
        <v>42551</v>
      </c>
    </row>
    <row r="6" spans="1:9" s="487" customFormat="1" ht="25.9" customHeight="1" x14ac:dyDescent="0.2">
      <c r="A6" s="480" t="s">
        <v>799</v>
      </c>
      <c r="B6" s="481" t="s">
        <v>173</v>
      </c>
      <c r="C6" s="482">
        <v>322000</v>
      </c>
      <c r="D6" s="482">
        <v>150000</v>
      </c>
      <c r="E6" s="483" t="s">
        <v>174</v>
      </c>
      <c r="F6" s="484">
        <v>57450</v>
      </c>
      <c r="G6" s="484">
        <v>92550</v>
      </c>
      <c r="H6" s="485" t="s">
        <v>794</v>
      </c>
      <c r="I6" s="486">
        <v>42735</v>
      </c>
    </row>
    <row r="7" spans="1:9" s="487" customFormat="1" ht="25.9" customHeight="1" x14ac:dyDescent="0.2">
      <c r="A7" s="480" t="s">
        <v>800</v>
      </c>
      <c r="B7" s="481" t="s">
        <v>801</v>
      </c>
      <c r="C7" s="482">
        <v>94500</v>
      </c>
      <c r="D7" s="482">
        <v>80325</v>
      </c>
      <c r="E7" s="483" t="s">
        <v>174</v>
      </c>
      <c r="F7" s="484"/>
      <c r="G7" s="484">
        <v>80325</v>
      </c>
      <c r="H7" s="485" t="s">
        <v>802</v>
      </c>
      <c r="I7" s="486"/>
    </row>
    <row r="8" spans="1:9" s="487" customFormat="1" ht="25.9" customHeight="1" x14ac:dyDescent="0.2">
      <c r="A8" s="480" t="s">
        <v>803</v>
      </c>
      <c r="B8" s="481" t="s">
        <v>804</v>
      </c>
      <c r="C8" s="482">
        <v>20000</v>
      </c>
      <c r="D8" s="482">
        <v>14000</v>
      </c>
      <c r="E8" s="483" t="s">
        <v>174</v>
      </c>
      <c r="F8" s="484"/>
      <c r="G8" s="484">
        <v>14000</v>
      </c>
      <c r="H8" s="485" t="s">
        <v>805</v>
      </c>
      <c r="I8" s="486">
        <v>42572</v>
      </c>
    </row>
    <row r="9" spans="1:9" s="487" customFormat="1" ht="25.9" customHeight="1" x14ac:dyDescent="0.2">
      <c r="A9" s="480" t="s">
        <v>556</v>
      </c>
      <c r="B9" s="481" t="s">
        <v>190</v>
      </c>
      <c r="C9" s="482">
        <v>26836</v>
      </c>
      <c r="D9" s="482">
        <v>16101</v>
      </c>
      <c r="E9" s="483" t="s">
        <v>174</v>
      </c>
      <c r="F9" s="484"/>
      <c r="G9" s="484">
        <v>16101</v>
      </c>
      <c r="H9" s="485" t="s">
        <v>805</v>
      </c>
      <c r="I9" s="486">
        <v>42490</v>
      </c>
    </row>
    <row r="10" spans="1:9" s="487" customFormat="1" ht="25.9" customHeight="1" x14ac:dyDescent="0.2">
      <c r="A10" s="480" t="s">
        <v>806</v>
      </c>
      <c r="B10" s="481" t="s">
        <v>807</v>
      </c>
      <c r="C10" s="482">
        <v>182200</v>
      </c>
      <c r="D10" s="482">
        <v>150000</v>
      </c>
      <c r="E10" s="483" t="s">
        <v>174</v>
      </c>
      <c r="F10" s="484"/>
      <c r="G10" s="484">
        <v>150000</v>
      </c>
      <c r="H10" s="485" t="s">
        <v>808</v>
      </c>
      <c r="I10" s="486">
        <v>42735</v>
      </c>
    </row>
    <row r="11" spans="1:9" s="479" customFormat="1" ht="25.9" customHeight="1" x14ac:dyDescent="0.2">
      <c r="A11" s="266" t="s">
        <v>809</v>
      </c>
      <c r="B11" s="10" t="s">
        <v>810</v>
      </c>
      <c r="C11" s="478">
        <v>76650</v>
      </c>
      <c r="D11" s="478">
        <v>45990</v>
      </c>
      <c r="E11" s="24" t="s">
        <v>174</v>
      </c>
      <c r="F11" s="342"/>
      <c r="G11" s="342">
        <v>45990</v>
      </c>
      <c r="H11" s="31" t="s">
        <v>808</v>
      </c>
      <c r="I11" s="32">
        <v>42643</v>
      </c>
    </row>
    <row r="12" spans="1:9" s="479" customFormat="1" ht="25.9" customHeight="1" x14ac:dyDescent="0.2">
      <c r="A12" s="266" t="s">
        <v>558</v>
      </c>
      <c r="B12" s="488" t="s">
        <v>173</v>
      </c>
      <c r="C12" s="478">
        <v>630540</v>
      </c>
      <c r="D12" s="478">
        <v>150000</v>
      </c>
      <c r="E12" s="24" t="s">
        <v>174</v>
      </c>
      <c r="F12" s="342"/>
      <c r="G12" s="342">
        <v>150000</v>
      </c>
      <c r="H12" s="31" t="s">
        <v>811</v>
      </c>
      <c r="I12" s="32">
        <v>42735</v>
      </c>
    </row>
    <row r="13" spans="1:9" ht="25.9" customHeight="1" x14ac:dyDescent="0.2">
      <c r="A13" s="489"/>
      <c r="B13" s="490"/>
      <c r="C13" s="491"/>
      <c r="D13" s="491"/>
      <c r="E13" s="24"/>
      <c r="F13" s="30"/>
      <c r="G13" s="286"/>
      <c r="H13" s="31"/>
      <c r="I13" s="32"/>
    </row>
    <row r="14" spans="1:9" ht="18.75" customHeight="1" x14ac:dyDescent="0.2">
      <c r="A14" s="253"/>
      <c r="B14" s="254" t="s">
        <v>180</v>
      </c>
      <c r="C14" s="255">
        <f>SUM(C3:C12)</f>
        <v>3997905</v>
      </c>
      <c r="D14" s="255">
        <f>SUM(D3:D12)</f>
        <v>847335</v>
      </c>
      <c r="E14" s="39"/>
      <c r="F14" s="38">
        <f>SUM(F3:F12)</f>
        <v>57450</v>
      </c>
      <c r="G14" s="38">
        <f>SUM(G3:G12)</f>
        <v>789885</v>
      </c>
      <c r="H14" s="40"/>
      <c r="I14" s="41"/>
    </row>
    <row r="15" spans="1:9" s="15" customFormat="1" ht="33.75" customHeight="1" x14ac:dyDescent="0.2">
      <c r="A15" s="511" t="s">
        <v>544</v>
      </c>
      <c r="B15" s="511"/>
      <c r="C15" s="511"/>
      <c r="D15" s="511"/>
      <c r="E15" s="511"/>
      <c r="F15" s="511"/>
      <c r="G15" s="511"/>
      <c r="H15" s="511"/>
      <c r="I15" s="511"/>
    </row>
    <row r="16" spans="1:9" ht="57" customHeight="1" x14ac:dyDescent="0.2">
      <c r="A16" s="16" t="s">
        <v>165</v>
      </c>
      <c r="B16" s="17" t="s">
        <v>0</v>
      </c>
      <c r="C16" s="18" t="s">
        <v>1</v>
      </c>
      <c r="D16" s="18" t="s">
        <v>166</v>
      </c>
      <c r="E16" s="18" t="s">
        <v>167</v>
      </c>
      <c r="F16" s="18" t="s">
        <v>168</v>
      </c>
      <c r="G16" s="18" t="s">
        <v>169</v>
      </c>
      <c r="H16" s="19" t="s">
        <v>170</v>
      </c>
      <c r="I16" s="19" t="s">
        <v>171</v>
      </c>
    </row>
    <row r="17" spans="1:9" s="479" customFormat="1" ht="25.9" customHeight="1" x14ac:dyDescent="0.2">
      <c r="A17" s="243" t="s">
        <v>545</v>
      </c>
      <c r="B17" s="282" t="s">
        <v>546</v>
      </c>
      <c r="C17" s="283">
        <v>717200</v>
      </c>
      <c r="D17" s="284">
        <v>150000</v>
      </c>
      <c r="E17" s="24" t="s">
        <v>174</v>
      </c>
      <c r="F17" s="342">
        <v>150000</v>
      </c>
      <c r="G17" s="24">
        <v>0</v>
      </c>
      <c r="H17" s="242" t="s">
        <v>185</v>
      </c>
      <c r="I17" s="32">
        <v>42339</v>
      </c>
    </row>
    <row r="18" spans="1:9" s="487" customFormat="1" ht="25.9" customHeight="1" x14ac:dyDescent="0.2">
      <c r="A18" s="492" t="s">
        <v>172</v>
      </c>
      <c r="B18" s="493" t="s">
        <v>547</v>
      </c>
      <c r="C18" s="494">
        <v>201600</v>
      </c>
      <c r="D18" s="495">
        <v>150000</v>
      </c>
      <c r="E18" s="483" t="s">
        <v>174</v>
      </c>
      <c r="F18" s="484"/>
      <c r="G18" s="496">
        <v>150000</v>
      </c>
      <c r="H18" s="485" t="s">
        <v>794</v>
      </c>
      <c r="I18" s="486">
        <v>42522</v>
      </c>
    </row>
    <row r="19" spans="1:9" s="479" customFormat="1" ht="25.9" customHeight="1" x14ac:dyDescent="0.2">
      <c r="A19" s="243" t="s">
        <v>548</v>
      </c>
      <c r="B19" s="13" t="s">
        <v>549</v>
      </c>
      <c r="C19" s="283">
        <v>235000</v>
      </c>
      <c r="D19" s="283">
        <v>117500</v>
      </c>
      <c r="E19" s="24" t="s">
        <v>174</v>
      </c>
      <c r="F19" s="342">
        <v>10770</v>
      </c>
      <c r="G19" s="286">
        <v>106730</v>
      </c>
      <c r="H19" s="31" t="s">
        <v>794</v>
      </c>
      <c r="I19" s="32">
        <v>42582</v>
      </c>
    </row>
    <row r="20" spans="1:9" s="487" customFormat="1" ht="25.9" customHeight="1" x14ac:dyDescent="0.2">
      <c r="A20" s="492" t="s">
        <v>187</v>
      </c>
      <c r="B20" s="497" t="s">
        <v>550</v>
      </c>
      <c r="C20" s="494">
        <v>215657</v>
      </c>
      <c r="D20" s="495">
        <v>150000</v>
      </c>
      <c r="E20" s="483" t="s">
        <v>174</v>
      </c>
      <c r="F20" s="484"/>
      <c r="G20" s="496">
        <v>150000</v>
      </c>
      <c r="H20" s="485" t="s">
        <v>794</v>
      </c>
      <c r="I20" s="486">
        <v>42475</v>
      </c>
    </row>
    <row r="21" spans="1:9" s="479" customFormat="1" ht="25.9" customHeight="1" x14ac:dyDescent="0.2">
      <c r="A21" s="243" t="s">
        <v>551</v>
      </c>
      <c r="B21" s="282" t="s">
        <v>552</v>
      </c>
      <c r="C21" s="283">
        <v>60000</v>
      </c>
      <c r="D21" s="284">
        <v>30000</v>
      </c>
      <c r="E21" s="24" t="s">
        <v>174</v>
      </c>
      <c r="F21" s="342">
        <v>12250</v>
      </c>
      <c r="G21" s="285">
        <v>0</v>
      </c>
      <c r="H21" s="31" t="s">
        <v>185</v>
      </c>
      <c r="I21" s="32">
        <v>41957</v>
      </c>
    </row>
    <row r="22" spans="1:9" s="487" customFormat="1" ht="25.9" customHeight="1" x14ac:dyDescent="0.2">
      <c r="A22" s="492" t="s">
        <v>195</v>
      </c>
      <c r="B22" s="497" t="s">
        <v>553</v>
      </c>
      <c r="C22" s="494">
        <v>107140</v>
      </c>
      <c r="D22" s="495">
        <v>74998</v>
      </c>
      <c r="E22" s="483" t="s">
        <v>174</v>
      </c>
      <c r="F22" s="484">
        <v>13355</v>
      </c>
      <c r="G22" s="496">
        <v>61643</v>
      </c>
      <c r="H22" s="485" t="s">
        <v>794</v>
      </c>
      <c r="I22" s="486">
        <v>42517</v>
      </c>
    </row>
    <row r="23" spans="1:9" s="479" customFormat="1" ht="25.9" customHeight="1" x14ac:dyDescent="0.2">
      <c r="A23" s="243" t="s">
        <v>554</v>
      </c>
      <c r="B23" s="13" t="s">
        <v>555</v>
      </c>
      <c r="C23" s="283">
        <v>27135</v>
      </c>
      <c r="D23" s="283">
        <v>21708</v>
      </c>
      <c r="E23" s="24" t="s">
        <v>174</v>
      </c>
      <c r="F23" s="342">
        <v>21628</v>
      </c>
      <c r="G23" s="286">
        <v>0</v>
      </c>
      <c r="H23" s="31" t="s">
        <v>185</v>
      </c>
      <c r="I23" s="32">
        <v>42170</v>
      </c>
    </row>
    <row r="24" spans="1:9" s="487" customFormat="1" ht="25.9" customHeight="1" x14ac:dyDescent="0.2">
      <c r="A24" s="492" t="s">
        <v>556</v>
      </c>
      <c r="B24" s="497" t="s">
        <v>557</v>
      </c>
      <c r="C24" s="494">
        <v>24000</v>
      </c>
      <c r="D24" s="495">
        <v>14400</v>
      </c>
      <c r="E24" s="483" t="s">
        <v>174</v>
      </c>
      <c r="F24" s="484">
        <v>2895</v>
      </c>
      <c r="G24" s="496">
        <v>11505</v>
      </c>
      <c r="H24" s="485" t="s">
        <v>794</v>
      </c>
      <c r="I24" s="486">
        <v>42490</v>
      </c>
    </row>
    <row r="25" spans="1:9" s="479" customFormat="1" ht="25.9" customHeight="1" x14ac:dyDescent="0.2">
      <c r="A25" s="243" t="s">
        <v>558</v>
      </c>
      <c r="B25" s="282" t="s">
        <v>183</v>
      </c>
      <c r="C25" s="283">
        <v>76500</v>
      </c>
      <c r="D25" s="283">
        <v>57375</v>
      </c>
      <c r="E25" s="24" t="s">
        <v>174</v>
      </c>
      <c r="F25" s="342"/>
      <c r="G25" s="286">
        <v>57375</v>
      </c>
      <c r="H25" s="31" t="s">
        <v>467</v>
      </c>
      <c r="I25" s="32">
        <v>42460</v>
      </c>
    </row>
    <row r="26" spans="1:9" ht="18.75" customHeight="1" x14ac:dyDescent="0.2">
      <c r="A26" s="253"/>
      <c r="B26" s="254" t="s">
        <v>180</v>
      </c>
      <c r="C26" s="255">
        <f>SUM(C17:C25)</f>
        <v>1664232</v>
      </c>
      <c r="D26" s="255">
        <f>SUM(D17:D25)</f>
        <v>765981</v>
      </c>
      <c r="E26" s="39"/>
      <c r="F26" s="38">
        <f>SUM(F17:F25)</f>
        <v>210898</v>
      </c>
      <c r="G26" s="38">
        <f>SUM(G17:G25)</f>
        <v>537253</v>
      </c>
      <c r="H26" s="40"/>
      <c r="I26" s="41"/>
    </row>
    <row r="27" spans="1:9" s="15" customFormat="1" ht="33.75" customHeight="1" x14ac:dyDescent="0.2">
      <c r="A27" s="511" t="s">
        <v>445</v>
      </c>
      <c r="B27" s="511"/>
      <c r="C27" s="511"/>
      <c r="D27" s="511"/>
      <c r="E27" s="511"/>
      <c r="F27" s="511"/>
      <c r="G27" s="511"/>
      <c r="H27" s="511"/>
      <c r="I27" s="511"/>
    </row>
    <row r="28" spans="1:9" s="20" customFormat="1" ht="57" customHeight="1" x14ac:dyDescent="0.2">
      <c r="A28" s="16" t="s">
        <v>165</v>
      </c>
      <c r="B28" s="17" t="s">
        <v>0</v>
      </c>
      <c r="C28" s="18" t="s">
        <v>1</v>
      </c>
      <c r="D28" s="18" t="s">
        <v>166</v>
      </c>
      <c r="E28" s="18" t="s">
        <v>167</v>
      </c>
      <c r="F28" s="18" t="s">
        <v>168</v>
      </c>
      <c r="G28" s="18" t="s">
        <v>169</v>
      </c>
      <c r="H28" s="19" t="s">
        <v>170</v>
      </c>
      <c r="I28" s="19" t="s">
        <v>171</v>
      </c>
    </row>
    <row r="29" spans="1:9" s="27" customFormat="1" ht="15" x14ac:dyDescent="0.2">
      <c r="A29" s="238" t="s">
        <v>446</v>
      </c>
      <c r="B29" s="239" t="s">
        <v>447</v>
      </c>
      <c r="C29" s="240">
        <v>326250</v>
      </c>
      <c r="D29" s="241">
        <v>150000</v>
      </c>
      <c r="E29" s="24" t="s">
        <v>174</v>
      </c>
      <c r="F29" s="25">
        <v>150000</v>
      </c>
      <c r="G29" s="43">
        <f>D29-F29</f>
        <v>0</v>
      </c>
      <c r="H29" s="31" t="s">
        <v>185</v>
      </c>
      <c r="I29" s="32">
        <v>41801</v>
      </c>
    </row>
    <row r="30" spans="1:9" s="27" customFormat="1" ht="28.5" customHeight="1" x14ac:dyDescent="0.2">
      <c r="A30" s="243" t="s">
        <v>448</v>
      </c>
      <c r="B30" s="244" t="s">
        <v>449</v>
      </c>
      <c r="C30" s="245">
        <v>56660</v>
      </c>
      <c r="D30" s="246">
        <v>48161</v>
      </c>
      <c r="E30" s="24" t="s">
        <v>450</v>
      </c>
      <c r="F30" s="30">
        <v>48161</v>
      </c>
      <c r="G30" s="43">
        <f t="shared" ref="G30:G37" si="0">D30-F30</f>
        <v>0</v>
      </c>
      <c r="H30" s="31" t="s">
        <v>185</v>
      </c>
      <c r="I30" s="32">
        <v>41904</v>
      </c>
    </row>
    <row r="31" spans="1:9" s="27" customFormat="1" ht="15" x14ac:dyDescent="0.2">
      <c r="A31" s="238" t="s">
        <v>451</v>
      </c>
      <c r="B31" s="247" t="s">
        <v>452</v>
      </c>
      <c r="C31" s="245">
        <v>529170</v>
      </c>
      <c r="D31" s="245">
        <v>100000</v>
      </c>
      <c r="E31" s="24" t="s">
        <v>453</v>
      </c>
      <c r="F31" s="30">
        <v>35522</v>
      </c>
      <c r="G31" s="43">
        <f t="shared" si="0"/>
        <v>64478</v>
      </c>
      <c r="H31" s="248" t="s">
        <v>794</v>
      </c>
      <c r="I31" s="32">
        <v>42400</v>
      </c>
    </row>
    <row r="32" spans="1:9" s="27" customFormat="1" ht="15" x14ac:dyDescent="0.2">
      <c r="A32" s="238" t="s">
        <v>454</v>
      </c>
      <c r="B32" s="239" t="s">
        <v>455</v>
      </c>
      <c r="C32" s="245">
        <v>88200</v>
      </c>
      <c r="D32" s="246">
        <v>74970</v>
      </c>
      <c r="E32" s="24" t="s">
        <v>450</v>
      </c>
      <c r="F32" s="30">
        <v>29273</v>
      </c>
      <c r="G32" s="43">
        <f t="shared" si="0"/>
        <v>45697</v>
      </c>
      <c r="H32" s="31" t="s">
        <v>467</v>
      </c>
      <c r="I32" s="32" t="s">
        <v>812</v>
      </c>
    </row>
    <row r="33" spans="1:9" s="27" customFormat="1" ht="44.25" customHeight="1" x14ac:dyDescent="0.2">
      <c r="A33" s="238" t="s">
        <v>456</v>
      </c>
      <c r="B33" s="247" t="s">
        <v>457</v>
      </c>
      <c r="C33" s="245">
        <v>300000</v>
      </c>
      <c r="D33" s="245">
        <v>150000</v>
      </c>
      <c r="E33" s="24" t="s">
        <v>559</v>
      </c>
      <c r="F33" s="30">
        <v>150000</v>
      </c>
      <c r="G33" s="43">
        <f t="shared" si="0"/>
        <v>0</v>
      </c>
      <c r="H33" s="31" t="s">
        <v>185</v>
      </c>
      <c r="I33" s="32">
        <v>41905</v>
      </c>
    </row>
    <row r="34" spans="1:9" s="27" customFormat="1" ht="18.75" customHeight="1" x14ac:dyDescent="0.2">
      <c r="A34" s="238" t="s">
        <v>458</v>
      </c>
      <c r="B34" s="239" t="s">
        <v>224</v>
      </c>
      <c r="C34" s="245">
        <v>74470</v>
      </c>
      <c r="D34" s="246">
        <v>59470</v>
      </c>
      <c r="E34" s="24" t="s">
        <v>459</v>
      </c>
      <c r="F34" s="30">
        <v>57555</v>
      </c>
      <c r="G34" s="43">
        <v>0</v>
      </c>
      <c r="H34" s="31" t="s">
        <v>185</v>
      </c>
      <c r="I34" s="32">
        <v>42185</v>
      </c>
    </row>
    <row r="35" spans="1:9" s="27" customFormat="1" ht="33.75" customHeight="1" x14ac:dyDescent="0.2">
      <c r="A35" s="238" t="s">
        <v>460</v>
      </c>
      <c r="B35" s="239" t="s">
        <v>461</v>
      </c>
      <c r="C35" s="245">
        <v>422375</v>
      </c>
      <c r="D35" s="245">
        <v>150000</v>
      </c>
      <c r="E35" s="24" t="s">
        <v>462</v>
      </c>
      <c r="F35" s="30">
        <v>128239</v>
      </c>
      <c r="G35" s="43">
        <v>0</v>
      </c>
      <c r="H35" s="31" t="s">
        <v>185</v>
      </c>
      <c r="I35" s="32">
        <v>42156</v>
      </c>
    </row>
    <row r="36" spans="1:9" s="27" customFormat="1" ht="57" customHeight="1" x14ac:dyDescent="0.2">
      <c r="A36" s="238" t="s">
        <v>463</v>
      </c>
      <c r="B36" s="239" t="s">
        <v>464</v>
      </c>
      <c r="C36" s="245">
        <v>20700</v>
      </c>
      <c r="D36" s="246">
        <v>16560</v>
      </c>
      <c r="E36" s="24" t="s">
        <v>450</v>
      </c>
      <c r="F36" s="30">
        <v>16560</v>
      </c>
      <c r="G36" s="43">
        <f t="shared" si="0"/>
        <v>0</v>
      </c>
      <c r="H36" s="31" t="s">
        <v>185</v>
      </c>
      <c r="I36" s="32">
        <v>41626</v>
      </c>
    </row>
    <row r="37" spans="1:9" s="27" customFormat="1" ht="15" x14ac:dyDescent="0.2">
      <c r="A37" s="249" t="s">
        <v>465</v>
      </c>
      <c r="B37" s="250" t="s">
        <v>466</v>
      </c>
      <c r="C37" s="251">
        <v>40500</v>
      </c>
      <c r="D37" s="252">
        <v>20250</v>
      </c>
      <c r="E37" s="24" t="s">
        <v>174</v>
      </c>
      <c r="F37" s="30">
        <v>20250</v>
      </c>
      <c r="G37" s="43">
        <f t="shared" si="0"/>
        <v>0</v>
      </c>
      <c r="H37" s="31" t="s">
        <v>185</v>
      </c>
      <c r="I37" s="32">
        <v>41791</v>
      </c>
    </row>
    <row r="38" spans="1:9" s="27" customFormat="1" ht="42" customHeight="1" x14ac:dyDescent="0.2">
      <c r="A38" s="253"/>
      <c r="B38" s="254" t="s">
        <v>180</v>
      </c>
      <c r="C38" s="255">
        <f>SUM(C29:C36)</f>
        <v>1817825</v>
      </c>
      <c r="D38" s="255">
        <f>SUM(D29:D37)</f>
        <v>769411</v>
      </c>
      <c r="E38" s="39"/>
      <c r="F38" s="38">
        <f>SUM(F29:F37)</f>
        <v>635560</v>
      </c>
      <c r="G38" s="38">
        <f>SUM(G29:G37)</f>
        <v>110175</v>
      </c>
      <c r="H38" s="40"/>
      <c r="I38" s="41"/>
    </row>
    <row r="39" spans="1:9" s="15" customFormat="1" ht="23.25" x14ac:dyDescent="0.2">
      <c r="A39" s="511" t="s">
        <v>164</v>
      </c>
      <c r="B39" s="511"/>
      <c r="C39" s="511"/>
      <c r="D39" s="511"/>
      <c r="E39" s="511"/>
      <c r="F39" s="511"/>
      <c r="G39" s="511"/>
      <c r="H39" s="511"/>
      <c r="I39" s="511"/>
    </row>
    <row r="40" spans="1:9" s="20" customFormat="1" ht="38.25" x14ac:dyDescent="0.2">
      <c r="A40" s="16" t="s">
        <v>165</v>
      </c>
      <c r="B40" s="17" t="s">
        <v>0</v>
      </c>
      <c r="C40" s="18" t="s">
        <v>1</v>
      </c>
      <c r="D40" s="18" t="s">
        <v>166</v>
      </c>
      <c r="E40" s="18" t="s">
        <v>167</v>
      </c>
      <c r="F40" s="18" t="s">
        <v>168</v>
      </c>
      <c r="G40" s="18" t="s">
        <v>169</v>
      </c>
      <c r="H40" s="19" t="s">
        <v>170</v>
      </c>
      <c r="I40" s="19" t="s">
        <v>171</v>
      </c>
    </row>
    <row r="41" spans="1:9" s="27" customFormat="1" ht="43.5" customHeight="1" x14ac:dyDescent="0.2">
      <c r="A41" s="21" t="s">
        <v>172</v>
      </c>
      <c r="B41" s="22" t="s">
        <v>173</v>
      </c>
      <c r="C41" s="25">
        <v>187500</v>
      </c>
      <c r="D41" s="23">
        <v>150000</v>
      </c>
      <c r="E41" s="24" t="s">
        <v>174</v>
      </c>
      <c r="F41" s="25">
        <v>122457</v>
      </c>
      <c r="G41" s="498">
        <f>D41-F41</f>
        <v>27543</v>
      </c>
      <c r="H41" s="256" t="s">
        <v>467</v>
      </c>
      <c r="I41" s="32">
        <v>42460</v>
      </c>
    </row>
    <row r="42" spans="1:9" s="27" customFormat="1" ht="15" x14ac:dyDescent="0.2">
      <c r="A42" s="28" t="s">
        <v>175</v>
      </c>
      <c r="B42" s="29" t="s">
        <v>176</v>
      </c>
      <c r="C42" s="30">
        <v>600000</v>
      </c>
      <c r="D42" s="30">
        <v>150000</v>
      </c>
      <c r="E42" s="24" t="s">
        <v>174</v>
      </c>
      <c r="F42" s="30">
        <v>150000</v>
      </c>
      <c r="G42" s="30">
        <f>D42-F42</f>
        <v>0</v>
      </c>
      <c r="H42" s="31" t="s">
        <v>185</v>
      </c>
      <c r="I42" s="32">
        <v>41817</v>
      </c>
    </row>
    <row r="43" spans="1:9" s="27" customFormat="1" ht="25.5" x14ac:dyDescent="0.2">
      <c r="A43" s="28" t="s">
        <v>189</v>
      </c>
      <c r="B43" s="29" t="s">
        <v>560</v>
      </c>
      <c r="C43" s="30">
        <v>102000</v>
      </c>
      <c r="D43" s="30">
        <v>75000</v>
      </c>
      <c r="E43" s="24" t="s">
        <v>174</v>
      </c>
      <c r="F43" s="30">
        <v>75000</v>
      </c>
      <c r="G43" s="30">
        <f>D43-F43</f>
        <v>0</v>
      </c>
      <c r="H43" s="31" t="s">
        <v>185</v>
      </c>
      <c r="I43" s="32">
        <v>41939</v>
      </c>
    </row>
    <row r="44" spans="1:9" s="27" customFormat="1" ht="15" x14ac:dyDescent="0.2">
      <c r="A44" s="28" t="s">
        <v>177</v>
      </c>
      <c r="B44" s="29" t="s">
        <v>561</v>
      </c>
      <c r="C44" s="287">
        <v>326760</v>
      </c>
      <c r="D44" s="30">
        <v>150000</v>
      </c>
      <c r="E44" s="24" t="s">
        <v>174</v>
      </c>
      <c r="F44" s="287">
        <v>149183</v>
      </c>
      <c r="G44" s="49">
        <v>0</v>
      </c>
      <c r="H44" s="288" t="s">
        <v>185</v>
      </c>
      <c r="I44" s="26">
        <v>41900</v>
      </c>
    </row>
    <row r="45" spans="1:9" s="27" customFormat="1" ht="15" x14ac:dyDescent="0.2">
      <c r="A45" s="28" t="s">
        <v>178</v>
      </c>
      <c r="B45" s="29" t="s">
        <v>173</v>
      </c>
      <c r="C45" s="30">
        <v>210000</v>
      </c>
      <c r="D45" s="30">
        <v>150000</v>
      </c>
      <c r="E45" s="24" t="s">
        <v>174</v>
      </c>
      <c r="F45" s="30">
        <v>150000</v>
      </c>
      <c r="G45" s="30">
        <f>D45-F45</f>
        <v>0</v>
      </c>
      <c r="H45" s="31" t="s">
        <v>185</v>
      </c>
      <c r="I45" s="33">
        <v>41558</v>
      </c>
    </row>
    <row r="46" spans="1:9" s="27" customFormat="1" ht="15" x14ac:dyDescent="0.2">
      <c r="A46" s="34" t="s">
        <v>179</v>
      </c>
      <c r="B46" s="35" t="s">
        <v>173</v>
      </c>
      <c r="C46" s="30">
        <v>271000</v>
      </c>
      <c r="D46" s="30">
        <v>150000</v>
      </c>
      <c r="E46" s="24" t="s">
        <v>174</v>
      </c>
      <c r="F46" s="30">
        <v>150000</v>
      </c>
      <c r="G46" s="30">
        <f>D46-F46</f>
        <v>0</v>
      </c>
      <c r="H46" s="257" t="s">
        <v>185</v>
      </c>
      <c r="I46" s="258">
        <v>41691</v>
      </c>
    </row>
    <row r="47" spans="1:9" s="27" customFormat="1" ht="15" x14ac:dyDescent="0.2">
      <c r="A47" s="36"/>
      <c r="B47" s="37" t="s">
        <v>180</v>
      </c>
      <c r="C47" s="38">
        <f>SUM(C41:C46)</f>
        <v>1697260</v>
      </c>
      <c r="D47" s="38">
        <f>SUM(D41:D46)</f>
        <v>825000</v>
      </c>
      <c r="E47" s="39"/>
      <c r="F47" s="38">
        <f>SUM(F41:F46)</f>
        <v>796640</v>
      </c>
      <c r="G47" s="38">
        <f>SUM(G41:G46)</f>
        <v>27543</v>
      </c>
      <c r="H47" s="40"/>
      <c r="I47" s="41"/>
    </row>
    <row r="48" spans="1:9" s="15" customFormat="1" ht="18.75" customHeight="1" x14ac:dyDescent="0.2">
      <c r="A48" s="511" t="s">
        <v>181</v>
      </c>
      <c r="B48" s="511"/>
      <c r="C48" s="511"/>
      <c r="D48" s="511"/>
      <c r="E48" s="511"/>
      <c r="F48" s="511"/>
      <c r="G48" s="511"/>
      <c r="H48" s="511"/>
      <c r="I48" s="511"/>
    </row>
    <row r="49" spans="1:9" s="20" customFormat="1" ht="33.75" customHeight="1" x14ac:dyDescent="0.2">
      <c r="A49" s="16" t="s">
        <v>165</v>
      </c>
      <c r="B49" s="17" t="s">
        <v>0</v>
      </c>
      <c r="C49" s="18" t="s">
        <v>1</v>
      </c>
      <c r="D49" s="18" t="s">
        <v>166</v>
      </c>
      <c r="E49" s="18" t="s">
        <v>167</v>
      </c>
      <c r="F49" s="18" t="s">
        <v>168</v>
      </c>
      <c r="G49" s="18" t="s">
        <v>169</v>
      </c>
      <c r="H49" s="19" t="s">
        <v>170</v>
      </c>
      <c r="I49" s="19" t="s">
        <v>171</v>
      </c>
    </row>
    <row r="50" spans="1:9" s="27" customFormat="1" ht="25.5" x14ac:dyDescent="0.2">
      <c r="A50" s="21" t="s">
        <v>182</v>
      </c>
      <c r="B50" s="22" t="s">
        <v>183</v>
      </c>
      <c r="C50" s="42">
        <v>35000</v>
      </c>
      <c r="D50" s="23">
        <v>7649</v>
      </c>
      <c r="E50" s="24" t="s">
        <v>184</v>
      </c>
      <c r="F50" s="25">
        <v>7649</v>
      </c>
      <c r="G50" s="43">
        <v>0</v>
      </c>
      <c r="H50" s="44" t="s">
        <v>185</v>
      </c>
      <c r="I50" s="179">
        <v>40925</v>
      </c>
    </row>
    <row r="51" spans="1:9" s="27" customFormat="1" ht="25.5" x14ac:dyDescent="0.2">
      <c r="A51" s="28" t="s">
        <v>175</v>
      </c>
      <c r="B51" s="29" t="s">
        <v>186</v>
      </c>
      <c r="C51" s="30">
        <v>63600</v>
      </c>
      <c r="D51" s="45">
        <v>54060</v>
      </c>
      <c r="E51" s="24" t="s">
        <v>174</v>
      </c>
      <c r="F51" s="30">
        <v>54060</v>
      </c>
      <c r="G51" s="30">
        <f>D51-F51</f>
        <v>0</v>
      </c>
      <c r="H51" s="31" t="s">
        <v>185</v>
      </c>
      <c r="I51" s="179">
        <v>41428</v>
      </c>
    </row>
    <row r="52" spans="1:9" s="27" customFormat="1" ht="28.5" customHeight="1" x14ac:dyDescent="0.2">
      <c r="A52" s="28" t="s">
        <v>187</v>
      </c>
      <c r="B52" s="29" t="s">
        <v>188</v>
      </c>
      <c r="C52" s="30">
        <v>75000</v>
      </c>
      <c r="D52" s="45">
        <v>63750</v>
      </c>
      <c r="E52" s="24" t="s">
        <v>174</v>
      </c>
      <c r="F52" s="30">
        <v>61963</v>
      </c>
      <c r="G52" s="30">
        <v>0</v>
      </c>
      <c r="H52" s="248" t="s">
        <v>185</v>
      </c>
      <c r="I52" s="179">
        <v>41765</v>
      </c>
    </row>
    <row r="53" spans="1:9" s="27" customFormat="1" ht="15" x14ac:dyDescent="0.2">
      <c r="A53" s="28" t="s">
        <v>189</v>
      </c>
      <c r="B53" s="29" t="s">
        <v>190</v>
      </c>
      <c r="C53" s="30">
        <v>118000</v>
      </c>
      <c r="D53" s="45">
        <v>100300</v>
      </c>
      <c r="E53" s="24" t="s">
        <v>174</v>
      </c>
      <c r="F53" s="30">
        <v>100300</v>
      </c>
      <c r="G53" s="30">
        <f>D53-F53</f>
        <v>0</v>
      </c>
      <c r="H53" s="31" t="s">
        <v>185</v>
      </c>
      <c r="I53" s="179">
        <v>41150</v>
      </c>
    </row>
    <row r="54" spans="1:9" s="27" customFormat="1" ht="15" x14ac:dyDescent="0.2">
      <c r="A54" s="34" t="s">
        <v>191</v>
      </c>
      <c r="B54" s="35" t="s">
        <v>192</v>
      </c>
      <c r="C54" s="46">
        <v>42962</v>
      </c>
      <c r="D54" s="47">
        <v>25266</v>
      </c>
      <c r="E54" s="24" t="s">
        <v>174</v>
      </c>
      <c r="F54" s="30">
        <v>25266</v>
      </c>
      <c r="G54" s="30">
        <v>0</v>
      </c>
      <c r="H54" s="31" t="s">
        <v>185</v>
      </c>
      <c r="I54" s="179">
        <v>41302</v>
      </c>
    </row>
    <row r="55" spans="1:9" s="27" customFormat="1" ht="33.75" customHeight="1" x14ac:dyDescent="0.2">
      <c r="A55" s="28" t="s">
        <v>193</v>
      </c>
      <c r="B55" s="29" t="s">
        <v>194</v>
      </c>
      <c r="C55" s="30">
        <v>103124</v>
      </c>
      <c r="D55" s="45">
        <v>65999</v>
      </c>
      <c r="E55" s="24" t="s">
        <v>174</v>
      </c>
      <c r="F55" s="30">
        <v>65999</v>
      </c>
      <c r="G55" s="30">
        <f>D55-F55</f>
        <v>0</v>
      </c>
      <c r="H55" s="31" t="s">
        <v>185</v>
      </c>
      <c r="I55" s="179">
        <v>40892</v>
      </c>
    </row>
    <row r="56" spans="1:9" s="27" customFormat="1" ht="15" x14ac:dyDescent="0.2">
      <c r="A56" s="28" t="s">
        <v>195</v>
      </c>
      <c r="B56" s="29" t="s">
        <v>196</v>
      </c>
      <c r="C56" s="30">
        <v>64630</v>
      </c>
      <c r="D56" s="45">
        <v>43962</v>
      </c>
      <c r="E56" s="24" t="s">
        <v>174</v>
      </c>
      <c r="F56" s="30">
        <v>43962</v>
      </c>
      <c r="G56" s="30">
        <v>0</v>
      </c>
      <c r="H56" s="31" t="s">
        <v>185</v>
      </c>
      <c r="I56" s="179">
        <v>41065</v>
      </c>
    </row>
    <row r="57" spans="1:9" s="27" customFormat="1" ht="18.75" customHeight="1" x14ac:dyDescent="0.2">
      <c r="A57" s="28" t="s">
        <v>197</v>
      </c>
      <c r="B57" s="29" t="s">
        <v>198</v>
      </c>
      <c r="C57" s="30">
        <v>169000</v>
      </c>
      <c r="D57" s="45">
        <v>135200</v>
      </c>
      <c r="E57" s="24" t="s">
        <v>174</v>
      </c>
      <c r="F57" s="30">
        <v>135200</v>
      </c>
      <c r="G57" s="30">
        <f>D57-F57</f>
        <v>0</v>
      </c>
      <c r="H57" s="31" t="s">
        <v>185</v>
      </c>
      <c r="I57" s="179">
        <v>41207</v>
      </c>
    </row>
    <row r="58" spans="1:9" s="27" customFormat="1" ht="15" x14ac:dyDescent="0.2">
      <c r="A58" s="28" t="s">
        <v>199</v>
      </c>
      <c r="B58" s="29" t="s">
        <v>200</v>
      </c>
      <c r="C58" s="30">
        <v>200000</v>
      </c>
      <c r="D58" s="45">
        <v>150000</v>
      </c>
      <c r="E58" s="24" t="s">
        <v>174</v>
      </c>
      <c r="F58" s="30">
        <v>150000</v>
      </c>
      <c r="G58" s="30">
        <f>D58-F58</f>
        <v>0</v>
      </c>
      <c r="H58" s="31" t="s">
        <v>185</v>
      </c>
      <c r="I58" s="179">
        <v>41443</v>
      </c>
    </row>
    <row r="59" spans="1:9" s="27" customFormat="1" ht="25.5" x14ac:dyDescent="0.2">
      <c r="A59" s="28" t="s">
        <v>189</v>
      </c>
      <c r="B59" s="29" t="s">
        <v>201</v>
      </c>
      <c r="C59" s="30">
        <v>118000</v>
      </c>
      <c r="D59" s="45">
        <v>75000</v>
      </c>
      <c r="E59" s="24" t="s">
        <v>174</v>
      </c>
      <c r="F59" s="30">
        <v>75000</v>
      </c>
      <c r="G59" s="30">
        <f>D59-F59</f>
        <v>0</v>
      </c>
      <c r="H59" s="31" t="s">
        <v>185</v>
      </c>
      <c r="I59" s="179">
        <v>41255</v>
      </c>
    </row>
    <row r="60" spans="1:9" s="27" customFormat="1" ht="38.25" x14ac:dyDescent="0.2">
      <c r="A60" s="28" t="s">
        <v>197</v>
      </c>
      <c r="B60" s="29" t="s">
        <v>202</v>
      </c>
      <c r="C60" s="30">
        <v>65000</v>
      </c>
      <c r="D60" s="45">
        <v>30297</v>
      </c>
      <c r="E60" s="24" t="s">
        <v>203</v>
      </c>
      <c r="F60" s="30">
        <v>30297</v>
      </c>
      <c r="G60" s="30">
        <f>D60-F60</f>
        <v>0</v>
      </c>
      <c r="H60" s="31" t="s">
        <v>185</v>
      </c>
      <c r="I60" s="32">
        <v>41558</v>
      </c>
    </row>
    <row r="61" spans="1:9" s="27" customFormat="1" ht="15" x14ac:dyDescent="0.2">
      <c r="A61" s="36"/>
      <c r="B61" s="37" t="s">
        <v>180</v>
      </c>
      <c r="C61" s="38">
        <f>SUM(C50:C58)</f>
        <v>871316</v>
      </c>
      <c r="D61" s="38">
        <f>SUM(D50:D60)</f>
        <v>751483</v>
      </c>
      <c r="E61" s="39"/>
      <c r="F61" s="38">
        <f>SUM(F50:F60)</f>
        <v>749696</v>
      </c>
      <c r="G61" s="38">
        <f>SUM(G50:G60)</f>
        <v>0</v>
      </c>
      <c r="H61" s="40"/>
      <c r="I61" s="41"/>
    </row>
  </sheetData>
  <mergeCells count="5">
    <mergeCell ref="A39:I39"/>
    <mergeCell ref="A48:I48"/>
    <mergeCell ref="A1:I1"/>
    <mergeCell ref="A15:I15"/>
    <mergeCell ref="A27:I27"/>
  </mergeCells>
  <pageMargins left="1" right="0.25" top="0.25" bottom="0.25" header="0.3" footer="0.3"/>
  <pageSetup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activeCell="B2" sqref="B2"/>
    </sheetView>
  </sheetViews>
  <sheetFormatPr defaultRowHeight="12.75" x14ac:dyDescent="0.2"/>
  <cols>
    <col min="1" max="1" width="15" customWidth="1"/>
    <col min="2" max="2" width="34.5703125" customWidth="1"/>
    <col min="3" max="4" width="17.140625" customWidth="1"/>
    <col min="5" max="5" width="22.140625" bestFit="1" customWidth="1"/>
    <col min="6" max="6" width="12.7109375" bestFit="1" customWidth="1"/>
    <col min="7" max="7" width="14.42578125" bestFit="1" customWidth="1"/>
    <col min="8" max="8" width="15.5703125" bestFit="1" customWidth="1"/>
    <col min="9" max="9" width="18.28515625" customWidth="1"/>
  </cols>
  <sheetData>
    <row r="1" spans="1:10" ht="15" x14ac:dyDescent="0.25">
      <c r="C1" s="322" t="s">
        <v>813</v>
      </c>
      <c r="D1" s="322"/>
    </row>
    <row r="2" spans="1:10" ht="45" x14ac:dyDescent="0.2">
      <c r="A2" s="323" t="s">
        <v>165</v>
      </c>
      <c r="B2" s="323" t="s">
        <v>0</v>
      </c>
      <c r="C2" s="324" t="s">
        <v>1</v>
      </c>
      <c r="D2" s="324" t="s">
        <v>166</v>
      </c>
      <c r="E2" s="323" t="s">
        <v>167</v>
      </c>
      <c r="F2" s="324" t="s">
        <v>168</v>
      </c>
      <c r="G2" s="324" t="s">
        <v>169</v>
      </c>
      <c r="H2" s="323" t="s">
        <v>170</v>
      </c>
      <c r="I2" s="324" t="s">
        <v>644</v>
      </c>
    </row>
    <row r="3" spans="1:10" ht="25.5" x14ac:dyDescent="0.2">
      <c r="A3" s="499" t="s">
        <v>645</v>
      </c>
      <c r="B3" s="467" t="s">
        <v>814</v>
      </c>
      <c r="C3" s="500">
        <v>288000</v>
      </c>
      <c r="D3" s="501">
        <v>96034.24054943808</v>
      </c>
      <c r="E3" s="502" t="s">
        <v>174</v>
      </c>
      <c r="F3" s="48">
        <v>0</v>
      </c>
      <c r="G3" s="501">
        <v>96034.24054943808</v>
      </c>
      <c r="H3" s="502" t="s">
        <v>815</v>
      </c>
      <c r="I3" s="26">
        <v>42704</v>
      </c>
    </row>
    <row r="4" spans="1:10" ht="25.5" x14ac:dyDescent="0.2">
      <c r="A4" s="499" t="s">
        <v>648</v>
      </c>
      <c r="B4" s="467" t="s">
        <v>816</v>
      </c>
      <c r="C4" s="500">
        <v>8018250</v>
      </c>
      <c r="D4" s="501">
        <v>319397.98441273591</v>
      </c>
      <c r="E4" s="502" t="s">
        <v>174</v>
      </c>
      <c r="F4" s="48">
        <v>0</v>
      </c>
      <c r="G4" s="501">
        <v>319397.98441273591</v>
      </c>
      <c r="H4" s="502" t="s">
        <v>473</v>
      </c>
      <c r="I4" s="26">
        <v>43100</v>
      </c>
      <c r="J4" s="325"/>
    </row>
    <row r="5" spans="1:10" x14ac:dyDescent="0.2">
      <c r="A5" s="503" t="s">
        <v>208</v>
      </c>
      <c r="B5" s="499" t="s">
        <v>817</v>
      </c>
      <c r="C5" s="500">
        <v>3619000</v>
      </c>
      <c r="D5" s="504">
        <v>585229.51871403877</v>
      </c>
      <c r="E5" s="502" t="s">
        <v>174</v>
      </c>
      <c r="F5" s="48">
        <v>0</v>
      </c>
      <c r="G5" s="504">
        <v>585229.51871403877</v>
      </c>
      <c r="H5" s="502" t="s">
        <v>473</v>
      </c>
      <c r="I5" s="26">
        <v>43465</v>
      </c>
    </row>
    <row r="6" spans="1:10" x14ac:dyDescent="0.2">
      <c r="A6" s="503" t="s">
        <v>209</v>
      </c>
      <c r="B6" s="499" t="s">
        <v>818</v>
      </c>
      <c r="C6" s="500">
        <v>2500000</v>
      </c>
      <c r="D6" s="501">
        <v>105683.79036985265</v>
      </c>
      <c r="E6" s="502" t="s">
        <v>174</v>
      </c>
      <c r="F6" s="48">
        <v>0</v>
      </c>
      <c r="G6" s="501">
        <v>105683.79036985265</v>
      </c>
      <c r="H6" s="502" t="s">
        <v>473</v>
      </c>
      <c r="I6" s="26">
        <v>42735</v>
      </c>
    </row>
    <row r="7" spans="1:10" ht="25.5" x14ac:dyDescent="0.2">
      <c r="A7" s="503" t="s">
        <v>211</v>
      </c>
      <c r="B7" s="499" t="s">
        <v>819</v>
      </c>
      <c r="C7" s="500">
        <v>100000</v>
      </c>
      <c r="D7" s="504">
        <v>94844.55122092487</v>
      </c>
      <c r="E7" s="502" t="s">
        <v>174</v>
      </c>
      <c r="F7" s="48">
        <v>0</v>
      </c>
      <c r="G7" s="504">
        <v>94844.55122092487</v>
      </c>
      <c r="H7" s="502" t="s">
        <v>473</v>
      </c>
      <c r="I7" s="26">
        <v>42551</v>
      </c>
    </row>
    <row r="8" spans="1:10" ht="25.5" x14ac:dyDescent="0.2">
      <c r="A8" s="503" t="s">
        <v>213</v>
      </c>
      <c r="B8" s="499" t="s">
        <v>820</v>
      </c>
      <c r="C8" s="500">
        <v>46000</v>
      </c>
      <c r="D8" s="505">
        <v>94881.916953270527</v>
      </c>
      <c r="E8" s="502" t="s">
        <v>174</v>
      </c>
      <c r="F8" s="48">
        <v>0</v>
      </c>
      <c r="G8" s="505">
        <v>94881.916953270527</v>
      </c>
      <c r="H8" s="502" t="s">
        <v>473</v>
      </c>
      <c r="I8" s="26">
        <v>42551</v>
      </c>
    </row>
    <row r="9" spans="1:10" x14ac:dyDescent="0.2">
      <c r="A9" s="503" t="s">
        <v>215</v>
      </c>
      <c r="B9" s="499" t="s">
        <v>821</v>
      </c>
      <c r="C9" s="500">
        <v>120000</v>
      </c>
      <c r="D9" s="501">
        <v>102731.84359065405</v>
      </c>
      <c r="E9" s="502" t="s">
        <v>174</v>
      </c>
      <c r="F9" s="48">
        <v>0</v>
      </c>
      <c r="G9" s="501">
        <v>102731.84359065405</v>
      </c>
      <c r="H9" s="502" t="s">
        <v>473</v>
      </c>
      <c r="I9" s="26">
        <v>42674</v>
      </c>
    </row>
    <row r="10" spans="1:10" ht="25.5" x14ac:dyDescent="0.2">
      <c r="A10" s="503" t="s">
        <v>217</v>
      </c>
      <c r="B10" s="499" t="s">
        <v>822</v>
      </c>
      <c r="C10" s="500">
        <v>119720</v>
      </c>
      <c r="D10" s="501">
        <v>101196.15418908508</v>
      </c>
      <c r="E10" s="502" t="s">
        <v>174</v>
      </c>
      <c r="F10" s="48">
        <v>0</v>
      </c>
      <c r="G10" s="501">
        <v>101196.15418908508</v>
      </c>
      <c r="H10" s="502" t="s">
        <v>473</v>
      </c>
      <c r="I10" s="26">
        <v>42916</v>
      </c>
    </row>
    <row r="11" spans="1:10" ht="15" x14ac:dyDescent="0.25">
      <c r="A11" s="170"/>
      <c r="B11" s="329" t="s">
        <v>180</v>
      </c>
      <c r="C11" s="506">
        <f>SUM(C3:C10)</f>
        <v>14810970</v>
      </c>
      <c r="D11" s="330">
        <f>SUM(D3:D10)</f>
        <v>1499999.9999999998</v>
      </c>
      <c r="E11" s="170"/>
      <c r="F11" s="330">
        <f t="shared" ref="F11:G11" si="0">SUM(F3:F10)</f>
        <v>0</v>
      </c>
      <c r="G11" s="506">
        <f t="shared" si="0"/>
        <v>1499999.9999999998</v>
      </c>
      <c r="H11" s="170"/>
      <c r="I11" s="170"/>
    </row>
    <row r="12" spans="1:10" ht="15" x14ac:dyDescent="0.25">
      <c r="C12" s="322"/>
      <c r="D12" s="322"/>
    </row>
    <row r="13" spans="1:10" ht="15" x14ac:dyDescent="0.25">
      <c r="C13" s="322" t="s">
        <v>643</v>
      </c>
      <c r="D13" s="322"/>
    </row>
    <row r="14" spans="1:10" ht="45" x14ac:dyDescent="0.2">
      <c r="A14" s="323" t="s">
        <v>165</v>
      </c>
      <c r="B14" s="323" t="s">
        <v>0</v>
      </c>
      <c r="C14" s="324" t="s">
        <v>1</v>
      </c>
      <c r="D14" s="324" t="s">
        <v>166</v>
      </c>
      <c r="E14" s="323" t="s">
        <v>167</v>
      </c>
      <c r="F14" s="324" t="s">
        <v>168</v>
      </c>
      <c r="G14" s="324" t="s">
        <v>169</v>
      </c>
      <c r="H14" s="323" t="s">
        <v>170</v>
      </c>
      <c r="I14" s="324" t="s">
        <v>644</v>
      </c>
    </row>
    <row r="15" spans="1:10" ht="25.5" x14ac:dyDescent="0.2">
      <c r="A15" s="326" t="s">
        <v>645</v>
      </c>
      <c r="B15" s="326" t="s">
        <v>646</v>
      </c>
      <c r="C15" s="25">
        <v>240000</v>
      </c>
      <c r="D15" s="43">
        <v>96692</v>
      </c>
      <c r="E15" s="327" t="s">
        <v>174</v>
      </c>
      <c r="F15" s="331"/>
      <c r="G15" s="48">
        <v>96692</v>
      </c>
      <c r="H15" s="502" t="s">
        <v>815</v>
      </c>
      <c r="I15" s="33">
        <v>42704</v>
      </c>
    </row>
    <row r="16" spans="1:10" ht="25.5" x14ac:dyDescent="0.2">
      <c r="A16" s="326" t="s">
        <v>648</v>
      </c>
      <c r="B16" s="326" t="s">
        <v>207</v>
      </c>
      <c r="C16" s="25">
        <v>10387000</v>
      </c>
      <c r="D16" s="43">
        <v>317297</v>
      </c>
      <c r="E16" s="327" t="s">
        <v>174</v>
      </c>
      <c r="F16" s="331">
        <v>317297</v>
      </c>
      <c r="G16" s="48">
        <v>0</v>
      </c>
      <c r="H16" s="327" t="s">
        <v>185</v>
      </c>
      <c r="I16" s="33">
        <v>42293</v>
      </c>
    </row>
    <row r="17" spans="1:10" ht="25.5" x14ac:dyDescent="0.2">
      <c r="A17" s="328" t="s">
        <v>208</v>
      </c>
      <c r="B17" s="326" t="s">
        <v>649</v>
      </c>
      <c r="C17" s="25">
        <v>1533500</v>
      </c>
      <c r="D17" s="43">
        <v>583354</v>
      </c>
      <c r="E17" s="327" t="s">
        <v>174</v>
      </c>
      <c r="F17" s="331">
        <v>583354</v>
      </c>
      <c r="G17" s="48">
        <v>0</v>
      </c>
      <c r="H17" s="327" t="s">
        <v>185</v>
      </c>
      <c r="I17" s="33">
        <v>42212</v>
      </c>
    </row>
    <row r="18" spans="1:10" ht="57" customHeight="1" x14ac:dyDescent="0.2">
      <c r="A18" s="328" t="s">
        <v>209</v>
      </c>
      <c r="B18" s="326" t="s">
        <v>650</v>
      </c>
      <c r="C18" s="25">
        <v>1277920</v>
      </c>
      <c r="D18" s="43">
        <v>105886</v>
      </c>
      <c r="E18" s="327" t="s">
        <v>174</v>
      </c>
      <c r="F18" s="331"/>
      <c r="G18" s="48">
        <v>105886</v>
      </c>
      <c r="H18" s="327" t="s">
        <v>473</v>
      </c>
      <c r="I18" s="33">
        <v>42735</v>
      </c>
      <c r="J18" s="325"/>
    </row>
    <row r="19" spans="1:10" x14ac:dyDescent="0.2">
      <c r="A19" s="328" t="s">
        <v>211</v>
      </c>
      <c r="B19" s="326" t="s">
        <v>651</v>
      </c>
      <c r="C19" s="25">
        <v>130000</v>
      </c>
      <c r="D19" s="43">
        <v>95854</v>
      </c>
      <c r="E19" s="327" t="s">
        <v>174</v>
      </c>
      <c r="F19" s="331"/>
      <c r="G19" s="48">
        <v>95854</v>
      </c>
      <c r="H19" s="327" t="s">
        <v>473</v>
      </c>
      <c r="I19" s="33">
        <v>42551</v>
      </c>
    </row>
    <row r="20" spans="1:10" ht="38.25" x14ac:dyDescent="0.2">
      <c r="A20" s="328" t="s">
        <v>213</v>
      </c>
      <c r="B20" s="326" t="s">
        <v>652</v>
      </c>
      <c r="C20" s="25">
        <v>121000</v>
      </c>
      <c r="D20" s="43">
        <v>96001</v>
      </c>
      <c r="E20" s="327" t="s">
        <v>174</v>
      </c>
      <c r="F20" s="331">
        <v>33367</v>
      </c>
      <c r="G20" s="48">
        <v>62634</v>
      </c>
      <c r="H20" s="327" t="s">
        <v>473</v>
      </c>
      <c r="I20" s="33">
        <v>42613</v>
      </c>
    </row>
    <row r="21" spans="1:10" x14ac:dyDescent="0.2">
      <c r="A21" s="328" t="s">
        <v>215</v>
      </c>
      <c r="B21" s="326" t="s">
        <v>653</v>
      </c>
      <c r="C21" s="25">
        <v>103884</v>
      </c>
      <c r="D21" s="25">
        <v>103884</v>
      </c>
      <c r="E21" s="327" t="s">
        <v>174</v>
      </c>
      <c r="F21" s="331">
        <v>9379</v>
      </c>
      <c r="G21" s="48">
        <v>94505</v>
      </c>
      <c r="H21" s="502" t="s">
        <v>442</v>
      </c>
      <c r="I21" s="33">
        <v>42674</v>
      </c>
    </row>
    <row r="22" spans="1:10" ht="38.25" x14ac:dyDescent="0.2">
      <c r="A22" s="328" t="s">
        <v>217</v>
      </c>
      <c r="B22" s="326" t="s">
        <v>654</v>
      </c>
      <c r="C22" s="25">
        <v>107375</v>
      </c>
      <c r="D22" s="43">
        <v>101032</v>
      </c>
      <c r="E22" s="327" t="s">
        <v>174</v>
      </c>
      <c r="F22" s="331">
        <v>16234</v>
      </c>
      <c r="G22" s="48">
        <v>84798</v>
      </c>
      <c r="H22" s="327" t="s">
        <v>473</v>
      </c>
      <c r="I22" s="33">
        <v>42460</v>
      </c>
    </row>
    <row r="23" spans="1:10" ht="15" x14ac:dyDescent="0.25">
      <c r="A23" s="170"/>
      <c r="B23" s="329" t="s">
        <v>180</v>
      </c>
      <c r="C23" s="506">
        <f>SUM(C15:C22)</f>
        <v>13900679</v>
      </c>
      <c r="D23" s="330">
        <f>SUM(D15:D22)</f>
        <v>1500000</v>
      </c>
      <c r="E23" s="170"/>
      <c r="F23" s="330">
        <f t="shared" ref="F23:G23" si="1">SUM(F15:F22)</f>
        <v>959631</v>
      </c>
      <c r="G23" s="506">
        <f t="shared" si="1"/>
        <v>540369</v>
      </c>
      <c r="H23" s="170"/>
      <c r="I23" s="170"/>
    </row>
    <row r="27" spans="1:10" ht="15" x14ac:dyDescent="0.25">
      <c r="C27" s="322" t="s">
        <v>468</v>
      </c>
      <c r="D27" s="322"/>
    </row>
    <row r="28" spans="1:10" s="3" customFormat="1" ht="45" x14ac:dyDescent="0.2">
      <c r="A28" s="323" t="s">
        <v>165</v>
      </c>
      <c r="B28" s="323" t="s">
        <v>0</v>
      </c>
      <c r="C28" s="324" t="s">
        <v>1</v>
      </c>
      <c r="D28" s="324" t="s">
        <v>166</v>
      </c>
      <c r="E28" s="323" t="s">
        <v>167</v>
      </c>
      <c r="F28" s="324" t="s">
        <v>168</v>
      </c>
      <c r="G28" s="324" t="s">
        <v>169</v>
      </c>
      <c r="H28" s="323" t="s">
        <v>170</v>
      </c>
      <c r="I28" s="324" t="s">
        <v>644</v>
      </c>
    </row>
    <row r="29" spans="1:10" s="3" customFormat="1" ht="25.5" x14ac:dyDescent="0.2">
      <c r="A29" s="207" t="s">
        <v>645</v>
      </c>
      <c r="B29" s="259" t="s">
        <v>173</v>
      </c>
      <c r="C29" s="25">
        <v>480000</v>
      </c>
      <c r="D29" s="43">
        <v>96594</v>
      </c>
      <c r="E29" s="327" t="s">
        <v>174</v>
      </c>
      <c r="F29" s="48">
        <v>79402</v>
      </c>
      <c r="G29" s="331">
        <v>17192</v>
      </c>
      <c r="H29" s="502" t="s">
        <v>815</v>
      </c>
      <c r="I29" s="33">
        <v>42704</v>
      </c>
    </row>
    <row r="30" spans="1:10" ht="25.5" x14ac:dyDescent="0.2">
      <c r="A30" s="207" t="s">
        <v>648</v>
      </c>
      <c r="B30" s="259" t="s">
        <v>469</v>
      </c>
      <c r="C30" s="25">
        <v>330000</v>
      </c>
      <c r="D30" s="43">
        <v>311190</v>
      </c>
      <c r="E30" s="327" t="s">
        <v>174</v>
      </c>
      <c r="F30" s="48">
        <v>311190</v>
      </c>
      <c r="G30" s="332">
        <v>0</v>
      </c>
      <c r="H30" s="327" t="s">
        <v>185</v>
      </c>
      <c r="I30" s="33">
        <v>41898</v>
      </c>
    </row>
    <row r="31" spans="1:10" x14ac:dyDescent="0.2">
      <c r="A31" s="333" t="s">
        <v>208</v>
      </c>
      <c r="B31" s="259" t="s">
        <v>655</v>
      </c>
      <c r="C31" s="25">
        <v>4500000</v>
      </c>
      <c r="D31" s="43">
        <v>579215</v>
      </c>
      <c r="E31" s="327" t="s">
        <v>174</v>
      </c>
      <c r="F31" s="48">
        <v>579214</v>
      </c>
      <c r="G31" s="332">
        <v>0</v>
      </c>
      <c r="H31" s="327" t="s">
        <v>185</v>
      </c>
      <c r="I31" s="33">
        <v>42100</v>
      </c>
    </row>
    <row r="32" spans="1:10" ht="57" customHeight="1" x14ac:dyDescent="0.2">
      <c r="A32" s="333" t="s">
        <v>209</v>
      </c>
      <c r="B32" s="259" t="s">
        <v>210</v>
      </c>
      <c r="C32" s="25">
        <v>1277920</v>
      </c>
      <c r="D32" s="43">
        <v>108456</v>
      </c>
      <c r="E32" s="327" t="s">
        <v>174</v>
      </c>
      <c r="F32" s="48"/>
      <c r="G32" s="332">
        <v>108456</v>
      </c>
      <c r="H32" s="327" t="s">
        <v>473</v>
      </c>
      <c r="I32" s="33">
        <v>42735</v>
      </c>
      <c r="J32" s="325"/>
    </row>
    <row r="33" spans="1:10" ht="38.25" x14ac:dyDescent="0.2">
      <c r="A33" s="333" t="s">
        <v>211</v>
      </c>
      <c r="B33" s="259" t="s">
        <v>470</v>
      </c>
      <c r="C33" s="25">
        <f>150000</f>
        <v>150000</v>
      </c>
      <c r="D33" s="43">
        <v>98159</v>
      </c>
      <c r="E33" s="327" t="s">
        <v>174</v>
      </c>
      <c r="F33" s="48">
        <v>28853</v>
      </c>
      <c r="G33" s="332">
        <v>69306</v>
      </c>
      <c r="H33" s="327" t="s">
        <v>473</v>
      </c>
      <c r="I33" s="33">
        <v>42628</v>
      </c>
    </row>
    <row r="34" spans="1:10" ht="51" x14ac:dyDescent="0.2">
      <c r="A34" s="333" t="s">
        <v>213</v>
      </c>
      <c r="B34" s="259" t="s">
        <v>471</v>
      </c>
      <c r="C34" s="25">
        <f>69356+24884+4904</f>
        <v>99144</v>
      </c>
      <c r="D34" s="43">
        <v>98450</v>
      </c>
      <c r="E34" s="327" t="s">
        <v>174</v>
      </c>
      <c r="F34" s="48">
        <v>32560</v>
      </c>
      <c r="G34" s="332">
        <v>65890</v>
      </c>
      <c r="H34" s="327" t="s">
        <v>473</v>
      </c>
      <c r="I34" s="33">
        <v>42916</v>
      </c>
    </row>
    <row r="35" spans="1:10" x14ac:dyDescent="0.2">
      <c r="A35" s="333" t="s">
        <v>215</v>
      </c>
      <c r="B35" s="259" t="s">
        <v>472</v>
      </c>
      <c r="C35" s="25">
        <v>120000</v>
      </c>
      <c r="D35" s="25">
        <v>105151</v>
      </c>
      <c r="E35" s="327" t="s">
        <v>174</v>
      </c>
      <c r="F35" s="48">
        <v>58280</v>
      </c>
      <c r="G35" s="332">
        <v>46871</v>
      </c>
      <c r="H35" s="327" t="s">
        <v>473</v>
      </c>
      <c r="I35" s="26">
        <v>42674</v>
      </c>
    </row>
    <row r="36" spans="1:10" x14ac:dyDescent="0.2">
      <c r="A36" s="333" t="s">
        <v>217</v>
      </c>
      <c r="B36" s="259" t="s">
        <v>216</v>
      </c>
      <c r="C36" s="25">
        <f>39300+66700</f>
        <v>106000</v>
      </c>
      <c r="D36" s="43">
        <v>102785</v>
      </c>
      <c r="E36" s="327" t="s">
        <v>174</v>
      </c>
      <c r="F36" s="48">
        <v>80621</v>
      </c>
      <c r="G36" s="332">
        <v>22164</v>
      </c>
      <c r="H36" s="327" t="s">
        <v>473</v>
      </c>
      <c r="I36" s="33">
        <v>42735</v>
      </c>
    </row>
    <row r="37" spans="1:10" ht="15" x14ac:dyDescent="0.25">
      <c r="A37" s="170"/>
      <c r="B37" s="329" t="s">
        <v>180</v>
      </c>
      <c r="C37" s="334">
        <f>SUM(C29:C36)</f>
        <v>7063064</v>
      </c>
      <c r="D37" s="330">
        <f>SUM(D29:D36)</f>
        <v>1500000</v>
      </c>
      <c r="E37" s="170"/>
      <c r="F37" s="334">
        <f t="shared" ref="F37:G37" si="2">SUM(F29:F36)</f>
        <v>1170120</v>
      </c>
      <c r="G37" s="506">
        <f t="shared" si="2"/>
        <v>329879</v>
      </c>
      <c r="H37" s="170"/>
      <c r="I37" s="170"/>
    </row>
    <row r="38" spans="1:10" ht="15" x14ac:dyDescent="0.25">
      <c r="A38" s="335"/>
      <c r="B38" s="336"/>
      <c r="C38" s="337"/>
      <c r="D38" s="338"/>
      <c r="E38" s="335"/>
      <c r="F38" s="337"/>
      <c r="G38" s="339"/>
      <c r="H38" s="335"/>
      <c r="I38" s="335"/>
    </row>
    <row r="39" spans="1:10" ht="15" x14ac:dyDescent="0.25">
      <c r="A39" s="335"/>
      <c r="B39" s="336"/>
      <c r="C39" s="337"/>
      <c r="D39" s="338"/>
      <c r="E39" s="335"/>
      <c r="F39" s="337"/>
      <c r="G39" s="339"/>
      <c r="H39" s="335"/>
      <c r="I39" s="335"/>
    </row>
    <row r="41" spans="1:10" ht="15" x14ac:dyDescent="0.25">
      <c r="C41" s="322" t="s">
        <v>205</v>
      </c>
      <c r="D41" s="322"/>
    </row>
    <row r="42" spans="1:10" ht="45" x14ac:dyDescent="0.2">
      <c r="A42" s="323" t="s">
        <v>165</v>
      </c>
      <c r="B42" s="323" t="s">
        <v>0</v>
      </c>
      <c r="C42" s="324" t="s">
        <v>1</v>
      </c>
      <c r="D42" s="324" t="s">
        <v>166</v>
      </c>
      <c r="E42" s="323" t="s">
        <v>167</v>
      </c>
      <c r="F42" s="324" t="s">
        <v>168</v>
      </c>
      <c r="G42" s="324" t="s">
        <v>169</v>
      </c>
      <c r="H42" s="323" t="s">
        <v>170</v>
      </c>
      <c r="I42" s="324" t="s">
        <v>644</v>
      </c>
    </row>
    <row r="43" spans="1:10" ht="25.5" x14ac:dyDescent="0.2">
      <c r="A43" s="207" t="s">
        <v>645</v>
      </c>
      <c r="B43" s="13" t="s">
        <v>206</v>
      </c>
      <c r="C43" s="507">
        <v>450000</v>
      </c>
      <c r="D43" s="508">
        <v>94903</v>
      </c>
      <c r="E43" s="327" t="s">
        <v>174</v>
      </c>
      <c r="F43" s="504">
        <f>2127+92776</f>
        <v>94903</v>
      </c>
      <c r="G43" s="332">
        <f>SUM(D43-F43)</f>
        <v>0</v>
      </c>
      <c r="H43" s="327" t="s">
        <v>185</v>
      </c>
      <c r="I43" s="33">
        <v>41939</v>
      </c>
    </row>
    <row r="44" spans="1:10" ht="25.5" x14ac:dyDescent="0.2">
      <c r="A44" s="207" t="s">
        <v>648</v>
      </c>
      <c r="B44" s="13" t="s">
        <v>207</v>
      </c>
      <c r="C44" s="286">
        <v>3430000</v>
      </c>
      <c r="D44" s="340">
        <v>325782</v>
      </c>
      <c r="E44" s="327" t="s">
        <v>174</v>
      </c>
      <c r="F44" s="48">
        <v>325782</v>
      </c>
      <c r="G44" s="332">
        <f>SUM(D44-F44)</f>
        <v>0</v>
      </c>
      <c r="H44" s="327" t="s">
        <v>185</v>
      </c>
      <c r="I44" s="33">
        <v>41898</v>
      </c>
    </row>
    <row r="45" spans="1:10" x14ac:dyDescent="0.2">
      <c r="A45" s="333" t="s">
        <v>208</v>
      </c>
      <c r="B45" s="341" t="s">
        <v>656</v>
      </c>
      <c r="C45" s="286">
        <v>5200000</v>
      </c>
      <c r="D45" s="340">
        <v>568101</v>
      </c>
      <c r="E45" s="327" t="s">
        <v>174</v>
      </c>
      <c r="F45" s="48">
        <f>144411+330600+93090</f>
        <v>568101</v>
      </c>
      <c r="G45" s="332">
        <v>0</v>
      </c>
      <c r="H45" s="327" t="s">
        <v>185</v>
      </c>
      <c r="I45" s="33">
        <v>41228</v>
      </c>
    </row>
    <row r="46" spans="1:10" ht="57" customHeight="1" x14ac:dyDescent="0.2">
      <c r="A46" s="333" t="s">
        <v>209</v>
      </c>
      <c r="B46" s="13" t="s">
        <v>210</v>
      </c>
      <c r="C46" s="286">
        <v>1351480</v>
      </c>
      <c r="D46" s="285">
        <v>107598</v>
      </c>
      <c r="E46" s="327" t="s">
        <v>174</v>
      </c>
      <c r="F46" s="48">
        <f>31505</f>
        <v>31505</v>
      </c>
      <c r="G46" s="332">
        <f t="shared" ref="G46:G47" si="3">SUM(D46-F46)</f>
        <v>76093</v>
      </c>
      <c r="H46" s="327" t="s">
        <v>473</v>
      </c>
      <c r="I46" s="33">
        <v>42735</v>
      </c>
      <c r="J46" s="325"/>
    </row>
    <row r="47" spans="1:10" ht="25.5" x14ac:dyDescent="0.2">
      <c r="A47" s="333" t="s">
        <v>211</v>
      </c>
      <c r="B47" s="13" t="s">
        <v>212</v>
      </c>
      <c r="C47" s="286">
        <v>100000</v>
      </c>
      <c r="D47" s="285">
        <v>97119</v>
      </c>
      <c r="E47" s="327" t="s">
        <v>174</v>
      </c>
      <c r="F47" s="48">
        <v>97119</v>
      </c>
      <c r="G47" s="332">
        <f t="shared" si="3"/>
        <v>0</v>
      </c>
      <c r="H47" s="327" t="s">
        <v>185</v>
      </c>
      <c r="I47" s="33">
        <v>42185</v>
      </c>
    </row>
    <row r="48" spans="1:10" x14ac:dyDescent="0.2">
      <c r="A48" s="333" t="s">
        <v>213</v>
      </c>
      <c r="B48" s="13" t="s">
        <v>214</v>
      </c>
      <c r="C48" s="285">
        <v>722170</v>
      </c>
      <c r="D48" s="285">
        <v>99415</v>
      </c>
      <c r="E48" s="327" t="s">
        <v>174</v>
      </c>
      <c r="F48" s="48">
        <f>56522+42893</f>
        <v>99415</v>
      </c>
      <c r="G48" s="332">
        <v>0</v>
      </c>
      <c r="H48" s="327" t="s">
        <v>185</v>
      </c>
      <c r="I48" s="33">
        <v>41110</v>
      </c>
    </row>
    <row r="49" spans="1:9" x14ac:dyDescent="0.2">
      <c r="A49" s="333" t="s">
        <v>215</v>
      </c>
      <c r="B49" s="13" t="s">
        <v>216</v>
      </c>
      <c r="C49" s="286">
        <v>200000</v>
      </c>
      <c r="D49" s="285">
        <v>103848</v>
      </c>
      <c r="E49" s="327" t="s">
        <v>174</v>
      </c>
      <c r="F49" s="48">
        <v>101869</v>
      </c>
      <c r="G49" s="332">
        <v>1979</v>
      </c>
      <c r="H49" s="327" t="s">
        <v>473</v>
      </c>
      <c r="I49" s="33">
        <v>42460</v>
      </c>
    </row>
    <row r="50" spans="1:9" ht="25.5" x14ac:dyDescent="0.2">
      <c r="A50" s="333" t="s">
        <v>217</v>
      </c>
      <c r="B50" s="13" t="s">
        <v>218</v>
      </c>
      <c r="C50" s="286">
        <v>103560</v>
      </c>
      <c r="D50" s="285">
        <v>103234</v>
      </c>
      <c r="E50" s="327" t="s">
        <v>174</v>
      </c>
      <c r="F50" s="504">
        <v>36671</v>
      </c>
      <c r="G50" s="504">
        <v>66563</v>
      </c>
      <c r="H50" s="327" t="s">
        <v>473</v>
      </c>
      <c r="I50" s="33">
        <v>42735</v>
      </c>
    </row>
    <row r="51" spans="1:9" ht="15" x14ac:dyDescent="0.25">
      <c r="A51" s="170"/>
      <c r="B51" s="329" t="s">
        <v>180</v>
      </c>
      <c r="C51" s="334">
        <f>SUM(C43:C50)</f>
        <v>11557210</v>
      </c>
      <c r="D51" s="330">
        <f>SUM(D43:D50)</f>
        <v>1500000</v>
      </c>
      <c r="E51" s="170"/>
      <c r="F51" s="334">
        <f t="shared" ref="F51" si="4">SUM(F43:F50)</f>
        <v>1355365</v>
      </c>
      <c r="G51" s="509">
        <f>SUM(G43:G50)</f>
        <v>144635</v>
      </c>
      <c r="H51" s="170"/>
      <c r="I51" s="170"/>
    </row>
    <row r="55" spans="1:9" ht="15" x14ac:dyDescent="0.25">
      <c r="C55" s="322" t="s">
        <v>219</v>
      </c>
      <c r="D55" s="322"/>
    </row>
    <row r="56" spans="1:9" ht="45" x14ac:dyDescent="0.2">
      <c r="A56" s="323" t="s">
        <v>165</v>
      </c>
      <c r="B56" s="323" t="s">
        <v>0</v>
      </c>
      <c r="C56" s="324" t="s">
        <v>1</v>
      </c>
      <c r="D56" s="324" t="s">
        <v>166</v>
      </c>
      <c r="E56" s="323" t="s">
        <v>167</v>
      </c>
      <c r="F56" s="324" t="s">
        <v>168</v>
      </c>
      <c r="G56" s="324" t="s">
        <v>169</v>
      </c>
      <c r="H56" s="323" t="s">
        <v>170</v>
      </c>
      <c r="I56" s="324" t="s">
        <v>644</v>
      </c>
    </row>
    <row r="57" spans="1:9" ht="25.5" x14ac:dyDescent="0.2">
      <c r="A57" s="207" t="s">
        <v>645</v>
      </c>
      <c r="B57" s="13" t="s">
        <v>220</v>
      </c>
      <c r="C57" s="342">
        <v>898500</v>
      </c>
      <c r="D57" s="343">
        <v>94579</v>
      </c>
      <c r="E57" s="327" t="s">
        <v>174</v>
      </c>
      <c r="F57" s="25">
        <f>8398+86181</f>
        <v>94579</v>
      </c>
      <c r="G57" s="331">
        <f>SUM(D57-F57)</f>
        <v>0</v>
      </c>
      <c r="H57" s="327" t="s">
        <v>185</v>
      </c>
      <c r="I57" s="179">
        <v>41809</v>
      </c>
    </row>
    <row r="58" spans="1:9" ht="25.5" x14ac:dyDescent="0.2">
      <c r="A58" s="207" t="s">
        <v>648</v>
      </c>
      <c r="B58" s="13" t="s">
        <v>221</v>
      </c>
      <c r="C58" s="342">
        <v>3904000</v>
      </c>
      <c r="D58" s="344">
        <v>328020</v>
      </c>
      <c r="E58" s="327" t="s">
        <v>174</v>
      </c>
      <c r="F58" s="48">
        <v>328020</v>
      </c>
      <c r="G58" s="332">
        <v>0</v>
      </c>
      <c r="H58" s="327" t="s">
        <v>185</v>
      </c>
      <c r="I58" s="179">
        <v>41281</v>
      </c>
    </row>
    <row r="59" spans="1:9" x14ac:dyDescent="0.2">
      <c r="A59" s="333" t="s">
        <v>208</v>
      </c>
      <c r="B59" s="341" t="s">
        <v>656</v>
      </c>
      <c r="C59" s="342">
        <v>800000</v>
      </c>
      <c r="D59" s="344">
        <v>562349</v>
      </c>
      <c r="E59" s="327" t="s">
        <v>174</v>
      </c>
      <c r="F59" s="48">
        <f>470325+89799+2225</f>
        <v>562349</v>
      </c>
      <c r="G59" s="332">
        <f t="shared" ref="G59:G63" si="5">SUM(D59-F59)</f>
        <v>0</v>
      </c>
      <c r="H59" s="327" t="s">
        <v>185</v>
      </c>
      <c r="I59" s="179">
        <v>41176</v>
      </c>
    </row>
    <row r="60" spans="1:9" x14ac:dyDescent="0.2">
      <c r="A60" s="333" t="s">
        <v>209</v>
      </c>
      <c r="B60" s="13" t="s">
        <v>210</v>
      </c>
      <c r="C60" s="342">
        <v>8752175</v>
      </c>
      <c r="D60" s="343">
        <v>110137</v>
      </c>
      <c r="E60" s="327" t="s">
        <v>174</v>
      </c>
      <c r="F60" s="48">
        <v>110137</v>
      </c>
      <c r="G60" s="332">
        <f t="shared" si="5"/>
        <v>0</v>
      </c>
      <c r="H60" s="327" t="s">
        <v>185</v>
      </c>
      <c r="I60" s="179">
        <v>41494</v>
      </c>
    </row>
    <row r="61" spans="1:9" ht="51" x14ac:dyDescent="0.2">
      <c r="A61" s="333" t="s">
        <v>211</v>
      </c>
      <c r="B61" s="13" t="s">
        <v>222</v>
      </c>
      <c r="C61" s="342">
        <v>225000</v>
      </c>
      <c r="D61" s="343">
        <v>95992</v>
      </c>
      <c r="E61" s="327" t="s">
        <v>174</v>
      </c>
      <c r="F61" s="49">
        <v>97119</v>
      </c>
      <c r="G61" s="332">
        <v>0</v>
      </c>
      <c r="H61" s="327" t="s">
        <v>185</v>
      </c>
      <c r="I61" s="179">
        <v>42181</v>
      </c>
    </row>
    <row r="62" spans="1:9" x14ac:dyDescent="0.2">
      <c r="A62" s="333" t="s">
        <v>213</v>
      </c>
      <c r="B62" s="262" t="s">
        <v>214</v>
      </c>
      <c r="C62" s="510">
        <v>500000</v>
      </c>
      <c r="D62" s="343">
        <v>99205</v>
      </c>
      <c r="E62" s="327" t="s">
        <v>174</v>
      </c>
      <c r="F62" s="48">
        <f>44551+54654</f>
        <v>99205</v>
      </c>
      <c r="G62" s="332">
        <f t="shared" si="5"/>
        <v>0</v>
      </c>
      <c r="H62" s="327" t="s">
        <v>185</v>
      </c>
      <c r="I62" s="179">
        <v>41246</v>
      </c>
    </row>
    <row r="63" spans="1:9" x14ac:dyDescent="0.2">
      <c r="A63" s="333" t="s">
        <v>215</v>
      </c>
      <c r="B63" s="13" t="s">
        <v>216</v>
      </c>
      <c r="C63" s="342">
        <v>200000</v>
      </c>
      <c r="D63" s="343">
        <v>107536</v>
      </c>
      <c r="E63" s="327" t="s">
        <v>174</v>
      </c>
      <c r="F63" s="48">
        <f>34487+52970+11078+9001</f>
        <v>107536</v>
      </c>
      <c r="G63" s="332">
        <f t="shared" si="5"/>
        <v>0</v>
      </c>
      <c r="H63" s="327" t="s">
        <v>185</v>
      </c>
      <c r="I63" s="179">
        <v>41506</v>
      </c>
    </row>
    <row r="64" spans="1:9" x14ac:dyDescent="0.2">
      <c r="A64" s="333" t="s">
        <v>217</v>
      </c>
      <c r="B64" s="13" t="s">
        <v>216</v>
      </c>
      <c r="C64" s="342">
        <v>104929</v>
      </c>
      <c r="D64" s="343">
        <v>103021</v>
      </c>
      <c r="E64" s="327" t="s">
        <v>174</v>
      </c>
      <c r="F64" s="48">
        <v>16865</v>
      </c>
      <c r="G64" s="332">
        <v>86156</v>
      </c>
      <c r="H64" s="327" t="s">
        <v>473</v>
      </c>
      <c r="I64" s="179">
        <v>42735</v>
      </c>
    </row>
    <row r="65" spans="1:9" ht="15" x14ac:dyDescent="0.25">
      <c r="A65" s="170"/>
      <c r="B65" s="329" t="s">
        <v>180</v>
      </c>
      <c r="C65" s="334">
        <f>SUM(C57:C64)</f>
        <v>15384604</v>
      </c>
      <c r="D65" s="330">
        <f>SUM(D57:D64)</f>
        <v>1500839</v>
      </c>
      <c r="E65" s="170"/>
      <c r="F65" s="334">
        <f>SUM(F57:F64)</f>
        <v>1415810</v>
      </c>
      <c r="G65" s="506">
        <f>SUM(G57:G64)</f>
        <v>86156</v>
      </c>
      <c r="H65" s="170"/>
      <c r="I65" s="17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6"/>
  <sheetViews>
    <sheetView zoomScaleNormal="100" workbookViewId="0">
      <pane ySplit="1" topLeftCell="A2" activePane="bottomLeft" state="frozen"/>
      <selection activeCell="C1" sqref="C1"/>
      <selection pane="bottomLeft" activeCell="C7" sqref="C7"/>
    </sheetView>
  </sheetViews>
  <sheetFormatPr defaultRowHeight="12.75" x14ac:dyDescent="0.2"/>
  <cols>
    <col min="1" max="1" width="17" style="348" customWidth="1"/>
    <col min="2" max="2" width="7.85546875" style="348" customWidth="1"/>
    <col min="3" max="3" width="55.5703125" style="348" bestFit="1" customWidth="1"/>
    <col min="4" max="4" width="22.7109375" style="348" customWidth="1"/>
    <col min="5" max="5" width="14.42578125" style="398" bestFit="1" customWidth="1"/>
    <col min="6" max="6" width="48.42578125" style="348" customWidth="1"/>
    <col min="7" max="7" width="13.28515625" style="398" bestFit="1" customWidth="1"/>
    <col min="8" max="8" width="5.85546875" style="321" customWidth="1"/>
    <col min="9" max="9" width="10.85546875" style="348" bestFit="1" customWidth="1"/>
    <col min="10" max="10" width="20" style="173" customWidth="1"/>
    <col min="11" max="16384" width="9.140625" style="348"/>
  </cols>
  <sheetData>
    <row r="1" spans="1:10" s="345" customFormat="1" ht="23.25" x14ac:dyDescent="0.35">
      <c r="A1" s="514" t="s">
        <v>91</v>
      </c>
      <c r="B1" s="514"/>
      <c r="C1" s="514"/>
      <c r="D1" s="514"/>
      <c r="E1" s="514"/>
      <c r="F1" s="514"/>
      <c r="G1" s="514"/>
      <c r="H1" s="514"/>
      <c r="I1" s="514"/>
      <c r="J1" s="514"/>
    </row>
    <row r="2" spans="1:10" ht="25.5" x14ac:dyDescent="0.2">
      <c r="A2" s="346" t="s">
        <v>89</v>
      </c>
      <c r="B2" s="14" t="s">
        <v>88</v>
      </c>
      <c r="C2" s="347" t="s">
        <v>0</v>
      </c>
      <c r="D2" s="347" t="s">
        <v>87</v>
      </c>
      <c r="E2" s="347" t="s">
        <v>1</v>
      </c>
      <c r="F2" s="347" t="s">
        <v>86</v>
      </c>
      <c r="G2" s="515" t="s">
        <v>85</v>
      </c>
      <c r="H2" s="516"/>
      <c r="I2" s="347" t="s">
        <v>84</v>
      </c>
      <c r="J2" s="347" t="s">
        <v>83</v>
      </c>
    </row>
    <row r="3" spans="1:10" s="359" customFormat="1" ht="25.5" x14ac:dyDescent="0.2">
      <c r="A3" s="349" t="s">
        <v>8</v>
      </c>
      <c r="B3" s="350">
        <v>2016</v>
      </c>
      <c r="C3" s="351" t="s">
        <v>657</v>
      </c>
      <c r="D3" s="352" t="s">
        <v>22</v>
      </c>
      <c r="E3" s="353">
        <v>1209000</v>
      </c>
      <c r="F3" s="354" t="s">
        <v>658</v>
      </c>
      <c r="G3" s="355">
        <v>600000</v>
      </c>
      <c r="H3" s="356"/>
      <c r="I3" s="357">
        <v>0</v>
      </c>
      <c r="J3" s="358">
        <v>42916</v>
      </c>
    </row>
    <row r="4" spans="1:10" s="359" customFormat="1" ht="25.5" x14ac:dyDescent="0.2">
      <c r="A4" s="349" t="s">
        <v>8</v>
      </c>
      <c r="B4" s="350">
        <v>2016</v>
      </c>
      <c r="C4" s="351" t="s">
        <v>659</v>
      </c>
      <c r="D4" s="352" t="s">
        <v>22</v>
      </c>
      <c r="E4" s="353">
        <v>850000</v>
      </c>
      <c r="F4" s="354" t="s">
        <v>658</v>
      </c>
      <c r="G4" s="355">
        <v>398500</v>
      </c>
      <c r="H4" s="356"/>
      <c r="I4" s="357">
        <v>0</v>
      </c>
      <c r="J4" s="358">
        <v>42916</v>
      </c>
    </row>
    <row r="5" spans="1:10" s="359" customFormat="1" ht="25.5" x14ac:dyDescent="0.2">
      <c r="A5" s="349" t="s">
        <v>8</v>
      </c>
      <c r="B5" s="350">
        <v>2016</v>
      </c>
      <c r="C5" s="351" t="s">
        <v>660</v>
      </c>
      <c r="D5" s="352" t="s">
        <v>22</v>
      </c>
      <c r="E5" s="353">
        <v>4321590</v>
      </c>
      <c r="F5" s="354" t="s">
        <v>658</v>
      </c>
      <c r="G5" s="355">
        <v>679699</v>
      </c>
      <c r="H5" s="356"/>
      <c r="I5" s="357">
        <v>0</v>
      </c>
      <c r="J5" s="358">
        <v>42916</v>
      </c>
    </row>
    <row r="6" spans="1:10" s="359" customFormat="1" ht="38.25" x14ac:dyDescent="0.2">
      <c r="A6" s="349" t="s">
        <v>8</v>
      </c>
      <c r="B6" s="350">
        <v>2016</v>
      </c>
      <c r="C6" s="351" t="s">
        <v>661</v>
      </c>
      <c r="D6" s="352" t="s">
        <v>662</v>
      </c>
      <c r="E6" s="353">
        <v>296400</v>
      </c>
      <c r="F6" s="354" t="s">
        <v>658</v>
      </c>
      <c r="G6" s="355">
        <v>222300</v>
      </c>
      <c r="H6" s="356"/>
      <c r="I6" s="357">
        <v>0</v>
      </c>
      <c r="J6" s="358">
        <v>42916</v>
      </c>
    </row>
    <row r="7" spans="1:10" s="359" customFormat="1" ht="38.25" x14ac:dyDescent="0.2">
      <c r="A7" s="349" t="s">
        <v>8</v>
      </c>
      <c r="B7" s="350">
        <v>2016</v>
      </c>
      <c r="C7" s="351" t="s">
        <v>663</v>
      </c>
      <c r="D7" s="352" t="s">
        <v>664</v>
      </c>
      <c r="E7" s="353">
        <v>1200100</v>
      </c>
      <c r="F7" s="354" t="s">
        <v>658</v>
      </c>
      <c r="G7" s="355">
        <v>749501</v>
      </c>
      <c r="H7" s="356"/>
      <c r="I7" s="357">
        <v>0</v>
      </c>
      <c r="J7" s="358">
        <v>42916</v>
      </c>
    </row>
    <row r="8" spans="1:10" s="359" customFormat="1" ht="25.5" x14ac:dyDescent="0.2">
      <c r="A8" s="349" t="s">
        <v>8</v>
      </c>
      <c r="B8" s="350">
        <v>2016</v>
      </c>
      <c r="C8" s="351" t="s">
        <v>665</v>
      </c>
      <c r="D8" s="352" t="s">
        <v>22</v>
      </c>
      <c r="E8" s="353">
        <v>1136000</v>
      </c>
      <c r="F8" s="354" t="s">
        <v>666</v>
      </c>
      <c r="G8" s="355">
        <v>750000</v>
      </c>
      <c r="H8" s="356"/>
      <c r="I8" s="357">
        <v>0</v>
      </c>
      <c r="J8" s="358">
        <v>42916</v>
      </c>
    </row>
    <row r="9" spans="1:10" s="359" customFormat="1" x14ac:dyDescent="0.2">
      <c r="A9" s="360"/>
      <c r="B9" s="361"/>
      <c r="C9" s="362"/>
      <c r="D9" s="362"/>
      <c r="E9" s="362"/>
      <c r="F9" s="362"/>
      <c r="G9" s="363"/>
      <c r="H9" s="364"/>
      <c r="I9" s="362"/>
      <c r="J9" s="362"/>
    </row>
    <row r="10" spans="1:10" s="359" customFormat="1" ht="38.25" x14ac:dyDescent="0.2">
      <c r="A10" s="365" t="s">
        <v>8</v>
      </c>
      <c r="B10" s="350">
        <v>2015</v>
      </c>
      <c r="C10" s="351" t="s">
        <v>562</v>
      </c>
      <c r="D10" s="352" t="s">
        <v>667</v>
      </c>
      <c r="E10" s="353">
        <v>2109860</v>
      </c>
      <c r="F10" s="354" t="s">
        <v>563</v>
      </c>
      <c r="G10" s="355">
        <v>782500</v>
      </c>
      <c r="H10" s="356"/>
      <c r="I10" s="357">
        <v>782500</v>
      </c>
      <c r="J10" s="366">
        <v>42061</v>
      </c>
    </row>
    <row r="11" spans="1:10" s="359" customFormat="1" ht="38.25" x14ac:dyDescent="0.2">
      <c r="A11" s="365" t="s">
        <v>8</v>
      </c>
      <c r="B11" s="350">
        <v>2015</v>
      </c>
      <c r="C11" s="351" t="s">
        <v>564</v>
      </c>
      <c r="D11" s="352" t="s">
        <v>589</v>
      </c>
      <c r="E11" s="353">
        <v>214542</v>
      </c>
      <c r="F11" s="354" t="s">
        <v>7</v>
      </c>
      <c r="G11" s="355">
        <v>160906</v>
      </c>
      <c r="H11" s="356"/>
      <c r="I11" s="357">
        <v>15088.04</v>
      </c>
      <c r="J11" s="366">
        <v>42916</v>
      </c>
    </row>
    <row r="12" spans="1:10" s="359" customFormat="1" ht="38.25" x14ac:dyDescent="0.2">
      <c r="A12" s="365" t="s">
        <v>8</v>
      </c>
      <c r="B12" s="350">
        <v>2015</v>
      </c>
      <c r="C12" s="351" t="s">
        <v>565</v>
      </c>
      <c r="D12" s="352" t="s">
        <v>668</v>
      </c>
      <c r="E12" s="353">
        <v>299250</v>
      </c>
      <c r="F12" s="354" t="s">
        <v>45</v>
      </c>
      <c r="G12" s="355">
        <v>224437</v>
      </c>
      <c r="H12" s="356"/>
      <c r="I12" s="357">
        <v>0</v>
      </c>
      <c r="J12" s="366">
        <v>42916</v>
      </c>
    </row>
    <row r="13" spans="1:10" s="359" customFormat="1" ht="38.25" x14ac:dyDescent="0.2">
      <c r="A13" s="365" t="s">
        <v>8</v>
      </c>
      <c r="B13" s="350">
        <v>2015</v>
      </c>
      <c r="C13" s="351" t="s">
        <v>566</v>
      </c>
      <c r="D13" s="352" t="s">
        <v>669</v>
      </c>
      <c r="E13" s="353">
        <v>1690000</v>
      </c>
      <c r="F13" s="354" t="s">
        <v>567</v>
      </c>
      <c r="G13" s="355">
        <v>340000</v>
      </c>
      <c r="H13" s="356"/>
      <c r="I13" s="357">
        <v>151890.70000000001</v>
      </c>
      <c r="J13" s="366">
        <v>42916</v>
      </c>
    </row>
    <row r="14" spans="1:10" s="359" customFormat="1" ht="38.25" x14ac:dyDescent="0.2">
      <c r="A14" s="365" t="s">
        <v>8</v>
      </c>
      <c r="B14" s="350">
        <v>2015</v>
      </c>
      <c r="C14" s="351" t="s">
        <v>568</v>
      </c>
      <c r="D14" s="352" t="s">
        <v>670</v>
      </c>
      <c r="E14" s="353">
        <v>605333</v>
      </c>
      <c r="F14" s="354" t="s">
        <v>7</v>
      </c>
      <c r="G14" s="355">
        <v>454000</v>
      </c>
      <c r="H14" s="356"/>
      <c r="I14" s="357">
        <v>256912.22</v>
      </c>
      <c r="J14" s="366">
        <v>42916</v>
      </c>
    </row>
    <row r="15" spans="1:10" s="359" customFormat="1" ht="38.25" x14ac:dyDescent="0.2">
      <c r="A15" s="365" t="s">
        <v>8</v>
      </c>
      <c r="B15" s="350">
        <v>2015</v>
      </c>
      <c r="C15" s="351" t="s">
        <v>569</v>
      </c>
      <c r="D15" s="352" t="s">
        <v>671</v>
      </c>
      <c r="E15" s="353">
        <v>395000</v>
      </c>
      <c r="F15" s="354" t="s">
        <v>76</v>
      </c>
      <c r="G15" s="355">
        <v>296250</v>
      </c>
      <c r="H15" s="356"/>
      <c r="I15" s="357">
        <v>91731.74</v>
      </c>
      <c r="J15" s="366">
        <v>42916</v>
      </c>
    </row>
    <row r="16" spans="1:10" s="367" customFormat="1" ht="38.25" x14ac:dyDescent="0.2">
      <c r="A16" s="365" t="s">
        <v>8</v>
      </c>
      <c r="B16" s="350">
        <v>2015</v>
      </c>
      <c r="C16" s="351" t="s">
        <v>570</v>
      </c>
      <c r="D16" s="352" t="s">
        <v>672</v>
      </c>
      <c r="E16" s="353">
        <v>1335000</v>
      </c>
      <c r="F16" s="354" t="s">
        <v>571</v>
      </c>
      <c r="G16" s="355">
        <v>775000</v>
      </c>
      <c r="H16" s="356"/>
      <c r="I16" s="357">
        <v>0</v>
      </c>
      <c r="J16" s="366">
        <v>42916</v>
      </c>
    </row>
    <row r="17" spans="1:13" s="367" customFormat="1" ht="38.25" x14ac:dyDescent="0.2">
      <c r="A17" s="365" t="s">
        <v>8</v>
      </c>
      <c r="B17" s="350">
        <v>2015</v>
      </c>
      <c r="C17" s="351" t="s">
        <v>673</v>
      </c>
      <c r="D17" s="352" t="s">
        <v>674</v>
      </c>
      <c r="E17" s="353">
        <v>1066590</v>
      </c>
      <c r="F17" s="354" t="s">
        <v>675</v>
      </c>
      <c r="G17" s="355">
        <v>500000</v>
      </c>
      <c r="H17" s="356" t="s">
        <v>676</v>
      </c>
      <c r="I17" s="357">
        <v>0</v>
      </c>
      <c r="J17" s="366">
        <v>42916</v>
      </c>
    </row>
    <row r="18" spans="1:13" s="359" customFormat="1" ht="38.25" x14ac:dyDescent="0.2">
      <c r="A18" s="365" t="s">
        <v>8</v>
      </c>
      <c r="B18" s="350">
        <v>2015</v>
      </c>
      <c r="C18" s="351" t="s">
        <v>572</v>
      </c>
      <c r="D18" s="352" t="s">
        <v>677</v>
      </c>
      <c r="E18" s="353">
        <v>862853</v>
      </c>
      <c r="F18" s="354" t="s">
        <v>573</v>
      </c>
      <c r="G18" s="355">
        <v>647140</v>
      </c>
      <c r="H18" s="356"/>
      <c r="I18" s="357">
        <v>20627.650000000001</v>
      </c>
      <c r="J18" s="366">
        <v>42916</v>
      </c>
    </row>
    <row r="19" spans="1:13" s="359" customFormat="1" ht="38.25" x14ac:dyDescent="0.2">
      <c r="A19" s="365" t="s">
        <v>8</v>
      </c>
      <c r="B19" s="350">
        <v>2015</v>
      </c>
      <c r="C19" s="351" t="s">
        <v>574</v>
      </c>
      <c r="D19" s="352" t="s">
        <v>678</v>
      </c>
      <c r="E19" s="353">
        <v>1369575</v>
      </c>
      <c r="F19" s="354" t="s">
        <v>575</v>
      </c>
      <c r="G19" s="355">
        <v>579074</v>
      </c>
      <c r="H19" s="356"/>
      <c r="I19" s="357">
        <v>0</v>
      </c>
      <c r="J19" s="366">
        <v>42916</v>
      </c>
    </row>
    <row r="20" spans="1:13" s="359" customFormat="1" ht="38.25" x14ac:dyDescent="0.2">
      <c r="A20" s="365" t="s">
        <v>8</v>
      </c>
      <c r="B20" s="350">
        <v>2015</v>
      </c>
      <c r="C20" s="351" t="s">
        <v>576</v>
      </c>
      <c r="D20" s="352" t="s">
        <v>679</v>
      </c>
      <c r="E20" s="353">
        <v>933333</v>
      </c>
      <c r="F20" s="354" t="s">
        <v>577</v>
      </c>
      <c r="G20" s="355">
        <v>700000</v>
      </c>
      <c r="H20" s="356"/>
      <c r="I20" s="357">
        <v>5350.69</v>
      </c>
      <c r="J20" s="366">
        <v>42916</v>
      </c>
    </row>
    <row r="21" spans="1:13" s="359" customFormat="1" ht="38.25" x14ac:dyDescent="0.2">
      <c r="A21" s="365" t="s">
        <v>8</v>
      </c>
      <c r="B21" s="350">
        <v>2015</v>
      </c>
      <c r="C21" s="351" t="s">
        <v>578</v>
      </c>
      <c r="D21" s="352" t="s">
        <v>680</v>
      </c>
      <c r="E21" s="353">
        <v>75000</v>
      </c>
      <c r="F21" s="354" t="s">
        <v>579</v>
      </c>
      <c r="G21" s="355">
        <v>55000</v>
      </c>
      <c r="H21" s="356"/>
      <c r="I21" s="357">
        <v>0</v>
      </c>
      <c r="J21" s="366">
        <v>42916</v>
      </c>
    </row>
    <row r="22" spans="1:13" s="359" customFormat="1" ht="38.25" x14ac:dyDescent="0.2">
      <c r="A22" s="365" t="s">
        <v>8</v>
      </c>
      <c r="B22" s="350">
        <v>2015</v>
      </c>
      <c r="C22" s="351" t="s">
        <v>580</v>
      </c>
      <c r="D22" s="352" t="s">
        <v>681</v>
      </c>
      <c r="E22" s="353">
        <v>3740000</v>
      </c>
      <c r="F22" s="354" t="s">
        <v>581</v>
      </c>
      <c r="G22" s="355">
        <v>500000</v>
      </c>
      <c r="H22" s="356" t="s">
        <v>676</v>
      </c>
      <c r="I22" s="357">
        <v>0</v>
      </c>
      <c r="J22" s="366">
        <v>42916</v>
      </c>
    </row>
    <row r="23" spans="1:13" s="359" customFormat="1" x14ac:dyDescent="0.2">
      <c r="A23" s="360"/>
      <c r="B23" s="368">
        <v>2014</v>
      </c>
      <c r="C23" s="362"/>
      <c r="D23" s="369"/>
      <c r="E23" s="369"/>
      <c r="F23" s="369"/>
      <c r="G23" s="369"/>
      <c r="H23" s="370" t="e">
        <f>SUM(#REF!)</f>
        <v>#REF!</v>
      </c>
      <c r="I23" s="369"/>
      <c r="J23" s="370" t="e">
        <f>SUM(#REF!)</f>
        <v>#REF!</v>
      </c>
    </row>
    <row r="24" spans="1:13" s="371" customFormat="1" ht="38.25" x14ac:dyDescent="0.2">
      <c r="A24" s="365" t="s">
        <v>8</v>
      </c>
      <c r="B24" s="350">
        <v>2014</v>
      </c>
      <c r="C24" s="351" t="s">
        <v>582</v>
      </c>
      <c r="D24" s="352" t="s">
        <v>583</v>
      </c>
      <c r="E24" s="353">
        <v>3065000</v>
      </c>
      <c r="F24" s="354" t="s">
        <v>474</v>
      </c>
      <c r="G24" s="355">
        <v>782500</v>
      </c>
      <c r="H24" s="356"/>
      <c r="I24" s="357">
        <v>782500</v>
      </c>
      <c r="J24" s="366">
        <v>41760</v>
      </c>
    </row>
    <row r="25" spans="1:13" s="359" customFormat="1" ht="38.25" x14ac:dyDescent="0.2">
      <c r="A25" s="365" t="s">
        <v>8</v>
      </c>
      <c r="B25" s="350">
        <v>2014</v>
      </c>
      <c r="C25" s="351" t="s">
        <v>475</v>
      </c>
      <c r="D25" s="352" t="s">
        <v>584</v>
      </c>
      <c r="E25" s="353">
        <v>722275</v>
      </c>
      <c r="F25" s="354" t="s">
        <v>476</v>
      </c>
      <c r="G25" s="355">
        <v>260774</v>
      </c>
      <c r="H25" s="356"/>
      <c r="I25" s="357">
        <v>247735.3</v>
      </c>
      <c r="J25" s="358">
        <v>42916</v>
      </c>
      <c r="K25" s="372"/>
      <c r="L25" s="367"/>
      <c r="M25" s="367"/>
    </row>
    <row r="26" spans="1:13" s="367" customFormat="1" ht="38.25" x14ac:dyDescent="0.2">
      <c r="A26" s="373" t="s">
        <v>8</v>
      </c>
      <c r="B26" s="350">
        <v>2014</v>
      </c>
      <c r="C26" s="351" t="s">
        <v>477</v>
      </c>
      <c r="D26" s="352" t="s">
        <v>585</v>
      </c>
      <c r="E26" s="353">
        <v>1604512</v>
      </c>
      <c r="F26" s="354" t="s">
        <v>478</v>
      </c>
      <c r="G26" s="355">
        <v>380265</v>
      </c>
      <c r="H26" s="356"/>
      <c r="I26" s="357">
        <v>38559.82</v>
      </c>
      <c r="J26" s="358">
        <v>42916</v>
      </c>
      <c r="K26" s="374"/>
      <c r="L26" s="375"/>
      <c r="M26" s="375"/>
    </row>
    <row r="27" spans="1:13" s="367" customFormat="1" ht="38.25" x14ac:dyDescent="0.2">
      <c r="A27" s="365" t="s">
        <v>8</v>
      </c>
      <c r="B27" s="350">
        <v>2014</v>
      </c>
      <c r="C27" s="351" t="s">
        <v>479</v>
      </c>
      <c r="D27" s="352" t="s">
        <v>480</v>
      </c>
      <c r="E27" s="353">
        <v>650000</v>
      </c>
      <c r="F27" s="354" t="s">
        <v>481</v>
      </c>
      <c r="G27" s="355">
        <v>487500</v>
      </c>
      <c r="H27" s="356"/>
      <c r="I27" s="357">
        <v>0</v>
      </c>
      <c r="J27" s="358">
        <v>42916</v>
      </c>
      <c r="K27" s="375"/>
      <c r="L27" s="375"/>
      <c r="M27" s="375"/>
    </row>
    <row r="28" spans="1:13" s="367" customFormat="1" ht="38.25" x14ac:dyDescent="0.2">
      <c r="A28" s="365" t="s">
        <v>8</v>
      </c>
      <c r="B28" s="350">
        <v>2014</v>
      </c>
      <c r="C28" s="351" t="s">
        <v>482</v>
      </c>
      <c r="D28" s="352" t="s">
        <v>586</v>
      </c>
      <c r="E28" s="353">
        <v>1375694</v>
      </c>
      <c r="F28" s="354" t="s">
        <v>483</v>
      </c>
      <c r="G28" s="355">
        <v>775000</v>
      </c>
      <c r="H28" s="356"/>
      <c r="I28" s="357">
        <v>755832.36</v>
      </c>
      <c r="J28" s="358">
        <v>42916</v>
      </c>
    </row>
    <row r="29" spans="1:13" s="367" customFormat="1" ht="38.25" x14ac:dyDescent="0.2">
      <c r="A29" s="365" t="s">
        <v>8</v>
      </c>
      <c r="B29" s="350">
        <v>2014</v>
      </c>
      <c r="C29" s="351" t="s">
        <v>484</v>
      </c>
      <c r="D29" s="352" t="s">
        <v>682</v>
      </c>
      <c r="E29" s="353">
        <v>1017000</v>
      </c>
      <c r="F29" s="354" t="s">
        <v>485</v>
      </c>
      <c r="G29" s="355">
        <v>318644</v>
      </c>
      <c r="H29" s="356"/>
      <c r="I29" s="357">
        <v>302711.8</v>
      </c>
      <c r="J29" s="358">
        <v>42916</v>
      </c>
    </row>
    <row r="30" spans="1:13" s="367" customFormat="1" ht="38.25" x14ac:dyDescent="0.2">
      <c r="A30" s="365" t="s">
        <v>8</v>
      </c>
      <c r="B30" s="350">
        <v>2014</v>
      </c>
      <c r="C30" s="351" t="s">
        <v>486</v>
      </c>
      <c r="D30" s="352" t="s">
        <v>587</v>
      </c>
      <c r="E30" s="353">
        <v>521479</v>
      </c>
      <c r="F30" s="354" t="s">
        <v>487</v>
      </c>
      <c r="G30" s="355">
        <v>371479</v>
      </c>
      <c r="H30" s="356"/>
      <c r="I30" s="357">
        <v>329145.53000000003</v>
      </c>
      <c r="J30" s="358">
        <v>42916</v>
      </c>
      <c r="K30" s="374"/>
      <c r="L30" s="375"/>
      <c r="M30" s="375"/>
    </row>
    <row r="31" spans="1:13" s="367" customFormat="1" ht="38.25" x14ac:dyDescent="0.2">
      <c r="A31" s="365" t="s">
        <v>8</v>
      </c>
      <c r="B31" s="350">
        <v>2014</v>
      </c>
      <c r="C31" s="351" t="s">
        <v>488</v>
      </c>
      <c r="D31" s="352" t="s">
        <v>489</v>
      </c>
      <c r="E31" s="353">
        <v>290000</v>
      </c>
      <c r="F31" s="354" t="s">
        <v>490</v>
      </c>
      <c r="G31" s="355">
        <v>92897</v>
      </c>
      <c r="H31" s="356"/>
      <c r="I31" s="357">
        <v>7427.07</v>
      </c>
      <c r="J31" s="358">
        <v>42916</v>
      </c>
      <c r="K31" s="375"/>
      <c r="L31" s="375"/>
      <c r="M31" s="375"/>
    </row>
    <row r="32" spans="1:13" s="367" customFormat="1" x14ac:dyDescent="0.2">
      <c r="A32" s="360"/>
      <c r="B32" s="368">
        <v>2014</v>
      </c>
      <c r="C32" s="362"/>
      <c r="D32" s="369"/>
      <c r="E32" s="369"/>
      <c r="F32" s="369"/>
      <c r="G32" s="369"/>
      <c r="H32" s="370" t="e">
        <f>SUM(#REF!)</f>
        <v>#REF!</v>
      </c>
      <c r="I32" s="369"/>
      <c r="J32" s="370" t="e">
        <f>SUM(#REF!)</f>
        <v>#REF!</v>
      </c>
    </row>
    <row r="33" spans="1:13" s="367" customFormat="1" ht="38.25" x14ac:dyDescent="0.2">
      <c r="A33" s="365" t="s">
        <v>8</v>
      </c>
      <c r="B33" s="376">
        <v>2013</v>
      </c>
      <c r="C33" s="354" t="s">
        <v>162</v>
      </c>
      <c r="D33" s="352" t="s">
        <v>683</v>
      </c>
      <c r="E33" s="353">
        <v>125800</v>
      </c>
      <c r="F33" s="354" t="s">
        <v>152</v>
      </c>
      <c r="G33" s="355">
        <v>78000</v>
      </c>
      <c r="H33" s="377"/>
      <c r="I33" s="357">
        <v>78000</v>
      </c>
      <c r="J33" s="366">
        <v>42233</v>
      </c>
    </row>
    <row r="34" spans="1:13" s="367" customFormat="1" ht="38.25" x14ac:dyDescent="0.2">
      <c r="A34" s="365" t="s">
        <v>8</v>
      </c>
      <c r="B34" s="376">
        <v>2013</v>
      </c>
      <c r="C34" s="354" t="s">
        <v>135</v>
      </c>
      <c r="D34" s="352" t="s">
        <v>684</v>
      </c>
      <c r="E34" s="353">
        <v>535544</v>
      </c>
      <c r="F34" s="354" t="s">
        <v>153</v>
      </c>
      <c r="G34" s="355">
        <v>400000</v>
      </c>
      <c r="H34" s="377"/>
      <c r="I34" s="357">
        <v>400000</v>
      </c>
      <c r="J34" s="366">
        <v>42130</v>
      </c>
    </row>
    <row r="35" spans="1:13" s="367" customFormat="1" ht="51" x14ac:dyDescent="0.2">
      <c r="A35" s="365" t="s">
        <v>8</v>
      </c>
      <c r="B35" s="376">
        <v>2013</v>
      </c>
      <c r="C35" s="354" t="s">
        <v>163</v>
      </c>
      <c r="D35" s="352" t="s">
        <v>491</v>
      </c>
      <c r="E35" s="353">
        <v>1190931</v>
      </c>
      <c r="F35" s="354" t="s">
        <v>157</v>
      </c>
      <c r="G35" s="355">
        <v>700000</v>
      </c>
      <c r="H35" s="377"/>
      <c r="I35" s="353">
        <v>687574</v>
      </c>
      <c r="J35" s="358">
        <v>42916</v>
      </c>
      <c r="K35" s="374"/>
      <c r="L35" s="375"/>
      <c r="M35" s="375"/>
    </row>
    <row r="36" spans="1:13" s="367" customFormat="1" ht="38.25" x14ac:dyDescent="0.2">
      <c r="A36" s="365" t="s">
        <v>8</v>
      </c>
      <c r="B36" s="376">
        <v>2013</v>
      </c>
      <c r="C36" s="354" t="s">
        <v>140</v>
      </c>
      <c r="D36" s="352" t="s">
        <v>589</v>
      </c>
      <c r="E36" s="353">
        <v>2100000</v>
      </c>
      <c r="F36" s="354" t="s">
        <v>158</v>
      </c>
      <c r="G36" s="355">
        <v>441000</v>
      </c>
      <c r="H36" s="377"/>
      <c r="I36" s="353">
        <v>0</v>
      </c>
      <c r="J36" s="358">
        <v>42916</v>
      </c>
      <c r="K36" s="374"/>
      <c r="L36" s="375"/>
      <c r="M36" s="375"/>
    </row>
    <row r="37" spans="1:13" s="367" customFormat="1" ht="38.25" x14ac:dyDescent="0.2">
      <c r="A37" s="365" t="s">
        <v>8</v>
      </c>
      <c r="B37" s="376">
        <v>2013</v>
      </c>
      <c r="C37" s="354" t="s">
        <v>136</v>
      </c>
      <c r="D37" s="352" t="s">
        <v>588</v>
      </c>
      <c r="E37" s="353">
        <v>227333</v>
      </c>
      <c r="F37" s="354" t="s">
        <v>154</v>
      </c>
      <c r="G37" s="355">
        <v>170500</v>
      </c>
      <c r="H37" s="377"/>
      <c r="I37" s="353">
        <v>161975</v>
      </c>
      <c r="J37" s="358">
        <v>42916</v>
      </c>
      <c r="K37" s="374"/>
      <c r="L37" s="375"/>
      <c r="M37" s="375"/>
    </row>
    <row r="38" spans="1:13" s="367" customFormat="1" ht="38.25" x14ac:dyDescent="0.2">
      <c r="A38" s="365" t="s">
        <v>8</v>
      </c>
      <c r="B38" s="376">
        <v>2013</v>
      </c>
      <c r="C38" s="354" t="s">
        <v>137</v>
      </c>
      <c r="D38" s="352" t="s">
        <v>590</v>
      </c>
      <c r="E38" s="353">
        <v>984400</v>
      </c>
      <c r="F38" s="354" t="s">
        <v>155</v>
      </c>
      <c r="G38" s="355">
        <v>300000</v>
      </c>
      <c r="H38" s="377"/>
      <c r="I38" s="353">
        <v>0</v>
      </c>
      <c r="J38" s="358">
        <v>42916</v>
      </c>
      <c r="K38" s="374"/>
      <c r="L38" s="375"/>
      <c r="M38" s="375"/>
    </row>
    <row r="39" spans="1:13" s="367" customFormat="1" ht="38.25" x14ac:dyDescent="0.2">
      <c r="A39" s="365" t="s">
        <v>8</v>
      </c>
      <c r="B39" s="376">
        <v>2013</v>
      </c>
      <c r="C39" s="354" t="s">
        <v>138</v>
      </c>
      <c r="D39" s="352" t="s">
        <v>591</v>
      </c>
      <c r="E39" s="353">
        <v>1007592</v>
      </c>
      <c r="F39" s="354" t="s">
        <v>685</v>
      </c>
      <c r="G39" s="355">
        <v>755694</v>
      </c>
      <c r="H39" s="377"/>
      <c r="I39" s="353">
        <v>86160.84</v>
      </c>
      <c r="J39" s="358">
        <v>42916</v>
      </c>
      <c r="K39" s="374"/>
      <c r="L39" s="375"/>
      <c r="M39" s="375"/>
    </row>
    <row r="40" spans="1:13" s="367" customFormat="1" ht="38.25" x14ac:dyDescent="0.2">
      <c r="A40" s="365" t="s">
        <v>8</v>
      </c>
      <c r="B40" s="376">
        <v>2013</v>
      </c>
      <c r="C40" s="354" t="s">
        <v>139</v>
      </c>
      <c r="D40" s="352" t="s">
        <v>492</v>
      </c>
      <c r="E40" s="353">
        <v>354000</v>
      </c>
      <c r="F40" s="354" t="s">
        <v>45</v>
      </c>
      <c r="G40" s="355">
        <v>204000</v>
      </c>
      <c r="H40" s="377"/>
      <c r="I40" s="353">
        <v>0</v>
      </c>
      <c r="J40" s="358">
        <v>42916</v>
      </c>
      <c r="K40" s="374"/>
      <c r="L40" s="375"/>
      <c r="M40" s="375"/>
    </row>
    <row r="41" spans="1:13" s="367" customFormat="1" x14ac:dyDescent="0.2">
      <c r="A41" s="369"/>
      <c r="B41" s="369"/>
      <c r="C41" s="369"/>
      <c r="D41" s="369"/>
      <c r="E41" s="370" t="e">
        <f>SUM(#REF!)</f>
        <v>#REF!</v>
      </c>
      <c r="F41" s="369"/>
      <c r="G41" s="370" t="e">
        <f>SUM(#REF!)</f>
        <v>#REF!</v>
      </c>
      <c r="H41" s="378"/>
      <c r="I41" s="369"/>
      <c r="J41" s="369"/>
      <c r="K41" s="374"/>
      <c r="L41" s="375"/>
      <c r="M41" s="375"/>
    </row>
    <row r="42" spans="1:13" s="367" customFormat="1" ht="38.25" x14ac:dyDescent="0.2">
      <c r="A42" s="365" t="s">
        <v>8</v>
      </c>
      <c r="B42" s="376">
        <v>2012</v>
      </c>
      <c r="C42" s="379" t="s">
        <v>159</v>
      </c>
      <c r="D42" s="352" t="s">
        <v>686</v>
      </c>
      <c r="E42" s="380">
        <v>506100</v>
      </c>
      <c r="F42" s="354" t="s">
        <v>687</v>
      </c>
      <c r="G42" s="381">
        <v>100000</v>
      </c>
      <c r="H42" s="377"/>
      <c r="I42" s="353">
        <v>0</v>
      </c>
      <c r="J42" s="366">
        <v>42916</v>
      </c>
      <c r="K42" s="374"/>
      <c r="L42" s="375"/>
      <c r="M42" s="375"/>
    </row>
    <row r="43" spans="1:13" s="367" customFormat="1" ht="38.25" x14ac:dyDescent="0.2">
      <c r="A43" s="365" t="s">
        <v>92</v>
      </c>
      <c r="B43" s="376">
        <v>2012</v>
      </c>
      <c r="C43" s="379" t="s">
        <v>93</v>
      </c>
      <c r="D43" s="352" t="s">
        <v>149</v>
      </c>
      <c r="E43" s="380">
        <v>80000</v>
      </c>
      <c r="F43" s="354" t="s">
        <v>94</v>
      </c>
      <c r="G43" s="381">
        <v>60000</v>
      </c>
      <c r="H43" s="377"/>
      <c r="I43" s="353">
        <v>0</v>
      </c>
      <c r="J43" s="358">
        <v>42916</v>
      </c>
      <c r="K43" s="374"/>
      <c r="L43" s="375"/>
      <c r="M43" s="375"/>
    </row>
    <row r="44" spans="1:13" s="367" customFormat="1" ht="38.25" x14ac:dyDescent="0.2">
      <c r="A44" s="365" t="s">
        <v>92</v>
      </c>
      <c r="B44" s="376">
        <v>2012</v>
      </c>
      <c r="C44" s="379" t="s">
        <v>95</v>
      </c>
      <c r="D44" s="352" t="s">
        <v>493</v>
      </c>
      <c r="E44" s="380">
        <v>562500</v>
      </c>
      <c r="F44" s="354" t="s">
        <v>688</v>
      </c>
      <c r="G44" s="381">
        <v>108500</v>
      </c>
      <c r="H44" s="377"/>
      <c r="I44" s="353">
        <v>16921.02</v>
      </c>
      <c r="J44" s="358">
        <v>42916</v>
      </c>
      <c r="K44" s="374"/>
      <c r="L44" s="375"/>
      <c r="M44" s="375"/>
    </row>
    <row r="45" spans="1:13" s="367" customFormat="1" ht="51" x14ac:dyDescent="0.2">
      <c r="A45" s="365" t="s">
        <v>96</v>
      </c>
      <c r="B45" s="376">
        <v>2012</v>
      </c>
      <c r="C45" s="379" t="s">
        <v>592</v>
      </c>
      <c r="D45" s="352" t="s">
        <v>494</v>
      </c>
      <c r="E45" s="380">
        <v>3612516</v>
      </c>
      <c r="F45" s="354" t="s">
        <v>97</v>
      </c>
      <c r="G45" s="381">
        <v>396516</v>
      </c>
      <c r="H45" s="377" t="s">
        <v>495</v>
      </c>
      <c r="I45" s="353" t="s">
        <v>90</v>
      </c>
      <c r="J45" s="366" t="s">
        <v>29</v>
      </c>
      <c r="K45" s="374"/>
      <c r="L45" s="375"/>
      <c r="M45" s="375"/>
    </row>
    <row r="46" spans="1:13" s="367" customFormat="1" ht="38.25" x14ac:dyDescent="0.2">
      <c r="A46" s="365" t="s">
        <v>98</v>
      </c>
      <c r="B46" s="376">
        <v>2012</v>
      </c>
      <c r="C46" s="379" t="s">
        <v>99</v>
      </c>
      <c r="D46" s="352" t="s">
        <v>689</v>
      </c>
      <c r="E46" s="380">
        <v>10891016</v>
      </c>
      <c r="F46" s="354" t="s">
        <v>496</v>
      </c>
      <c r="G46" s="381">
        <v>753750</v>
      </c>
      <c r="H46" s="377"/>
      <c r="I46" s="353">
        <v>753750</v>
      </c>
      <c r="J46" s="366">
        <v>42311</v>
      </c>
      <c r="K46" s="374"/>
      <c r="L46" s="375"/>
      <c r="M46" s="375"/>
    </row>
    <row r="47" spans="1:13" s="367" customFormat="1" ht="38.25" x14ac:dyDescent="0.2">
      <c r="A47" s="365" t="s">
        <v>100</v>
      </c>
      <c r="B47" s="376">
        <v>2012</v>
      </c>
      <c r="C47" s="379" t="s">
        <v>101</v>
      </c>
      <c r="D47" s="352" t="s">
        <v>497</v>
      </c>
      <c r="E47" s="380">
        <v>165500</v>
      </c>
      <c r="F47" s="354" t="s">
        <v>102</v>
      </c>
      <c r="G47" s="381">
        <v>115850</v>
      </c>
      <c r="H47" s="377"/>
      <c r="I47" s="353">
        <v>115850</v>
      </c>
      <c r="J47" s="366">
        <v>41555</v>
      </c>
    </row>
    <row r="48" spans="1:13" s="367" customFormat="1" ht="38.25" x14ac:dyDescent="0.2">
      <c r="A48" s="365" t="s">
        <v>103</v>
      </c>
      <c r="B48" s="376">
        <v>2012</v>
      </c>
      <c r="C48" s="379" t="s">
        <v>104</v>
      </c>
      <c r="D48" s="352" t="s">
        <v>145</v>
      </c>
      <c r="E48" s="380">
        <v>586570</v>
      </c>
      <c r="F48" s="354" t="s">
        <v>105</v>
      </c>
      <c r="G48" s="381">
        <v>439920</v>
      </c>
      <c r="H48" s="377"/>
      <c r="I48" s="353">
        <v>368689.37</v>
      </c>
      <c r="J48" s="358">
        <v>42916</v>
      </c>
      <c r="K48" s="374"/>
      <c r="L48" s="375"/>
      <c r="M48" s="375"/>
    </row>
    <row r="49" spans="1:13" s="367" customFormat="1" ht="38.25" x14ac:dyDescent="0.2">
      <c r="A49" s="365" t="s">
        <v>106</v>
      </c>
      <c r="B49" s="376">
        <v>2012</v>
      </c>
      <c r="C49" s="379" t="s">
        <v>107</v>
      </c>
      <c r="D49" s="352" t="s">
        <v>690</v>
      </c>
      <c r="E49" s="380">
        <v>626349</v>
      </c>
      <c r="F49" s="354" t="s">
        <v>108</v>
      </c>
      <c r="G49" s="381">
        <v>211500</v>
      </c>
      <c r="H49" s="377"/>
      <c r="I49" s="353">
        <v>199354.37</v>
      </c>
      <c r="J49" s="366">
        <v>42171</v>
      </c>
      <c r="K49" s="382"/>
      <c r="L49" s="382"/>
      <c r="M49" s="382"/>
    </row>
    <row r="50" spans="1:13" s="367" customFormat="1" ht="38.25" x14ac:dyDescent="0.2">
      <c r="A50" s="365" t="s">
        <v>109</v>
      </c>
      <c r="B50" s="376">
        <v>2012</v>
      </c>
      <c r="C50" s="379" t="s">
        <v>110</v>
      </c>
      <c r="D50" s="352" t="s">
        <v>593</v>
      </c>
      <c r="E50" s="380">
        <v>350000</v>
      </c>
      <c r="F50" s="354" t="s">
        <v>76</v>
      </c>
      <c r="G50" s="381">
        <v>262500</v>
      </c>
      <c r="H50" s="377"/>
      <c r="I50" s="353">
        <v>262500</v>
      </c>
      <c r="J50" s="366">
        <v>41988</v>
      </c>
    </row>
    <row r="51" spans="1:13" s="367" customFormat="1" ht="38.25" x14ac:dyDescent="0.2">
      <c r="A51" s="365" t="s">
        <v>111</v>
      </c>
      <c r="B51" s="376">
        <v>2012</v>
      </c>
      <c r="C51" s="379" t="s">
        <v>112</v>
      </c>
      <c r="D51" s="352" t="s">
        <v>594</v>
      </c>
      <c r="E51" s="380">
        <v>2400000</v>
      </c>
      <c r="F51" s="354" t="s">
        <v>113</v>
      </c>
      <c r="G51" s="381">
        <v>181464</v>
      </c>
      <c r="H51" s="377"/>
      <c r="I51" s="353">
        <v>121501.77</v>
      </c>
      <c r="J51" s="358">
        <v>42916</v>
      </c>
    </row>
    <row r="52" spans="1:13" s="367" customFormat="1" ht="38.25" x14ac:dyDescent="0.2">
      <c r="A52" s="365" t="s">
        <v>114</v>
      </c>
      <c r="B52" s="376">
        <v>2012</v>
      </c>
      <c r="C52" s="379" t="s">
        <v>115</v>
      </c>
      <c r="D52" s="352" t="s">
        <v>595</v>
      </c>
      <c r="E52" s="380">
        <v>880576</v>
      </c>
      <c r="F52" s="354" t="s">
        <v>116</v>
      </c>
      <c r="G52" s="381">
        <v>250000</v>
      </c>
      <c r="H52" s="377"/>
      <c r="I52" s="353">
        <v>0</v>
      </c>
      <c r="J52" s="358">
        <v>42916</v>
      </c>
    </row>
    <row r="53" spans="1:13" s="367" customFormat="1" ht="38.25" x14ac:dyDescent="0.2">
      <c r="A53" s="365" t="s">
        <v>117</v>
      </c>
      <c r="B53" s="376">
        <v>2012</v>
      </c>
      <c r="C53" s="379" t="s">
        <v>118</v>
      </c>
      <c r="D53" s="352" t="s">
        <v>691</v>
      </c>
      <c r="E53" s="380">
        <v>160000</v>
      </c>
      <c r="F53" s="354" t="s">
        <v>119</v>
      </c>
      <c r="G53" s="381">
        <v>120000</v>
      </c>
      <c r="H53" s="377"/>
      <c r="I53" s="353">
        <v>120000</v>
      </c>
      <c r="J53" s="366">
        <v>42067</v>
      </c>
    </row>
    <row r="54" spans="1:13" s="367" customFormat="1" x14ac:dyDescent="0.2">
      <c r="A54" s="369"/>
      <c r="B54" s="369"/>
      <c r="C54" s="369"/>
      <c r="D54" s="369"/>
      <c r="E54" s="383" t="e">
        <f>SUM(#REF!)</f>
        <v>#REF!</v>
      </c>
      <c r="F54" s="369"/>
      <c r="G54" s="370">
        <f>SUM(G42:G53)</f>
        <v>3000000</v>
      </c>
      <c r="H54" s="378"/>
      <c r="I54" s="369"/>
      <c r="J54" s="369"/>
    </row>
    <row r="55" spans="1:13" s="367" customFormat="1" ht="38.25" x14ac:dyDescent="0.2">
      <c r="A55" s="365" t="s">
        <v>8</v>
      </c>
      <c r="B55" s="376">
        <v>2010</v>
      </c>
      <c r="C55" s="354" t="s">
        <v>82</v>
      </c>
      <c r="D55" s="352" t="s">
        <v>596</v>
      </c>
      <c r="E55" s="353">
        <v>7245382</v>
      </c>
      <c r="F55" s="354" t="s">
        <v>81</v>
      </c>
      <c r="G55" s="355">
        <v>750000</v>
      </c>
      <c r="H55" s="377"/>
      <c r="I55" s="353">
        <v>0</v>
      </c>
      <c r="J55" s="358">
        <v>42916</v>
      </c>
    </row>
    <row r="56" spans="1:13" s="367" customFormat="1" ht="38.25" x14ac:dyDescent="0.2">
      <c r="A56" s="365" t="s">
        <v>8</v>
      </c>
      <c r="B56" s="376">
        <v>2010</v>
      </c>
      <c r="C56" s="354" t="s">
        <v>80</v>
      </c>
      <c r="D56" s="352" t="s">
        <v>498</v>
      </c>
      <c r="E56" s="353">
        <v>2658938</v>
      </c>
      <c r="F56" s="354" t="s">
        <v>79</v>
      </c>
      <c r="G56" s="355">
        <v>250000</v>
      </c>
      <c r="H56" s="377"/>
      <c r="I56" s="353">
        <v>250000</v>
      </c>
      <c r="J56" s="366">
        <v>41182</v>
      </c>
    </row>
    <row r="57" spans="1:13" s="367" customFormat="1" ht="38.25" x14ac:dyDescent="0.2">
      <c r="A57" s="365" t="s">
        <v>8</v>
      </c>
      <c r="B57" s="376">
        <v>2010</v>
      </c>
      <c r="C57" s="354" t="s">
        <v>78</v>
      </c>
      <c r="D57" s="352" t="s">
        <v>146</v>
      </c>
      <c r="E57" s="353">
        <f>1426504.65+511493.03</f>
        <v>1937997.68</v>
      </c>
      <c r="F57" s="354" t="s">
        <v>692</v>
      </c>
      <c r="G57" s="355">
        <v>73474</v>
      </c>
      <c r="H57" s="377" t="s">
        <v>30</v>
      </c>
      <c r="I57" s="353">
        <v>73474</v>
      </c>
      <c r="J57" s="366">
        <v>42016</v>
      </c>
    </row>
    <row r="58" spans="1:13" s="367" customFormat="1" ht="38.25" x14ac:dyDescent="0.2">
      <c r="A58" s="365" t="s">
        <v>8</v>
      </c>
      <c r="B58" s="376">
        <v>2010</v>
      </c>
      <c r="C58" s="354" t="s">
        <v>77</v>
      </c>
      <c r="D58" s="352" t="s">
        <v>161</v>
      </c>
      <c r="E58" s="353">
        <v>350000</v>
      </c>
      <c r="F58" s="354" t="s">
        <v>76</v>
      </c>
      <c r="G58" s="355">
        <v>262500</v>
      </c>
      <c r="H58" s="377"/>
      <c r="I58" s="353">
        <v>262500</v>
      </c>
      <c r="J58" s="366">
        <v>41246</v>
      </c>
    </row>
    <row r="59" spans="1:13" s="367" customFormat="1" ht="38.25" x14ac:dyDescent="0.2">
      <c r="A59" s="365" t="s">
        <v>8</v>
      </c>
      <c r="B59" s="376">
        <v>2010</v>
      </c>
      <c r="C59" s="354" t="s">
        <v>75</v>
      </c>
      <c r="D59" s="352" t="s">
        <v>146</v>
      </c>
      <c r="E59" s="353">
        <v>375000</v>
      </c>
      <c r="F59" s="354" t="s">
        <v>74</v>
      </c>
      <c r="G59" s="355">
        <v>281000</v>
      </c>
      <c r="H59" s="377" t="s">
        <v>30</v>
      </c>
      <c r="I59" s="353">
        <v>180059.72</v>
      </c>
      <c r="J59" s="366">
        <v>41127</v>
      </c>
    </row>
    <row r="60" spans="1:13" s="367" customFormat="1" ht="38.25" x14ac:dyDescent="0.2">
      <c r="A60" s="365" t="s">
        <v>8</v>
      </c>
      <c r="B60" s="376">
        <v>2010</v>
      </c>
      <c r="C60" s="354" t="s">
        <v>73</v>
      </c>
      <c r="D60" s="352" t="s">
        <v>499</v>
      </c>
      <c r="E60" s="353">
        <v>1600000</v>
      </c>
      <c r="F60" s="354" t="s">
        <v>72</v>
      </c>
      <c r="G60" s="355">
        <v>128000</v>
      </c>
      <c r="H60" s="377" t="s">
        <v>30</v>
      </c>
      <c r="I60" s="353">
        <v>128000</v>
      </c>
      <c r="J60" s="366">
        <v>41493</v>
      </c>
    </row>
    <row r="61" spans="1:13" s="367" customFormat="1" ht="38.25" x14ac:dyDescent="0.2">
      <c r="A61" s="365" t="s">
        <v>8</v>
      </c>
      <c r="B61" s="376">
        <v>2010</v>
      </c>
      <c r="C61" s="354" t="s">
        <v>71</v>
      </c>
      <c r="D61" s="352" t="s">
        <v>501</v>
      </c>
      <c r="E61" s="353">
        <v>666667</v>
      </c>
      <c r="F61" s="354" t="s">
        <v>70</v>
      </c>
      <c r="G61" s="355">
        <v>500000</v>
      </c>
      <c r="H61" s="377" t="s">
        <v>13</v>
      </c>
      <c r="I61" s="353">
        <v>500000</v>
      </c>
      <c r="J61" s="366">
        <v>41148</v>
      </c>
    </row>
    <row r="62" spans="1:13" s="367" customFormat="1" ht="38.25" x14ac:dyDescent="0.2">
      <c r="A62" s="365" t="s">
        <v>8</v>
      </c>
      <c r="B62" s="376">
        <v>2010</v>
      </c>
      <c r="C62" s="354" t="s">
        <v>69</v>
      </c>
      <c r="D62" s="352" t="s">
        <v>500</v>
      </c>
      <c r="E62" s="353">
        <v>1000000</v>
      </c>
      <c r="F62" s="354" t="s">
        <v>68</v>
      </c>
      <c r="G62" s="355">
        <v>750000</v>
      </c>
      <c r="H62" s="377" t="s">
        <v>13</v>
      </c>
      <c r="I62" s="353">
        <v>750000</v>
      </c>
      <c r="J62" s="366">
        <v>41379</v>
      </c>
    </row>
    <row r="63" spans="1:13" s="367" customFormat="1" ht="204" x14ac:dyDescent="0.2">
      <c r="A63" s="365" t="s">
        <v>8</v>
      </c>
      <c r="B63" s="376">
        <v>2010</v>
      </c>
      <c r="C63" s="354" t="s">
        <v>150</v>
      </c>
      <c r="D63" s="352" t="s">
        <v>151</v>
      </c>
      <c r="E63" s="353">
        <v>6655696</v>
      </c>
      <c r="F63" s="354" t="s">
        <v>160</v>
      </c>
      <c r="G63" s="355">
        <v>484995</v>
      </c>
      <c r="H63" s="377" t="s">
        <v>30</v>
      </c>
      <c r="I63" s="353">
        <v>460745.25</v>
      </c>
      <c r="J63" s="366">
        <v>41144</v>
      </c>
    </row>
    <row r="64" spans="1:13" s="367" customFormat="1" ht="38.25" x14ac:dyDescent="0.2">
      <c r="A64" s="365" t="s">
        <v>8</v>
      </c>
      <c r="B64" s="376">
        <v>2010</v>
      </c>
      <c r="C64" s="354" t="s">
        <v>67</v>
      </c>
      <c r="D64" s="352" t="s">
        <v>120</v>
      </c>
      <c r="E64" s="353">
        <v>1203795</v>
      </c>
      <c r="F64" s="354" t="s">
        <v>66</v>
      </c>
      <c r="G64" s="355">
        <v>525000</v>
      </c>
      <c r="H64" s="377"/>
      <c r="I64" s="353">
        <v>525000</v>
      </c>
      <c r="J64" s="366">
        <v>40378</v>
      </c>
    </row>
    <row r="65" spans="1:10" s="367" customFormat="1" ht="38.25" x14ac:dyDescent="0.2">
      <c r="A65" s="365" t="s">
        <v>8</v>
      </c>
      <c r="B65" s="376">
        <v>2010</v>
      </c>
      <c r="C65" s="354" t="s">
        <v>597</v>
      </c>
      <c r="D65" s="352" t="s">
        <v>141</v>
      </c>
      <c r="E65" s="353">
        <v>143028</v>
      </c>
      <c r="F65" s="354" t="s">
        <v>65</v>
      </c>
      <c r="G65" s="355">
        <v>107271</v>
      </c>
      <c r="H65" s="377" t="s">
        <v>64</v>
      </c>
      <c r="I65" s="353">
        <v>107271</v>
      </c>
      <c r="J65" s="366">
        <v>41058</v>
      </c>
    </row>
    <row r="66" spans="1:10" s="367" customFormat="1" ht="38.25" x14ac:dyDescent="0.2">
      <c r="A66" s="365" t="s">
        <v>8</v>
      </c>
      <c r="B66" s="376">
        <v>2010</v>
      </c>
      <c r="C66" s="354" t="s">
        <v>63</v>
      </c>
      <c r="D66" s="352" t="s">
        <v>142</v>
      </c>
      <c r="E66" s="353">
        <v>782722</v>
      </c>
      <c r="F66" s="354" t="s">
        <v>62</v>
      </c>
      <c r="G66" s="355">
        <v>300000</v>
      </c>
      <c r="H66" s="377"/>
      <c r="I66" s="353">
        <v>300000</v>
      </c>
      <c r="J66" s="366">
        <v>40973</v>
      </c>
    </row>
    <row r="67" spans="1:10" s="367" customFormat="1" ht="38.25" x14ac:dyDescent="0.2">
      <c r="A67" s="365" t="s">
        <v>8</v>
      </c>
      <c r="B67" s="376">
        <v>2010</v>
      </c>
      <c r="C67" s="354" t="s">
        <v>598</v>
      </c>
      <c r="D67" s="352" t="s">
        <v>143</v>
      </c>
      <c r="E67" s="353">
        <v>105000</v>
      </c>
      <c r="F67" s="354" t="s">
        <v>61</v>
      </c>
      <c r="G67" s="355">
        <v>75000</v>
      </c>
      <c r="H67" s="377"/>
      <c r="I67" s="353">
        <v>75000</v>
      </c>
      <c r="J67" s="366">
        <v>41092</v>
      </c>
    </row>
    <row r="68" spans="1:10" s="367" customFormat="1" x14ac:dyDescent="0.2">
      <c r="A68" s="369"/>
      <c r="B68" s="369"/>
      <c r="C68" s="369"/>
      <c r="D68" s="369"/>
      <c r="E68" s="383">
        <f>SUM(E55:E67)</f>
        <v>24724225.68</v>
      </c>
      <c r="F68" s="369"/>
      <c r="G68" s="370">
        <f>SUM(G55:G67)</f>
        <v>4487240</v>
      </c>
      <c r="H68" s="378"/>
      <c r="I68" s="369"/>
      <c r="J68" s="369"/>
    </row>
    <row r="69" spans="1:10" s="367" customFormat="1" ht="38.25" x14ac:dyDescent="0.2">
      <c r="A69" s="365" t="s">
        <v>8</v>
      </c>
      <c r="B69" s="376">
        <v>2009</v>
      </c>
      <c r="C69" s="354" t="s">
        <v>60</v>
      </c>
      <c r="D69" s="352" t="s">
        <v>53</v>
      </c>
      <c r="E69" s="384">
        <v>133333</v>
      </c>
      <c r="F69" s="354" t="s">
        <v>59</v>
      </c>
      <c r="G69" s="355">
        <v>100000</v>
      </c>
      <c r="H69" s="377" t="s">
        <v>13</v>
      </c>
      <c r="I69" s="353">
        <v>95363</v>
      </c>
      <c r="J69" s="366">
        <v>42916</v>
      </c>
    </row>
    <row r="70" spans="1:10" s="367" customFormat="1" ht="38.25" x14ac:dyDescent="0.2">
      <c r="A70" s="365" t="s">
        <v>8</v>
      </c>
      <c r="B70" s="376">
        <v>2009</v>
      </c>
      <c r="C70" s="354" t="s">
        <v>58</v>
      </c>
      <c r="D70" s="352" t="s">
        <v>121</v>
      </c>
      <c r="E70" s="384">
        <v>40000</v>
      </c>
      <c r="F70" s="354" t="s">
        <v>7</v>
      </c>
      <c r="G70" s="355">
        <v>30000</v>
      </c>
      <c r="H70" s="377" t="s">
        <v>13</v>
      </c>
      <c r="I70" s="353">
        <v>30000</v>
      </c>
      <c r="J70" s="385">
        <v>40441</v>
      </c>
    </row>
    <row r="71" spans="1:10" s="367" customFormat="1" ht="38.25" x14ac:dyDescent="0.2">
      <c r="A71" s="365" t="s">
        <v>8</v>
      </c>
      <c r="B71" s="376">
        <v>2009</v>
      </c>
      <c r="C71" s="354" t="s">
        <v>599</v>
      </c>
      <c r="D71" s="352" t="s">
        <v>147</v>
      </c>
      <c r="E71" s="384">
        <v>653550</v>
      </c>
      <c r="F71" s="354" t="s">
        <v>57</v>
      </c>
      <c r="G71" s="355">
        <v>490162</v>
      </c>
      <c r="H71" s="377" t="s">
        <v>495</v>
      </c>
      <c r="I71" s="353">
        <v>408425.41</v>
      </c>
      <c r="J71" s="385">
        <v>41191</v>
      </c>
    </row>
    <row r="72" spans="1:10" s="367" customFormat="1" ht="38.25" x14ac:dyDescent="0.2">
      <c r="A72" s="365" t="s">
        <v>8</v>
      </c>
      <c r="B72" s="376">
        <v>2009</v>
      </c>
      <c r="C72" s="354" t="s">
        <v>56</v>
      </c>
      <c r="D72" s="352" t="s">
        <v>501</v>
      </c>
      <c r="E72" s="384">
        <v>1476000</v>
      </c>
      <c r="F72" s="354" t="s">
        <v>7</v>
      </c>
      <c r="G72" s="355">
        <v>800000</v>
      </c>
      <c r="H72" s="377"/>
      <c r="I72" s="353">
        <v>800000</v>
      </c>
      <c r="J72" s="385">
        <v>41157</v>
      </c>
    </row>
    <row r="73" spans="1:10" s="367" customFormat="1" ht="38.25" x14ac:dyDescent="0.2">
      <c r="A73" s="365" t="s">
        <v>8</v>
      </c>
      <c r="B73" s="376">
        <v>2009</v>
      </c>
      <c r="C73" s="354" t="s">
        <v>55</v>
      </c>
      <c r="D73" s="352" t="s">
        <v>122</v>
      </c>
      <c r="E73" s="384">
        <v>133334</v>
      </c>
      <c r="F73" s="354" t="s">
        <v>7</v>
      </c>
      <c r="G73" s="355">
        <v>100000</v>
      </c>
      <c r="H73" s="377" t="s">
        <v>13</v>
      </c>
      <c r="I73" s="353">
        <v>100000</v>
      </c>
      <c r="J73" s="385">
        <v>40763</v>
      </c>
    </row>
    <row r="74" spans="1:10" s="367" customFormat="1" ht="38.25" x14ac:dyDescent="0.2">
      <c r="A74" s="365" t="s">
        <v>8</v>
      </c>
      <c r="B74" s="376">
        <v>2009</v>
      </c>
      <c r="C74" s="354" t="s">
        <v>54</v>
      </c>
      <c r="D74" s="352" t="s">
        <v>123</v>
      </c>
      <c r="E74" s="384">
        <v>469000</v>
      </c>
      <c r="F74" s="354" t="s">
        <v>52</v>
      </c>
      <c r="G74" s="355">
        <v>351750</v>
      </c>
      <c r="H74" s="377"/>
      <c r="I74" s="353">
        <v>351750</v>
      </c>
      <c r="J74" s="385">
        <v>40294</v>
      </c>
    </row>
    <row r="75" spans="1:10" s="367" customFormat="1" ht="38.25" x14ac:dyDescent="0.2">
      <c r="A75" s="365" t="s">
        <v>8</v>
      </c>
      <c r="B75" s="376">
        <v>2009</v>
      </c>
      <c r="C75" s="354" t="s">
        <v>51</v>
      </c>
      <c r="D75" s="352" t="s">
        <v>502</v>
      </c>
      <c r="E75" s="384">
        <v>1000000</v>
      </c>
      <c r="F75" s="354" t="s">
        <v>50</v>
      </c>
      <c r="G75" s="355">
        <v>750000</v>
      </c>
      <c r="H75" s="377" t="s">
        <v>13</v>
      </c>
      <c r="I75" s="353">
        <v>750000</v>
      </c>
      <c r="J75" s="385">
        <v>41379</v>
      </c>
    </row>
    <row r="76" spans="1:10" s="367" customFormat="1" ht="38.25" x14ac:dyDescent="0.2">
      <c r="A76" s="365" t="s">
        <v>8</v>
      </c>
      <c r="B76" s="376">
        <v>2009</v>
      </c>
      <c r="C76" s="354" t="s">
        <v>600</v>
      </c>
      <c r="D76" s="352" t="s">
        <v>156</v>
      </c>
      <c r="E76" s="384">
        <v>71000</v>
      </c>
      <c r="F76" s="354" t="s">
        <v>16</v>
      </c>
      <c r="G76" s="355">
        <v>40000</v>
      </c>
      <c r="H76" s="377" t="s">
        <v>495</v>
      </c>
      <c r="I76" s="353" t="s">
        <v>90</v>
      </c>
      <c r="J76" s="385" t="s">
        <v>29</v>
      </c>
    </row>
    <row r="77" spans="1:10" s="367" customFormat="1" ht="38.25" x14ac:dyDescent="0.2">
      <c r="A77" s="365" t="s">
        <v>8</v>
      </c>
      <c r="B77" s="376">
        <v>2009</v>
      </c>
      <c r="C77" s="354" t="s">
        <v>49</v>
      </c>
      <c r="D77" s="352" t="s">
        <v>48</v>
      </c>
      <c r="E77" s="384">
        <v>133333</v>
      </c>
      <c r="F77" s="354" t="s">
        <v>7</v>
      </c>
      <c r="G77" s="355">
        <v>100000</v>
      </c>
      <c r="H77" s="377" t="s">
        <v>13</v>
      </c>
      <c r="I77" s="353">
        <v>0</v>
      </c>
      <c r="J77" s="366">
        <v>42916</v>
      </c>
    </row>
    <row r="78" spans="1:10" s="367" customFormat="1" ht="38.25" x14ac:dyDescent="0.2">
      <c r="A78" s="365" t="s">
        <v>8</v>
      </c>
      <c r="B78" s="376">
        <v>2009</v>
      </c>
      <c r="C78" s="354" t="s">
        <v>47</v>
      </c>
      <c r="D78" s="352" t="s">
        <v>46</v>
      </c>
      <c r="E78" s="384">
        <v>133333</v>
      </c>
      <c r="F78" s="354" t="s">
        <v>688</v>
      </c>
      <c r="G78" s="355">
        <v>100000</v>
      </c>
      <c r="H78" s="377" t="s">
        <v>13</v>
      </c>
      <c r="I78" s="353">
        <v>95000</v>
      </c>
      <c r="J78" s="366">
        <v>42916</v>
      </c>
    </row>
    <row r="79" spans="1:10" s="367" customFormat="1" ht="38.25" x14ac:dyDescent="0.2">
      <c r="A79" s="365" t="s">
        <v>8</v>
      </c>
      <c r="B79" s="376">
        <v>2009</v>
      </c>
      <c r="C79" s="354" t="s">
        <v>44</v>
      </c>
      <c r="D79" s="352" t="s">
        <v>124</v>
      </c>
      <c r="E79" s="384">
        <v>443750</v>
      </c>
      <c r="F79" s="354" t="s">
        <v>43</v>
      </c>
      <c r="G79" s="355">
        <v>138088</v>
      </c>
      <c r="H79" s="377"/>
      <c r="I79" s="353">
        <v>138088</v>
      </c>
      <c r="J79" s="385">
        <v>40469</v>
      </c>
    </row>
    <row r="80" spans="1:10" s="367" customFormat="1" x14ac:dyDescent="0.2">
      <c r="A80" s="386"/>
      <c r="B80" s="387"/>
      <c r="C80" s="387"/>
      <c r="D80" s="388"/>
      <c r="E80" s="389">
        <f>SUM(E69:E79)</f>
        <v>4686633</v>
      </c>
      <c r="F80" s="387"/>
      <c r="G80" s="390">
        <f>SUM(G69:G79)</f>
        <v>3000000</v>
      </c>
      <c r="H80" s="391"/>
      <c r="I80" s="392"/>
      <c r="J80" s="393"/>
    </row>
    <row r="81" spans="1:10" s="367" customFormat="1" ht="38.25" x14ac:dyDescent="0.2">
      <c r="A81" s="365" t="s">
        <v>8</v>
      </c>
      <c r="B81" s="376">
        <v>2008</v>
      </c>
      <c r="C81" s="354" t="s">
        <v>42</v>
      </c>
      <c r="D81" s="352" t="s">
        <v>503</v>
      </c>
      <c r="E81" s="384">
        <v>3415960</v>
      </c>
      <c r="F81" s="354" t="s">
        <v>41</v>
      </c>
      <c r="G81" s="355">
        <v>565960</v>
      </c>
      <c r="H81" s="377"/>
      <c r="I81" s="353">
        <v>565960</v>
      </c>
      <c r="J81" s="385">
        <v>41121</v>
      </c>
    </row>
    <row r="82" spans="1:10" s="367" customFormat="1" ht="38.25" x14ac:dyDescent="0.2">
      <c r="A82" s="365" t="s">
        <v>8</v>
      </c>
      <c r="B82" s="376">
        <v>2008</v>
      </c>
      <c r="C82" s="354" t="s">
        <v>40</v>
      </c>
      <c r="D82" s="352" t="s">
        <v>121</v>
      </c>
      <c r="E82" s="384">
        <v>40000</v>
      </c>
      <c r="F82" s="354" t="s">
        <v>39</v>
      </c>
      <c r="G82" s="355">
        <v>30000</v>
      </c>
      <c r="H82" s="377" t="s">
        <v>13</v>
      </c>
      <c r="I82" s="353">
        <v>30000</v>
      </c>
      <c r="J82" s="385">
        <v>40441</v>
      </c>
    </row>
    <row r="83" spans="1:10" s="367" customFormat="1" ht="38.25" x14ac:dyDescent="0.2">
      <c r="A83" s="365" t="s">
        <v>8</v>
      </c>
      <c r="B83" s="376">
        <v>2008</v>
      </c>
      <c r="C83" s="354" t="s">
        <v>38</v>
      </c>
      <c r="D83" s="352" t="s">
        <v>144</v>
      </c>
      <c r="E83" s="384">
        <v>266667</v>
      </c>
      <c r="F83" s="354" t="s">
        <v>7</v>
      </c>
      <c r="G83" s="355">
        <v>200000</v>
      </c>
      <c r="H83" s="377" t="s">
        <v>13</v>
      </c>
      <c r="I83" s="353">
        <v>200000</v>
      </c>
      <c r="J83" s="385">
        <v>41058</v>
      </c>
    </row>
    <row r="84" spans="1:10" s="367" customFormat="1" ht="38.25" x14ac:dyDescent="0.2">
      <c r="A84" s="365" t="s">
        <v>8</v>
      </c>
      <c r="B84" s="376">
        <v>2008</v>
      </c>
      <c r="C84" s="354" t="s">
        <v>37</v>
      </c>
      <c r="D84" s="352" t="s">
        <v>601</v>
      </c>
      <c r="E84" s="384">
        <v>1937254</v>
      </c>
      <c r="F84" s="354" t="s">
        <v>7</v>
      </c>
      <c r="G84" s="355">
        <v>100000</v>
      </c>
      <c r="H84" s="377"/>
      <c r="I84" s="353">
        <v>100000</v>
      </c>
      <c r="J84" s="385">
        <v>41638</v>
      </c>
    </row>
    <row r="85" spans="1:10" s="367" customFormat="1" ht="38.25" x14ac:dyDescent="0.2">
      <c r="A85" s="365" t="s">
        <v>8</v>
      </c>
      <c r="B85" s="376">
        <v>2008</v>
      </c>
      <c r="C85" s="354" t="s">
        <v>36</v>
      </c>
      <c r="D85" s="352" t="s">
        <v>35</v>
      </c>
      <c r="E85" s="384">
        <v>246667</v>
      </c>
      <c r="F85" s="354" t="s">
        <v>7</v>
      </c>
      <c r="G85" s="355">
        <v>185000</v>
      </c>
      <c r="H85" s="377" t="s">
        <v>13</v>
      </c>
      <c r="I85" s="353">
        <v>143164.66</v>
      </c>
      <c r="J85" s="366">
        <v>42916</v>
      </c>
    </row>
    <row r="86" spans="1:10" s="367" customFormat="1" ht="25.5" x14ac:dyDescent="0.2">
      <c r="A86" s="365" t="s">
        <v>8</v>
      </c>
      <c r="B86" s="376">
        <v>2008</v>
      </c>
      <c r="C86" s="354" t="s">
        <v>34</v>
      </c>
      <c r="D86" s="352" t="s">
        <v>125</v>
      </c>
      <c r="E86" s="384">
        <v>66667</v>
      </c>
      <c r="F86" s="354" t="s">
        <v>7</v>
      </c>
      <c r="G86" s="355">
        <v>50000</v>
      </c>
      <c r="H86" s="377"/>
      <c r="I86" s="353">
        <v>50000</v>
      </c>
      <c r="J86" s="385">
        <v>40735</v>
      </c>
    </row>
    <row r="87" spans="1:10" s="367" customFormat="1" ht="38.25" x14ac:dyDescent="0.2">
      <c r="A87" s="365" t="s">
        <v>8</v>
      </c>
      <c r="B87" s="376">
        <v>2008</v>
      </c>
      <c r="C87" s="354" t="s">
        <v>33</v>
      </c>
      <c r="D87" s="352" t="s">
        <v>126</v>
      </c>
      <c r="E87" s="384">
        <v>549605</v>
      </c>
      <c r="F87" s="354" t="s">
        <v>7</v>
      </c>
      <c r="G87" s="355">
        <v>69300</v>
      </c>
      <c r="H87" s="377"/>
      <c r="I87" s="353">
        <v>69300</v>
      </c>
      <c r="J87" s="385">
        <v>40763</v>
      </c>
    </row>
    <row r="88" spans="1:10" s="367" customFormat="1" ht="51" x14ac:dyDescent="0.2">
      <c r="A88" s="365" t="s">
        <v>8</v>
      </c>
      <c r="B88" s="376">
        <v>2008</v>
      </c>
      <c r="C88" s="354" t="s">
        <v>32</v>
      </c>
      <c r="D88" s="352" t="s">
        <v>31</v>
      </c>
      <c r="E88" s="384">
        <v>1227779</v>
      </c>
      <c r="F88" s="354" t="s">
        <v>7</v>
      </c>
      <c r="G88" s="355">
        <v>799740</v>
      </c>
      <c r="H88" s="377" t="s">
        <v>30</v>
      </c>
      <c r="I88" s="353" t="s">
        <v>90</v>
      </c>
      <c r="J88" s="385" t="s">
        <v>29</v>
      </c>
    </row>
    <row r="89" spans="1:10" s="367" customFormat="1" x14ac:dyDescent="0.2">
      <c r="A89" s="386"/>
      <c r="B89" s="387"/>
      <c r="C89" s="387"/>
      <c r="D89" s="388"/>
      <c r="E89" s="389">
        <f>SUM(E81:E88)</f>
        <v>7750599</v>
      </c>
      <c r="F89" s="387"/>
      <c r="G89" s="390">
        <f>SUM(G81:G88)</f>
        <v>2000000</v>
      </c>
      <c r="H89" s="391"/>
      <c r="I89" s="394">
        <v>0</v>
      </c>
      <c r="J89" s="393"/>
    </row>
    <row r="90" spans="1:10" s="367" customFormat="1" ht="38.25" x14ac:dyDescent="0.2">
      <c r="A90" s="365" t="s">
        <v>15</v>
      </c>
      <c r="B90" s="376">
        <v>2007</v>
      </c>
      <c r="C90" s="354" t="s">
        <v>28</v>
      </c>
      <c r="D90" s="352" t="s">
        <v>504</v>
      </c>
      <c r="E90" s="384">
        <v>1334331</v>
      </c>
      <c r="F90" s="354" t="s">
        <v>27</v>
      </c>
      <c r="G90" s="355">
        <v>690000</v>
      </c>
      <c r="H90" s="377"/>
      <c r="I90" s="353">
        <v>690000</v>
      </c>
      <c r="J90" s="385">
        <v>41059</v>
      </c>
    </row>
    <row r="91" spans="1:10" s="367" customFormat="1" ht="38.25" x14ac:dyDescent="0.2">
      <c r="A91" s="365" t="s">
        <v>15</v>
      </c>
      <c r="B91" s="376">
        <v>2007</v>
      </c>
      <c r="C91" s="354" t="s">
        <v>26</v>
      </c>
      <c r="D91" s="352" t="s">
        <v>127</v>
      </c>
      <c r="E91" s="384">
        <v>336250</v>
      </c>
      <c r="F91" s="354" t="s">
        <v>25</v>
      </c>
      <c r="G91" s="355">
        <v>252187</v>
      </c>
      <c r="H91" s="377"/>
      <c r="I91" s="353">
        <v>252187</v>
      </c>
      <c r="J91" s="385">
        <v>40637</v>
      </c>
    </row>
    <row r="92" spans="1:10" s="367" customFormat="1" ht="38.25" x14ac:dyDescent="0.2">
      <c r="A92" s="365" t="s">
        <v>15</v>
      </c>
      <c r="B92" s="376">
        <v>2007</v>
      </c>
      <c r="C92" s="354" t="s">
        <v>24</v>
      </c>
      <c r="D92" s="352" t="s">
        <v>602</v>
      </c>
      <c r="E92" s="384">
        <v>536540</v>
      </c>
      <c r="F92" s="354" t="s">
        <v>23</v>
      </c>
      <c r="G92" s="355">
        <v>402405</v>
      </c>
      <c r="H92" s="377"/>
      <c r="I92" s="353">
        <v>402405</v>
      </c>
      <c r="J92" s="385">
        <v>41900</v>
      </c>
    </row>
    <row r="93" spans="1:10" s="359" customFormat="1" ht="38.25" x14ac:dyDescent="0.2">
      <c r="A93" s="365" t="s">
        <v>15</v>
      </c>
      <c r="B93" s="376">
        <v>2007</v>
      </c>
      <c r="C93" s="354" t="s">
        <v>693</v>
      </c>
      <c r="D93" s="352" t="s">
        <v>128</v>
      </c>
      <c r="E93" s="384">
        <v>200000</v>
      </c>
      <c r="F93" s="354" t="s">
        <v>694</v>
      </c>
      <c r="G93" s="355">
        <v>150000</v>
      </c>
      <c r="H93" s="377"/>
      <c r="I93" s="353">
        <v>0</v>
      </c>
      <c r="J93" s="366">
        <v>42551</v>
      </c>
    </row>
    <row r="94" spans="1:10" s="367" customFormat="1" ht="38.25" x14ac:dyDescent="0.2">
      <c r="A94" s="365" t="s">
        <v>15</v>
      </c>
      <c r="B94" s="376">
        <v>2007</v>
      </c>
      <c r="C94" s="354" t="s">
        <v>21</v>
      </c>
      <c r="D94" s="352" t="s">
        <v>129</v>
      </c>
      <c r="E94" s="384">
        <v>142500</v>
      </c>
      <c r="F94" s="354" t="s">
        <v>20</v>
      </c>
      <c r="G94" s="355">
        <v>106875</v>
      </c>
      <c r="H94" s="377"/>
      <c r="I94" s="353">
        <v>106875</v>
      </c>
      <c r="J94" s="385">
        <v>40252</v>
      </c>
    </row>
    <row r="95" spans="1:10" s="367" customFormat="1" ht="38.25" x14ac:dyDescent="0.2">
      <c r="A95" s="365" t="s">
        <v>15</v>
      </c>
      <c r="B95" s="376">
        <v>2007</v>
      </c>
      <c r="C95" s="354" t="s">
        <v>19</v>
      </c>
      <c r="D95" s="352" t="s">
        <v>18</v>
      </c>
      <c r="E95" s="384">
        <v>480000</v>
      </c>
      <c r="F95" s="354" t="s">
        <v>695</v>
      </c>
      <c r="G95" s="355">
        <v>360000</v>
      </c>
      <c r="H95" s="377"/>
      <c r="I95" s="353">
        <v>223215.97</v>
      </c>
      <c r="J95" s="366">
        <v>42916</v>
      </c>
    </row>
    <row r="96" spans="1:10" s="359" customFormat="1" ht="38.25" x14ac:dyDescent="0.2">
      <c r="A96" s="365" t="s">
        <v>15</v>
      </c>
      <c r="B96" s="376">
        <v>2007</v>
      </c>
      <c r="C96" s="354" t="s">
        <v>603</v>
      </c>
      <c r="D96" s="352" t="s">
        <v>17</v>
      </c>
      <c r="E96" s="384">
        <v>52420</v>
      </c>
      <c r="F96" s="354" t="s">
        <v>16</v>
      </c>
      <c r="G96" s="355">
        <v>39315</v>
      </c>
      <c r="H96" s="377"/>
      <c r="I96" s="353">
        <v>34193</v>
      </c>
      <c r="J96" s="366">
        <v>42916</v>
      </c>
    </row>
    <row r="97" spans="1:10" s="367" customFormat="1" ht="51" x14ac:dyDescent="0.2">
      <c r="A97" s="365" t="s">
        <v>15</v>
      </c>
      <c r="B97" s="376">
        <v>2007</v>
      </c>
      <c r="C97" s="354" t="s">
        <v>14</v>
      </c>
      <c r="D97" s="352" t="s">
        <v>148</v>
      </c>
      <c r="E97" s="384">
        <v>266667</v>
      </c>
      <c r="F97" s="354" t="s">
        <v>7</v>
      </c>
      <c r="G97" s="355">
        <v>200000</v>
      </c>
      <c r="H97" s="377" t="s">
        <v>13</v>
      </c>
      <c r="I97" s="353">
        <v>196072.35</v>
      </c>
      <c r="J97" s="385">
        <v>40259</v>
      </c>
    </row>
    <row r="98" spans="1:10" s="359" customFormat="1" x14ac:dyDescent="0.2">
      <c r="A98" s="386"/>
      <c r="B98" s="387"/>
      <c r="C98" s="387"/>
      <c r="D98" s="388"/>
      <c r="E98" s="389">
        <f>SUM(E103:E104)</f>
        <v>4674520</v>
      </c>
      <c r="F98" s="387"/>
      <c r="G98" s="390">
        <f>SUM(G103:G104)</f>
        <v>1124651</v>
      </c>
      <c r="H98" s="391"/>
      <c r="I98" s="392"/>
      <c r="J98" s="393"/>
    </row>
    <row r="99" spans="1:10" s="367" customFormat="1" ht="38.25" x14ac:dyDescent="0.2">
      <c r="A99" s="365" t="s">
        <v>8</v>
      </c>
      <c r="B99" s="376">
        <v>2006</v>
      </c>
      <c r="C99" s="354" t="s">
        <v>604</v>
      </c>
      <c r="D99" s="352" t="s">
        <v>130</v>
      </c>
      <c r="E99" s="384">
        <v>1660250</v>
      </c>
      <c r="F99" s="354" t="s">
        <v>12</v>
      </c>
      <c r="G99" s="355">
        <v>250000</v>
      </c>
      <c r="H99" s="377"/>
      <c r="I99" s="353">
        <v>250000</v>
      </c>
      <c r="J99" s="385">
        <v>40365</v>
      </c>
    </row>
    <row r="100" spans="1:10" s="367" customFormat="1" ht="38.25" x14ac:dyDescent="0.2">
      <c r="A100" s="365" t="s">
        <v>8</v>
      </c>
      <c r="B100" s="376">
        <v>2006</v>
      </c>
      <c r="C100" s="354" t="s">
        <v>605</v>
      </c>
      <c r="D100" s="352" t="s">
        <v>131</v>
      </c>
      <c r="E100" s="384">
        <v>1027760</v>
      </c>
      <c r="F100" s="354" t="s">
        <v>11</v>
      </c>
      <c r="G100" s="355">
        <v>150000</v>
      </c>
      <c r="H100" s="377"/>
      <c r="I100" s="353">
        <v>150000</v>
      </c>
      <c r="J100" s="385">
        <v>39356</v>
      </c>
    </row>
    <row r="101" spans="1:10" s="367" customFormat="1" ht="76.5" x14ac:dyDescent="0.2">
      <c r="A101" s="365" t="s">
        <v>8</v>
      </c>
      <c r="B101" s="376">
        <v>2006</v>
      </c>
      <c r="C101" s="354" t="s">
        <v>606</v>
      </c>
      <c r="D101" s="352" t="s">
        <v>607</v>
      </c>
      <c r="E101" s="384">
        <v>437216</v>
      </c>
      <c r="F101" s="354" t="s">
        <v>10</v>
      </c>
      <c r="G101" s="355">
        <v>327912</v>
      </c>
      <c r="H101" s="377"/>
      <c r="I101" s="353">
        <v>327912</v>
      </c>
      <c r="J101" s="385">
        <v>39569</v>
      </c>
    </row>
    <row r="102" spans="1:10" s="367" customFormat="1" ht="38.25" x14ac:dyDescent="0.2">
      <c r="A102" s="365" t="s">
        <v>8</v>
      </c>
      <c r="B102" s="376">
        <v>2006</v>
      </c>
      <c r="C102" s="354" t="s">
        <v>608</v>
      </c>
      <c r="D102" s="352" t="s">
        <v>132</v>
      </c>
      <c r="E102" s="384">
        <v>1406960</v>
      </c>
      <c r="F102" s="354" t="s">
        <v>9</v>
      </c>
      <c r="G102" s="355">
        <v>346739</v>
      </c>
      <c r="H102" s="377"/>
      <c r="I102" s="353">
        <v>346739</v>
      </c>
      <c r="J102" s="385">
        <v>40350</v>
      </c>
    </row>
    <row r="103" spans="1:10" s="367" customFormat="1" ht="38.25" x14ac:dyDescent="0.2">
      <c r="A103" s="365" t="s">
        <v>8</v>
      </c>
      <c r="B103" s="376">
        <v>2006</v>
      </c>
      <c r="C103" s="354" t="s">
        <v>609</v>
      </c>
      <c r="D103" s="352" t="s">
        <v>131</v>
      </c>
      <c r="E103" s="384">
        <v>71167</v>
      </c>
      <c r="F103" s="354" t="s">
        <v>7</v>
      </c>
      <c r="G103" s="355">
        <v>50000</v>
      </c>
      <c r="H103" s="377"/>
      <c r="I103" s="353">
        <v>50000</v>
      </c>
      <c r="J103" s="385">
        <v>39577</v>
      </c>
    </row>
    <row r="104" spans="1:10" x14ac:dyDescent="0.2">
      <c r="A104" s="395"/>
      <c r="B104" s="395"/>
      <c r="C104" s="395"/>
      <c r="D104" s="396"/>
      <c r="E104" s="9">
        <f>SUM(E99:E103)</f>
        <v>4603353</v>
      </c>
      <c r="F104" s="395"/>
      <c r="G104" s="8">
        <f>SUM(G99:G102)</f>
        <v>1074651</v>
      </c>
      <c r="H104" s="7"/>
      <c r="I104" s="397"/>
      <c r="J104" s="12"/>
    </row>
    <row r="105" spans="1:10" x14ac:dyDescent="0.2">
      <c r="G105" s="6"/>
      <c r="H105" s="5"/>
      <c r="I105" s="4"/>
    </row>
    <row r="106" spans="1:10" x14ac:dyDescent="0.2">
      <c r="A106" s="512" t="s">
        <v>505</v>
      </c>
      <c r="B106" s="512"/>
      <c r="C106" s="512"/>
      <c r="D106" s="512"/>
      <c r="E106" s="512"/>
      <c r="F106" s="512"/>
      <c r="G106" s="512"/>
      <c r="H106" s="512"/>
      <c r="I106" s="512"/>
      <c r="J106" s="512"/>
    </row>
    <row r="107" spans="1:10" x14ac:dyDescent="0.2">
      <c r="A107" s="512"/>
      <c r="B107" s="512"/>
      <c r="C107" s="512"/>
      <c r="D107" s="512"/>
      <c r="E107" s="512"/>
      <c r="F107" s="512"/>
      <c r="G107" s="512"/>
      <c r="H107" s="512"/>
      <c r="I107" s="512"/>
      <c r="J107" s="512"/>
    </row>
    <row r="108" spans="1:10" x14ac:dyDescent="0.2">
      <c r="A108" s="321"/>
      <c r="B108" s="321"/>
      <c r="C108" s="321"/>
      <c r="D108" s="321"/>
      <c r="E108" s="321"/>
      <c r="F108" s="321"/>
      <c r="G108" s="321"/>
      <c r="I108" s="321"/>
      <c r="J108" s="321"/>
    </row>
    <row r="109" spans="1:10" x14ac:dyDescent="0.2">
      <c r="A109" s="513" t="s">
        <v>6</v>
      </c>
      <c r="B109" s="513"/>
      <c r="C109" s="513"/>
      <c r="D109" s="513"/>
      <c r="E109" s="513"/>
      <c r="F109" s="513"/>
      <c r="G109" s="513"/>
      <c r="H109" s="513"/>
      <c r="I109" s="513"/>
      <c r="J109" s="513"/>
    </row>
    <row r="110" spans="1:10" x14ac:dyDescent="0.2">
      <c r="A110" s="512" t="s">
        <v>506</v>
      </c>
      <c r="B110" s="512"/>
      <c r="C110" s="512"/>
      <c r="D110" s="512"/>
      <c r="E110" s="512"/>
      <c r="F110" s="512"/>
      <c r="G110" s="512"/>
      <c r="H110" s="512"/>
      <c r="I110" s="512"/>
      <c r="J110" s="512"/>
    </row>
    <row r="111" spans="1:10" x14ac:dyDescent="0.2">
      <c r="A111" s="512" t="s">
        <v>507</v>
      </c>
      <c r="B111" s="512"/>
      <c r="C111" s="512"/>
      <c r="D111" s="512"/>
      <c r="E111" s="512"/>
      <c r="F111" s="512"/>
      <c r="G111" s="512"/>
      <c r="H111" s="512"/>
      <c r="I111" s="512"/>
      <c r="J111" s="512"/>
    </row>
    <row r="112" spans="1:10" x14ac:dyDescent="0.2">
      <c r="A112" s="512" t="s">
        <v>508</v>
      </c>
      <c r="B112" s="512"/>
      <c r="C112" s="512"/>
      <c r="D112" s="512"/>
      <c r="E112" s="512"/>
      <c r="F112" s="512"/>
      <c r="G112" s="512"/>
      <c r="H112" s="512"/>
      <c r="I112" s="512"/>
      <c r="J112" s="512"/>
    </row>
    <row r="113" spans="1:10" x14ac:dyDescent="0.2">
      <c r="A113" s="263" t="s">
        <v>610</v>
      </c>
      <c r="B113" s="321"/>
      <c r="C113" s="321"/>
      <c r="D113" s="321"/>
      <c r="E113" s="321"/>
      <c r="F113" s="321"/>
      <c r="G113" s="321"/>
      <c r="I113" s="321"/>
      <c r="J113" s="321"/>
    </row>
    <row r="114" spans="1:10" x14ac:dyDescent="0.2">
      <c r="A114" s="263" t="s">
        <v>696</v>
      </c>
      <c r="B114" s="321"/>
      <c r="C114" s="321"/>
      <c r="D114" s="321"/>
      <c r="E114" s="321"/>
      <c r="F114" s="321"/>
      <c r="G114" s="321"/>
      <c r="I114" s="321"/>
      <c r="J114" s="321"/>
    </row>
    <row r="115" spans="1:10" x14ac:dyDescent="0.2">
      <c r="A115" s="321"/>
      <c r="B115" s="321"/>
      <c r="C115" s="321"/>
      <c r="D115" s="321"/>
      <c r="E115" s="321"/>
      <c r="F115" s="321"/>
      <c r="G115" s="321"/>
      <c r="I115" s="321"/>
      <c r="J115" s="321"/>
    </row>
    <row r="116" spans="1:10" x14ac:dyDescent="0.2">
      <c r="A116" s="513" t="s">
        <v>5</v>
      </c>
      <c r="B116" s="513"/>
      <c r="C116" s="513"/>
      <c r="D116" s="513"/>
      <c r="E116" s="513"/>
      <c r="F116" s="513"/>
      <c r="G116" s="513"/>
      <c r="H116" s="513"/>
      <c r="I116" s="513"/>
      <c r="J116" s="513"/>
    </row>
    <row r="117" spans="1:10" x14ac:dyDescent="0.2">
      <c r="A117" s="513" t="s">
        <v>4</v>
      </c>
      <c r="B117" s="513"/>
      <c r="C117" s="513"/>
      <c r="D117" s="513"/>
      <c r="E117" s="513"/>
      <c r="F117" s="513"/>
      <c r="G117" s="513"/>
      <c r="H117" s="513"/>
      <c r="I117" s="513"/>
      <c r="J117" s="513"/>
    </row>
    <row r="118" spans="1:10" x14ac:dyDescent="0.2">
      <c r="A118" s="513" t="s">
        <v>509</v>
      </c>
      <c r="B118" s="513"/>
      <c r="C118" s="513"/>
      <c r="D118" s="513"/>
      <c r="E118" s="513"/>
      <c r="F118" s="513"/>
      <c r="G118" s="513"/>
      <c r="H118" s="513"/>
      <c r="I118" s="513"/>
      <c r="J118" s="513"/>
    </row>
    <row r="119" spans="1:10" x14ac:dyDescent="0.2">
      <c r="A119" s="513" t="s">
        <v>3</v>
      </c>
      <c r="B119" s="513"/>
      <c r="C119" s="513"/>
      <c r="D119" s="513"/>
      <c r="E119" s="513"/>
      <c r="F119" s="513"/>
      <c r="G119" s="513"/>
      <c r="H119" s="513"/>
      <c r="I119" s="513"/>
      <c r="J119" s="513"/>
    </row>
    <row r="120" spans="1:10" x14ac:dyDescent="0.2">
      <c r="A120" s="512" t="s">
        <v>2</v>
      </c>
      <c r="B120" s="512"/>
      <c r="C120" s="512"/>
      <c r="D120" s="512"/>
      <c r="E120" s="512"/>
      <c r="F120" s="512"/>
      <c r="G120" s="512"/>
      <c r="H120" s="512"/>
      <c r="I120" s="512"/>
      <c r="J120" s="512"/>
    </row>
    <row r="121" spans="1:10" x14ac:dyDescent="0.2">
      <c r="A121" s="512" t="s">
        <v>510</v>
      </c>
      <c r="B121" s="512"/>
      <c r="C121" s="512"/>
    </row>
    <row r="122" spans="1:10" x14ac:dyDescent="0.2">
      <c r="A122" s="512" t="s">
        <v>133</v>
      </c>
      <c r="B122" s="512"/>
      <c r="C122" s="512"/>
      <c r="D122" s="512"/>
      <c r="E122" s="512"/>
      <c r="F122" s="512"/>
    </row>
    <row r="123" spans="1:10" x14ac:dyDescent="0.2">
      <c r="A123" s="512" t="s">
        <v>134</v>
      </c>
      <c r="B123" s="512"/>
      <c r="C123" s="512"/>
      <c r="D123" s="512"/>
      <c r="E123" s="512"/>
      <c r="F123" s="512"/>
      <c r="G123" s="512"/>
      <c r="H123" s="512"/>
      <c r="I123" s="512"/>
      <c r="J123" s="512"/>
    </row>
    <row r="124" spans="1:10" x14ac:dyDescent="0.2">
      <c r="A124" s="512" t="s">
        <v>511</v>
      </c>
      <c r="B124" s="512"/>
      <c r="C124" s="512"/>
      <c r="D124" s="512"/>
      <c r="E124" s="512"/>
      <c r="F124" s="512"/>
      <c r="G124" s="512"/>
      <c r="H124" s="512"/>
      <c r="I124" s="512"/>
      <c r="J124" s="512"/>
    </row>
    <row r="125" spans="1:10" x14ac:dyDescent="0.2">
      <c r="A125" s="512" t="s">
        <v>611</v>
      </c>
      <c r="B125" s="512"/>
      <c r="C125" s="512"/>
      <c r="D125" s="512"/>
      <c r="E125" s="512"/>
      <c r="F125" s="512"/>
      <c r="G125" s="512"/>
      <c r="H125" s="512"/>
      <c r="I125" s="512"/>
      <c r="J125" s="512"/>
    </row>
    <row r="126" spans="1:10" ht="12.75" customHeight="1" x14ac:dyDescent="0.2">
      <c r="A126" s="512" t="s">
        <v>697</v>
      </c>
      <c r="B126" s="512"/>
      <c r="C126" s="512"/>
      <c r="D126" s="512"/>
      <c r="E126" s="512"/>
      <c r="F126" s="512"/>
      <c r="G126" s="512"/>
      <c r="H126" s="512"/>
      <c r="I126" s="512"/>
      <c r="J126" s="512"/>
    </row>
  </sheetData>
  <mergeCells count="18">
    <mergeCell ref="A116:J116"/>
    <mergeCell ref="A117:J117"/>
    <mergeCell ref="A118:J118"/>
    <mergeCell ref="A111:J111"/>
    <mergeCell ref="A112:J112"/>
    <mergeCell ref="A1:J1"/>
    <mergeCell ref="G2:H2"/>
    <mergeCell ref="A106:J107"/>
    <mergeCell ref="A109:J109"/>
    <mergeCell ref="A110:J110"/>
    <mergeCell ref="A124:J124"/>
    <mergeCell ref="A125:J125"/>
    <mergeCell ref="A126:J126"/>
    <mergeCell ref="A119:J119"/>
    <mergeCell ref="A120:J120"/>
    <mergeCell ref="A121:C121"/>
    <mergeCell ref="A122:F122"/>
    <mergeCell ref="A123:J123"/>
  </mergeCells>
  <printOptions horizontalCentered="1" verticalCentered="1"/>
  <pageMargins left="0.7" right="0.7" top="0.75" bottom="0.75" header="0.3" footer="0.3"/>
  <pageSetup paperSize="5" scale="70"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workbookViewId="0">
      <selection sqref="A1:I1"/>
    </sheetView>
  </sheetViews>
  <sheetFormatPr defaultRowHeight="12.75" x14ac:dyDescent="0.2"/>
  <cols>
    <col min="1" max="1" width="22" customWidth="1"/>
    <col min="2" max="2" width="22.5703125" customWidth="1"/>
    <col min="3" max="3" width="15.7109375" customWidth="1"/>
    <col min="4" max="4" width="12.7109375" bestFit="1" customWidth="1"/>
    <col min="5" max="5" width="17.28515625" customWidth="1"/>
    <col min="6" max="6" width="12.7109375" bestFit="1" customWidth="1"/>
    <col min="7" max="7" width="16" customWidth="1"/>
    <col min="8" max="8" width="24.85546875" customWidth="1"/>
    <col min="9" max="9" width="18.42578125" bestFit="1" customWidth="1"/>
    <col min="257" max="257" width="22" customWidth="1"/>
    <col min="258" max="258" width="17.140625" customWidth="1"/>
    <col min="259" max="259" width="15.7109375" customWidth="1"/>
    <col min="260" max="260" width="12.7109375" bestFit="1" customWidth="1"/>
    <col min="261" max="261" width="17.28515625" customWidth="1"/>
    <col min="262" max="262" width="12.7109375" bestFit="1" customWidth="1"/>
    <col min="263" max="263" width="16" customWidth="1"/>
    <col min="264" max="264" width="15.28515625" customWidth="1"/>
    <col min="265" max="265" width="13.140625" bestFit="1" customWidth="1"/>
    <col min="513" max="513" width="22" customWidth="1"/>
    <col min="514" max="514" width="17.140625" customWidth="1"/>
    <col min="515" max="515" width="15.7109375" customWidth="1"/>
    <col min="516" max="516" width="12.7109375" bestFit="1" customWidth="1"/>
    <col min="517" max="517" width="17.28515625" customWidth="1"/>
    <col min="518" max="518" width="12.7109375" bestFit="1" customWidth="1"/>
    <col min="519" max="519" width="16" customWidth="1"/>
    <col min="520" max="520" width="15.28515625" customWidth="1"/>
    <col min="521" max="521" width="13.140625" bestFit="1" customWidth="1"/>
    <col min="769" max="769" width="22" customWidth="1"/>
    <col min="770" max="770" width="17.140625" customWidth="1"/>
    <col min="771" max="771" width="15.7109375" customWidth="1"/>
    <col min="772" max="772" width="12.7109375" bestFit="1" customWidth="1"/>
    <col min="773" max="773" width="17.28515625" customWidth="1"/>
    <col min="774" max="774" width="12.7109375" bestFit="1" customWidth="1"/>
    <col min="775" max="775" width="16" customWidth="1"/>
    <col min="776" max="776" width="15.28515625" customWidth="1"/>
    <col min="777" max="777" width="13.140625" bestFit="1" customWidth="1"/>
    <col min="1025" max="1025" width="22" customWidth="1"/>
    <col min="1026" max="1026" width="17.140625" customWidth="1"/>
    <col min="1027" max="1027" width="15.7109375" customWidth="1"/>
    <col min="1028" max="1028" width="12.7109375" bestFit="1" customWidth="1"/>
    <col min="1029" max="1029" width="17.28515625" customWidth="1"/>
    <col min="1030" max="1030" width="12.7109375" bestFit="1" customWidth="1"/>
    <col min="1031" max="1031" width="16" customWidth="1"/>
    <col min="1032" max="1032" width="15.28515625" customWidth="1"/>
    <col min="1033" max="1033" width="13.140625" bestFit="1" customWidth="1"/>
    <col min="1281" max="1281" width="22" customWidth="1"/>
    <col min="1282" max="1282" width="17.140625" customWidth="1"/>
    <col min="1283" max="1283" width="15.7109375" customWidth="1"/>
    <col min="1284" max="1284" width="12.7109375" bestFit="1" customWidth="1"/>
    <col min="1285" max="1285" width="17.28515625" customWidth="1"/>
    <col min="1286" max="1286" width="12.7109375" bestFit="1" customWidth="1"/>
    <col min="1287" max="1287" width="16" customWidth="1"/>
    <col min="1288" max="1288" width="15.28515625" customWidth="1"/>
    <col min="1289" max="1289" width="13.140625" bestFit="1" customWidth="1"/>
    <col min="1537" max="1537" width="22" customWidth="1"/>
    <col min="1538" max="1538" width="17.140625" customWidth="1"/>
    <col min="1539" max="1539" width="15.7109375" customWidth="1"/>
    <col min="1540" max="1540" width="12.7109375" bestFit="1" customWidth="1"/>
    <col min="1541" max="1541" width="17.28515625" customWidth="1"/>
    <col min="1542" max="1542" width="12.7109375" bestFit="1" customWidth="1"/>
    <col min="1543" max="1543" width="16" customWidth="1"/>
    <col min="1544" max="1544" width="15.28515625" customWidth="1"/>
    <col min="1545" max="1545" width="13.140625" bestFit="1" customWidth="1"/>
    <col min="1793" max="1793" width="22" customWidth="1"/>
    <col min="1794" max="1794" width="17.140625" customWidth="1"/>
    <col min="1795" max="1795" width="15.7109375" customWidth="1"/>
    <col min="1796" max="1796" width="12.7109375" bestFit="1" customWidth="1"/>
    <col min="1797" max="1797" width="17.28515625" customWidth="1"/>
    <col min="1798" max="1798" width="12.7109375" bestFit="1" customWidth="1"/>
    <col min="1799" max="1799" width="16" customWidth="1"/>
    <col min="1800" max="1800" width="15.28515625" customWidth="1"/>
    <col min="1801" max="1801" width="13.140625" bestFit="1" customWidth="1"/>
    <col min="2049" max="2049" width="22" customWidth="1"/>
    <col min="2050" max="2050" width="17.140625" customWidth="1"/>
    <col min="2051" max="2051" width="15.7109375" customWidth="1"/>
    <col min="2052" max="2052" width="12.7109375" bestFit="1" customWidth="1"/>
    <col min="2053" max="2053" width="17.28515625" customWidth="1"/>
    <col min="2054" max="2054" width="12.7109375" bestFit="1" customWidth="1"/>
    <col min="2055" max="2055" width="16" customWidth="1"/>
    <col min="2056" max="2056" width="15.28515625" customWidth="1"/>
    <col min="2057" max="2057" width="13.140625" bestFit="1" customWidth="1"/>
    <col min="2305" max="2305" width="22" customWidth="1"/>
    <col min="2306" max="2306" width="17.140625" customWidth="1"/>
    <col min="2307" max="2307" width="15.7109375" customWidth="1"/>
    <col min="2308" max="2308" width="12.7109375" bestFit="1" customWidth="1"/>
    <col min="2309" max="2309" width="17.28515625" customWidth="1"/>
    <col min="2310" max="2310" width="12.7109375" bestFit="1" customWidth="1"/>
    <col min="2311" max="2311" width="16" customWidth="1"/>
    <col min="2312" max="2312" width="15.28515625" customWidth="1"/>
    <col min="2313" max="2313" width="13.140625" bestFit="1" customWidth="1"/>
    <col min="2561" max="2561" width="22" customWidth="1"/>
    <col min="2562" max="2562" width="17.140625" customWidth="1"/>
    <col min="2563" max="2563" width="15.7109375" customWidth="1"/>
    <col min="2564" max="2564" width="12.7109375" bestFit="1" customWidth="1"/>
    <col min="2565" max="2565" width="17.28515625" customWidth="1"/>
    <col min="2566" max="2566" width="12.7109375" bestFit="1" customWidth="1"/>
    <col min="2567" max="2567" width="16" customWidth="1"/>
    <col min="2568" max="2568" width="15.28515625" customWidth="1"/>
    <col min="2569" max="2569" width="13.140625" bestFit="1" customWidth="1"/>
    <col min="2817" max="2817" width="22" customWidth="1"/>
    <col min="2818" max="2818" width="17.140625" customWidth="1"/>
    <col min="2819" max="2819" width="15.7109375" customWidth="1"/>
    <col min="2820" max="2820" width="12.7109375" bestFit="1" customWidth="1"/>
    <col min="2821" max="2821" width="17.28515625" customWidth="1"/>
    <col min="2822" max="2822" width="12.7109375" bestFit="1" customWidth="1"/>
    <col min="2823" max="2823" width="16" customWidth="1"/>
    <col min="2824" max="2824" width="15.28515625" customWidth="1"/>
    <col min="2825" max="2825" width="13.140625" bestFit="1" customWidth="1"/>
    <col min="3073" max="3073" width="22" customWidth="1"/>
    <col min="3074" max="3074" width="17.140625" customWidth="1"/>
    <col min="3075" max="3075" width="15.7109375" customWidth="1"/>
    <col min="3076" max="3076" width="12.7109375" bestFit="1" customWidth="1"/>
    <col min="3077" max="3077" width="17.28515625" customWidth="1"/>
    <col min="3078" max="3078" width="12.7109375" bestFit="1" customWidth="1"/>
    <col min="3079" max="3079" width="16" customWidth="1"/>
    <col min="3080" max="3080" width="15.28515625" customWidth="1"/>
    <col min="3081" max="3081" width="13.140625" bestFit="1" customWidth="1"/>
    <col min="3329" max="3329" width="22" customWidth="1"/>
    <col min="3330" max="3330" width="17.140625" customWidth="1"/>
    <col min="3331" max="3331" width="15.7109375" customWidth="1"/>
    <col min="3332" max="3332" width="12.7109375" bestFit="1" customWidth="1"/>
    <col min="3333" max="3333" width="17.28515625" customWidth="1"/>
    <col min="3334" max="3334" width="12.7109375" bestFit="1" customWidth="1"/>
    <col min="3335" max="3335" width="16" customWidth="1"/>
    <col min="3336" max="3336" width="15.28515625" customWidth="1"/>
    <col min="3337" max="3337" width="13.140625" bestFit="1" customWidth="1"/>
    <col min="3585" max="3585" width="22" customWidth="1"/>
    <col min="3586" max="3586" width="17.140625" customWidth="1"/>
    <col min="3587" max="3587" width="15.7109375" customWidth="1"/>
    <col min="3588" max="3588" width="12.7109375" bestFit="1" customWidth="1"/>
    <col min="3589" max="3589" width="17.28515625" customWidth="1"/>
    <col min="3590" max="3590" width="12.7109375" bestFit="1" customWidth="1"/>
    <col min="3591" max="3591" width="16" customWidth="1"/>
    <col min="3592" max="3592" width="15.28515625" customWidth="1"/>
    <col min="3593" max="3593" width="13.140625" bestFit="1" customWidth="1"/>
    <col min="3841" max="3841" width="22" customWidth="1"/>
    <col min="3842" max="3842" width="17.140625" customWidth="1"/>
    <col min="3843" max="3843" width="15.7109375" customWidth="1"/>
    <col min="3844" max="3844" width="12.7109375" bestFit="1" customWidth="1"/>
    <col min="3845" max="3845" width="17.28515625" customWidth="1"/>
    <col min="3846" max="3846" width="12.7109375" bestFit="1" customWidth="1"/>
    <col min="3847" max="3847" width="16" customWidth="1"/>
    <col min="3848" max="3848" width="15.28515625" customWidth="1"/>
    <col min="3849" max="3849" width="13.140625" bestFit="1" customWidth="1"/>
    <col min="4097" max="4097" width="22" customWidth="1"/>
    <col min="4098" max="4098" width="17.140625" customWidth="1"/>
    <col min="4099" max="4099" width="15.7109375" customWidth="1"/>
    <col min="4100" max="4100" width="12.7109375" bestFit="1" customWidth="1"/>
    <col min="4101" max="4101" width="17.28515625" customWidth="1"/>
    <col min="4102" max="4102" width="12.7109375" bestFit="1" customWidth="1"/>
    <col min="4103" max="4103" width="16" customWidth="1"/>
    <col min="4104" max="4104" width="15.28515625" customWidth="1"/>
    <col min="4105" max="4105" width="13.140625" bestFit="1" customWidth="1"/>
    <col min="4353" max="4353" width="22" customWidth="1"/>
    <col min="4354" max="4354" width="17.140625" customWidth="1"/>
    <col min="4355" max="4355" width="15.7109375" customWidth="1"/>
    <col min="4356" max="4356" width="12.7109375" bestFit="1" customWidth="1"/>
    <col min="4357" max="4357" width="17.28515625" customWidth="1"/>
    <col min="4358" max="4358" width="12.7109375" bestFit="1" customWidth="1"/>
    <col min="4359" max="4359" width="16" customWidth="1"/>
    <col min="4360" max="4360" width="15.28515625" customWidth="1"/>
    <col min="4361" max="4361" width="13.140625" bestFit="1" customWidth="1"/>
    <col min="4609" max="4609" width="22" customWidth="1"/>
    <col min="4610" max="4610" width="17.140625" customWidth="1"/>
    <col min="4611" max="4611" width="15.7109375" customWidth="1"/>
    <col min="4612" max="4612" width="12.7109375" bestFit="1" customWidth="1"/>
    <col min="4613" max="4613" width="17.28515625" customWidth="1"/>
    <col min="4614" max="4614" width="12.7109375" bestFit="1" customWidth="1"/>
    <col min="4615" max="4615" width="16" customWidth="1"/>
    <col min="4616" max="4616" width="15.28515625" customWidth="1"/>
    <col min="4617" max="4617" width="13.140625" bestFit="1" customWidth="1"/>
    <col min="4865" max="4865" width="22" customWidth="1"/>
    <col min="4866" max="4866" width="17.140625" customWidth="1"/>
    <col min="4867" max="4867" width="15.7109375" customWidth="1"/>
    <col min="4868" max="4868" width="12.7109375" bestFit="1" customWidth="1"/>
    <col min="4869" max="4869" width="17.28515625" customWidth="1"/>
    <col min="4870" max="4870" width="12.7109375" bestFit="1" customWidth="1"/>
    <col min="4871" max="4871" width="16" customWidth="1"/>
    <col min="4872" max="4872" width="15.28515625" customWidth="1"/>
    <col min="4873" max="4873" width="13.140625" bestFit="1" customWidth="1"/>
    <col min="5121" max="5121" width="22" customWidth="1"/>
    <col min="5122" max="5122" width="17.140625" customWidth="1"/>
    <col min="5123" max="5123" width="15.7109375" customWidth="1"/>
    <col min="5124" max="5124" width="12.7109375" bestFit="1" customWidth="1"/>
    <col min="5125" max="5125" width="17.28515625" customWidth="1"/>
    <col min="5126" max="5126" width="12.7109375" bestFit="1" customWidth="1"/>
    <col min="5127" max="5127" width="16" customWidth="1"/>
    <col min="5128" max="5128" width="15.28515625" customWidth="1"/>
    <col min="5129" max="5129" width="13.140625" bestFit="1" customWidth="1"/>
    <col min="5377" max="5377" width="22" customWidth="1"/>
    <col min="5378" max="5378" width="17.140625" customWidth="1"/>
    <col min="5379" max="5379" width="15.7109375" customWidth="1"/>
    <col min="5380" max="5380" width="12.7109375" bestFit="1" customWidth="1"/>
    <col min="5381" max="5381" width="17.28515625" customWidth="1"/>
    <col min="5382" max="5382" width="12.7109375" bestFit="1" customWidth="1"/>
    <col min="5383" max="5383" width="16" customWidth="1"/>
    <col min="5384" max="5384" width="15.28515625" customWidth="1"/>
    <col min="5385" max="5385" width="13.140625" bestFit="1" customWidth="1"/>
    <col min="5633" max="5633" width="22" customWidth="1"/>
    <col min="5634" max="5634" width="17.140625" customWidth="1"/>
    <col min="5635" max="5635" width="15.7109375" customWidth="1"/>
    <col min="5636" max="5636" width="12.7109375" bestFit="1" customWidth="1"/>
    <col min="5637" max="5637" width="17.28515625" customWidth="1"/>
    <col min="5638" max="5638" width="12.7109375" bestFit="1" customWidth="1"/>
    <col min="5639" max="5639" width="16" customWidth="1"/>
    <col min="5640" max="5640" width="15.28515625" customWidth="1"/>
    <col min="5641" max="5641" width="13.140625" bestFit="1" customWidth="1"/>
    <col min="5889" max="5889" width="22" customWidth="1"/>
    <col min="5890" max="5890" width="17.140625" customWidth="1"/>
    <col min="5891" max="5891" width="15.7109375" customWidth="1"/>
    <col min="5892" max="5892" width="12.7109375" bestFit="1" customWidth="1"/>
    <col min="5893" max="5893" width="17.28515625" customWidth="1"/>
    <col min="5894" max="5894" width="12.7109375" bestFit="1" customWidth="1"/>
    <col min="5895" max="5895" width="16" customWidth="1"/>
    <col min="5896" max="5896" width="15.28515625" customWidth="1"/>
    <col min="5897" max="5897" width="13.140625" bestFit="1" customWidth="1"/>
    <col min="6145" max="6145" width="22" customWidth="1"/>
    <col min="6146" max="6146" width="17.140625" customWidth="1"/>
    <col min="6147" max="6147" width="15.7109375" customWidth="1"/>
    <col min="6148" max="6148" width="12.7109375" bestFit="1" customWidth="1"/>
    <col min="6149" max="6149" width="17.28515625" customWidth="1"/>
    <col min="6150" max="6150" width="12.7109375" bestFit="1" customWidth="1"/>
    <col min="6151" max="6151" width="16" customWidth="1"/>
    <col min="6152" max="6152" width="15.28515625" customWidth="1"/>
    <col min="6153" max="6153" width="13.140625" bestFit="1" customWidth="1"/>
    <col min="6401" max="6401" width="22" customWidth="1"/>
    <col min="6402" max="6402" width="17.140625" customWidth="1"/>
    <col min="6403" max="6403" width="15.7109375" customWidth="1"/>
    <col min="6404" max="6404" width="12.7109375" bestFit="1" customWidth="1"/>
    <col min="6405" max="6405" width="17.28515625" customWidth="1"/>
    <col min="6406" max="6406" width="12.7109375" bestFit="1" customWidth="1"/>
    <col min="6407" max="6407" width="16" customWidth="1"/>
    <col min="6408" max="6408" width="15.28515625" customWidth="1"/>
    <col min="6409" max="6409" width="13.140625" bestFit="1" customWidth="1"/>
    <col min="6657" max="6657" width="22" customWidth="1"/>
    <col min="6658" max="6658" width="17.140625" customWidth="1"/>
    <col min="6659" max="6659" width="15.7109375" customWidth="1"/>
    <col min="6660" max="6660" width="12.7109375" bestFit="1" customWidth="1"/>
    <col min="6661" max="6661" width="17.28515625" customWidth="1"/>
    <col min="6662" max="6662" width="12.7109375" bestFit="1" customWidth="1"/>
    <col min="6663" max="6663" width="16" customWidth="1"/>
    <col min="6664" max="6664" width="15.28515625" customWidth="1"/>
    <col min="6665" max="6665" width="13.140625" bestFit="1" customWidth="1"/>
    <col min="6913" max="6913" width="22" customWidth="1"/>
    <col min="6914" max="6914" width="17.140625" customWidth="1"/>
    <col min="6915" max="6915" width="15.7109375" customWidth="1"/>
    <col min="6916" max="6916" width="12.7109375" bestFit="1" customWidth="1"/>
    <col min="6917" max="6917" width="17.28515625" customWidth="1"/>
    <col min="6918" max="6918" width="12.7109375" bestFit="1" customWidth="1"/>
    <col min="6919" max="6919" width="16" customWidth="1"/>
    <col min="6920" max="6920" width="15.28515625" customWidth="1"/>
    <col min="6921" max="6921" width="13.140625" bestFit="1" customWidth="1"/>
    <col min="7169" max="7169" width="22" customWidth="1"/>
    <col min="7170" max="7170" width="17.140625" customWidth="1"/>
    <col min="7171" max="7171" width="15.7109375" customWidth="1"/>
    <col min="7172" max="7172" width="12.7109375" bestFit="1" customWidth="1"/>
    <col min="7173" max="7173" width="17.28515625" customWidth="1"/>
    <col min="7174" max="7174" width="12.7109375" bestFit="1" customWidth="1"/>
    <col min="7175" max="7175" width="16" customWidth="1"/>
    <col min="7176" max="7176" width="15.28515625" customWidth="1"/>
    <col min="7177" max="7177" width="13.140625" bestFit="1" customWidth="1"/>
    <col min="7425" max="7425" width="22" customWidth="1"/>
    <col min="7426" max="7426" width="17.140625" customWidth="1"/>
    <col min="7427" max="7427" width="15.7109375" customWidth="1"/>
    <col min="7428" max="7428" width="12.7109375" bestFit="1" customWidth="1"/>
    <col min="7429" max="7429" width="17.28515625" customWidth="1"/>
    <col min="7430" max="7430" width="12.7109375" bestFit="1" customWidth="1"/>
    <col min="7431" max="7431" width="16" customWidth="1"/>
    <col min="7432" max="7432" width="15.28515625" customWidth="1"/>
    <col min="7433" max="7433" width="13.140625" bestFit="1" customWidth="1"/>
    <col min="7681" max="7681" width="22" customWidth="1"/>
    <col min="7682" max="7682" width="17.140625" customWidth="1"/>
    <col min="7683" max="7683" width="15.7109375" customWidth="1"/>
    <col min="7684" max="7684" width="12.7109375" bestFit="1" customWidth="1"/>
    <col min="7685" max="7685" width="17.28515625" customWidth="1"/>
    <col min="7686" max="7686" width="12.7109375" bestFit="1" customWidth="1"/>
    <col min="7687" max="7687" width="16" customWidth="1"/>
    <col min="7688" max="7688" width="15.28515625" customWidth="1"/>
    <col min="7689" max="7689" width="13.140625" bestFit="1" customWidth="1"/>
    <col min="7937" max="7937" width="22" customWidth="1"/>
    <col min="7938" max="7938" width="17.140625" customWidth="1"/>
    <col min="7939" max="7939" width="15.7109375" customWidth="1"/>
    <col min="7940" max="7940" width="12.7109375" bestFit="1" customWidth="1"/>
    <col min="7941" max="7941" width="17.28515625" customWidth="1"/>
    <col min="7942" max="7942" width="12.7109375" bestFit="1" customWidth="1"/>
    <col min="7943" max="7943" width="16" customWidth="1"/>
    <col min="7944" max="7944" width="15.28515625" customWidth="1"/>
    <col min="7945" max="7945" width="13.140625" bestFit="1" customWidth="1"/>
    <col min="8193" max="8193" width="22" customWidth="1"/>
    <col min="8194" max="8194" width="17.140625" customWidth="1"/>
    <col min="8195" max="8195" width="15.7109375" customWidth="1"/>
    <col min="8196" max="8196" width="12.7109375" bestFit="1" customWidth="1"/>
    <col min="8197" max="8197" width="17.28515625" customWidth="1"/>
    <col min="8198" max="8198" width="12.7109375" bestFit="1" customWidth="1"/>
    <col min="8199" max="8199" width="16" customWidth="1"/>
    <col min="8200" max="8200" width="15.28515625" customWidth="1"/>
    <col min="8201" max="8201" width="13.140625" bestFit="1" customWidth="1"/>
    <col min="8449" max="8449" width="22" customWidth="1"/>
    <col min="8450" max="8450" width="17.140625" customWidth="1"/>
    <col min="8451" max="8451" width="15.7109375" customWidth="1"/>
    <col min="8452" max="8452" width="12.7109375" bestFit="1" customWidth="1"/>
    <col min="8453" max="8453" width="17.28515625" customWidth="1"/>
    <col min="8454" max="8454" width="12.7109375" bestFit="1" customWidth="1"/>
    <col min="8455" max="8455" width="16" customWidth="1"/>
    <col min="8456" max="8456" width="15.28515625" customWidth="1"/>
    <col min="8457" max="8457" width="13.140625" bestFit="1" customWidth="1"/>
    <col min="8705" max="8705" width="22" customWidth="1"/>
    <col min="8706" max="8706" width="17.140625" customWidth="1"/>
    <col min="8707" max="8707" width="15.7109375" customWidth="1"/>
    <col min="8708" max="8708" width="12.7109375" bestFit="1" customWidth="1"/>
    <col min="8709" max="8709" width="17.28515625" customWidth="1"/>
    <col min="8710" max="8710" width="12.7109375" bestFit="1" customWidth="1"/>
    <col min="8711" max="8711" width="16" customWidth="1"/>
    <col min="8712" max="8712" width="15.28515625" customWidth="1"/>
    <col min="8713" max="8713" width="13.140625" bestFit="1" customWidth="1"/>
    <col min="8961" max="8961" width="22" customWidth="1"/>
    <col min="8962" max="8962" width="17.140625" customWidth="1"/>
    <col min="8963" max="8963" width="15.7109375" customWidth="1"/>
    <col min="8964" max="8964" width="12.7109375" bestFit="1" customWidth="1"/>
    <col min="8965" max="8965" width="17.28515625" customWidth="1"/>
    <col min="8966" max="8966" width="12.7109375" bestFit="1" customWidth="1"/>
    <col min="8967" max="8967" width="16" customWidth="1"/>
    <col min="8968" max="8968" width="15.28515625" customWidth="1"/>
    <col min="8969" max="8969" width="13.140625" bestFit="1" customWidth="1"/>
    <col min="9217" max="9217" width="22" customWidth="1"/>
    <col min="9218" max="9218" width="17.140625" customWidth="1"/>
    <col min="9219" max="9219" width="15.7109375" customWidth="1"/>
    <col min="9220" max="9220" width="12.7109375" bestFit="1" customWidth="1"/>
    <col min="9221" max="9221" width="17.28515625" customWidth="1"/>
    <col min="9222" max="9222" width="12.7109375" bestFit="1" customWidth="1"/>
    <col min="9223" max="9223" width="16" customWidth="1"/>
    <col min="9224" max="9224" width="15.28515625" customWidth="1"/>
    <col min="9225" max="9225" width="13.140625" bestFit="1" customWidth="1"/>
    <col min="9473" max="9473" width="22" customWidth="1"/>
    <col min="9474" max="9474" width="17.140625" customWidth="1"/>
    <col min="9475" max="9475" width="15.7109375" customWidth="1"/>
    <col min="9476" max="9476" width="12.7109375" bestFit="1" customWidth="1"/>
    <col min="9477" max="9477" width="17.28515625" customWidth="1"/>
    <col min="9478" max="9478" width="12.7109375" bestFit="1" customWidth="1"/>
    <col min="9479" max="9479" width="16" customWidth="1"/>
    <col min="9480" max="9480" width="15.28515625" customWidth="1"/>
    <col min="9481" max="9481" width="13.140625" bestFit="1" customWidth="1"/>
    <col min="9729" max="9729" width="22" customWidth="1"/>
    <col min="9730" max="9730" width="17.140625" customWidth="1"/>
    <col min="9731" max="9731" width="15.7109375" customWidth="1"/>
    <col min="9732" max="9732" width="12.7109375" bestFit="1" customWidth="1"/>
    <col min="9733" max="9733" width="17.28515625" customWidth="1"/>
    <col min="9734" max="9734" width="12.7109375" bestFit="1" customWidth="1"/>
    <col min="9735" max="9735" width="16" customWidth="1"/>
    <col min="9736" max="9736" width="15.28515625" customWidth="1"/>
    <col min="9737" max="9737" width="13.140625" bestFit="1" customWidth="1"/>
    <col min="9985" max="9985" width="22" customWidth="1"/>
    <col min="9986" max="9986" width="17.140625" customWidth="1"/>
    <col min="9987" max="9987" width="15.7109375" customWidth="1"/>
    <col min="9988" max="9988" width="12.7109375" bestFit="1" customWidth="1"/>
    <col min="9989" max="9989" width="17.28515625" customWidth="1"/>
    <col min="9990" max="9990" width="12.7109375" bestFit="1" customWidth="1"/>
    <col min="9991" max="9991" width="16" customWidth="1"/>
    <col min="9992" max="9992" width="15.28515625" customWidth="1"/>
    <col min="9993" max="9993" width="13.140625" bestFit="1" customWidth="1"/>
    <col min="10241" max="10241" width="22" customWidth="1"/>
    <col min="10242" max="10242" width="17.140625" customWidth="1"/>
    <col min="10243" max="10243" width="15.7109375" customWidth="1"/>
    <col min="10244" max="10244" width="12.7109375" bestFit="1" customWidth="1"/>
    <col min="10245" max="10245" width="17.28515625" customWidth="1"/>
    <col min="10246" max="10246" width="12.7109375" bestFit="1" customWidth="1"/>
    <col min="10247" max="10247" width="16" customWidth="1"/>
    <col min="10248" max="10248" width="15.28515625" customWidth="1"/>
    <col min="10249" max="10249" width="13.140625" bestFit="1" customWidth="1"/>
    <col min="10497" max="10497" width="22" customWidth="1"/>
    <col min="10498" max="10498" width="17.140625" customWidth="1"/>
    <col min="10499" max="10499" width="15.7109375" customWidth="1"/>
    <col min="10500" max="10500" width="12.7109375" bestFit="1" customWidth="1"/>
    <col min="10501" max="10501" width="17.28515625" customWidth="1"/>
    <col min="10502" max="10502" width="12.7109375" bestFit="1" customWidth="1"/>
    <col min="10503" max="10503" width="16" customWidth="1"/>
    <col min="10504" max="10504" width="15.28515625" customWidth="1"/>
    <col min="10505" max="10505" width="13.140625" bestFit="1" customWidth="1"/>
    <col min="10753" max="10753" width="22" customWidth="1"/>
    <col min="10754" max="10754" width="17.140625" customWidth="1"/>
    <col min="10755" max="10755" width="15.7109375" customWidth="1"/>
    <col min="10756" max="10756" width="12.7109375" bestFit="1" customWidth="1"/>
    <col min="10757" max="10757" width="17.28515625" customWidth="1"/>
    <col min="10758" max="10758" width="12.7109375" bestFit="1" customWidth="1"/>
    <col min="10759" max="10759" width="16" customWidth="1"/>
    <col min="10760" max="10760" width="15.28515625" customWidth="1"/>
    <col min="10761" max="10761" width="13.140625" bestFit="1" customWidth="1"/>
    <col min="11009" max="11009" width="22" customWidth="1"/>
    <col min="11010" max="11010" width="17.140625" customWidth="1"/>
    <col min="11011" max="11011" width="15.7109375" customWidth="1"/>
    <col min="11012" max="11012" width="12.7109375" bestFit="1" customWidth="1"/>
    <col min="11013" max="11013" width="17.28515625" customWidth="1"/>
    <col min="11014" max="11014" width="12.7109375" bestFit="1" customWidth="1"/>
    <col min="11015" max="11015" width="16" customWidth="1"/>
    <col min="11016" max="11016" width="15.28515625" customWidth="1"/>
    <col min="11017" max="11017" width="13.140625" bestFit="1" customWidth="1"/>
    <col min="11265" max="11265" width="22" customWidth="1"/>
    <col min="11266" max="11266" width="17.140625" customWidth="1"/>
    <col min="11267" max="11267" width="15.7109375" customWidth="1"/>
    <col min="11268" max="11268" width="12.7109375" bestFit="1" customWidth="1"/>
    <col min="11269" max="11269" width="17.28515625" customWidth="1"/>
    <col min="11270" max="11270" width="12.7109375" bestFit="1" customWidth="1"/>
    <col min="11271" max="11271" width="16" customWidth="1"/>
    <col min="11272" max="11272" width="15.28515625" customWidth="1"/>
    <col min="11273" max="11273" width="13.140625" bestFit="1" customWidth="1"/>
    <col min="11521" max="11521" width="22" customWidth="1"/>
    <col min="11522" max="11522" width="17.140625" customWidth="1"/>
    <col min="11523" max="11523" width="15.7109375" customWidth="1"/>
    <col min="11524" max="11524" width="12.7109375" bestFit="1" customWidth="1"/>
    <col min="11525" max="11525" width="17.28515625" customWidth="1"/>
    <col min="11526" max="11526" width="12.7109375" bestFit="1" customWidth="1"/>
    <col min="11527" max="11527" width="16" customWidth="1"/>
    <col min="11528" max="11528" width="15.28515625" customWidth="1"/>
    <col min="11529" max="11529" width="13.140625" bestFit="1" customWidth="1"/>
    <col min="11777" max="11777" width="22" customWidth="1"/>
    <col min="11778" max="11778" width="17.140625" customWidth="1"/>
    <col min="11779" max="11779" width="15.7109375" customWidth="1"/>
    <col min="11780" max="11780" width="12.7109375" bestFit="1" customWidth="1"/>
    <col min="11781" max="11781" width="17.28515625" customWidth="1"/>
    <col min="11782" max="11782" width="12.7109375" bestFit="1" customWidth="1"/>
    <col min="11783" max="11783" width="16" customWidth="1"/>
    <col min="11784" max="11784" width="15.28515625" customWidth="1"/>
    <col min="11785" max="11785" width="13.140625" bestFit="1" customWidth="1"/>
    <col min="12033" max="12033" width="22" customWidth="1"/>
    <col min="12034" max="12034" width="17.140625" customWidth="1"/>
    <col min="12035" max="12035" width="15.7109375" customWidth="1"/>
    <col min="12036" max="12036" width="12.7109375" bestFit="1" customWidth="1"/>
    <col min="12037" max="12037" width="17.28515625" customWidth="1"/>
    <col min="12038" max="12038" width="12.7109375" bestFit="1" customWidth="1"/>
    <col min="12039" max="12039" width="16" customWidth="1"/>
    <col min="12040" max="12040" width="15.28515625" customWidth="1"/>
    <col min="12041" max="12041" width="13.140625" bestFit="1" customWidth="1"/>
    <col min="12289" max="12289" width="22" customWidth="1"/>
    <col min="12290" max="12290" width="17.140625" customWidth="1"/>
    <col min="12291" max="12291" width="15.7109375" customWidth="1"/>
    <col min="12292" max="12292" width="12.7109375" bestFit="1" customWidth="1"/>
    <col min="12293" max="12293" width="17.28515625" customWidth="1"/>
    <col min="12294" max="12294" width="12.7109375" bestFit="1" customWidth="1"/>
    <col min="12295" max="12295" width="16" customWidth="1"/>
    <col min="12296" max="12296" width="15.28515625" customWidth="1"/>
    <col min="12297" max="12297" width="13.140625" bestFit="1" customWidth="1"/>
    <col min="12545" max="12545" width="22" customWidth="1"/>
    <col min="12546" max="12546" width="17.140625" customWidth="1"/>
    <col min="12547" max="12547" width="15.7109375" customWidth="1"/>
    <col min="12548" max="12548" width="12.7109375" bestFit="1" customWidth="1"/>
    <col min="12549" max="12549" width="17.28515625" customWidth="1"/>
    <col min="12550" max="12550" width="12.7109375" bestFit="1" customWidth="1"/>
    <col min="12551" max="12551" width="16" customWidth="1"/>
    <col min="12552" max="12552" width="15.28515625" customWidth="1"/>
    <col min="12553" max="12553" width="13.140625" bestFit="1" customWidth="1"/>
    <col min="12801" max="12801" width="22" customWidth="1"/>
    <col min="12802" max="12802" width="17.140625" customWidth="1"/>
    <col min="12803" max="12803" width="15.7109375" customWidth="1"/>
    <col min="12804" max="12804" width="12.7109375" bestFit="1" customWidth="1"/>
    <col min="12805" max="12805" width="17.28515625" customWidth="1"/>
    <col min="12806" max="12806" width="12.7109375" bestFit="1" customWidth="1"/>
    <col min="12807" max="12807" width="16" customWidth="1"/>
    <col min="12808" max="12808" width="15.28515625" customWidth="1"/>
    <col min="12809" max="12809" width="13.140625" bestFit="1" customWidth="1"/>
    <col min="13057" max="13057" width="22" customWidth="1"/>
    <col min="13058" max="13058" width="17.140625" customWidth="1"/>
    <col min="13059" max="13059" width="15.7109375" customWidth="1"/>
    <col min="13060" max="13060" width="12.7109375" bestFit="1" customWidth="1"/>
    <col min="13061" max="13061" width="17.28515625" customWidth="1"/>
    <col min="13062" max="13062" width="12.7109375" bestFit="1" customWidth="1"/>
    <col min="13063" max="13063" width="16" customWidth="1"/>
    <col min="13064" max="13064" width="15.28515625" customWidth="1"/>
    <col min="13065" max="13065" width="13.140625" bestFit="1" customWidth="1"/>
    <col min="13313" max="13313" width="22" customWidth="1"/>
    <col min="13314" max="13314" width="17.140625" customWidth="1"/>
    <col min="13315" max="13315" width="15.7109375" customWidth="1"/>
    <col min="13316" max="13316" width="12.7109375" bestFit="1" customWidth="1"/>
    <col min="13317" max="13317" width="17.28515625" customWidth="1"/>
    <col min="13318" max="13318" width="12.7109375" bestFit="1" customWidth="1"/>
    <col min="13319" max="13319" width="16" customWidth="1"/>
    <col min="13320" max="13320" width="15.28515625" customWidth="1"/>
    <col min="13321" max="13321" width="13.140625" bestFit="1" customWidth="1"/>
    <col min="13569" max="13569" width="22" customWidth="1"/>
    <col min="13570" max="13570" width="17.140625" customWidth="1"/>
    <col min="13571" max="13571" width="15.7109375" customWidth="1"/>
    <col min="13572" max="13572" width="12.7109375" bestFit="1" customWidth="1"/>
    <col min="13573" max="13573" width="17.28515625" customWidth="1"/>
    <col min="13574" max="13574" width="12.7109375" bestFit="1" customWidth="1"/>
    <col min="13575" max="13575" width="16" customWidth="1"/>
    <col min="13576" max="13576" width="15.28515625" customWidth="1"/>
    <col min="13577" max="13577" width="13.140625" bestFit="1" customWidth="1"/>
    <col min="13825" max="13825" width="22" customWidth="1"/>
    <col min="13826" max="13826" width="17.140625" customWidth="1"/>
    <col min="13827" max="13827" width="15.7109375" customWidth="1"/>
    <col min="13828" max="13828" width="12.7109375" bestFit="1" customWidth="1"/>
    <col min="13829" max="13829" width="17.28515625" customWidth="1"/>
    <col min="13830" max="13830" width="12.7109375" bestFit="1" customWidth="1"/>
    <col min="13831" max="13831" width="16" customWidth="1"/>
    <col min="13832" max="13832" width="15.28515625" customWidth="1"/>
    <col min="13833" max="13833" width="13.140625" bestFit="1" customWidth="1"/>
    <col min="14081" max="14081" width="22" customWidth="1"/>
    <col min="14082" max="14082" width="17.140625" customWidth="1"/>
    <col min="14083" max="14083" width="15.7109375" customWidth="1"/>
    <col min="14084" max="14084" width="12.7109375" bestFit="1" customWidth="1"/>
    <col min="14085" max="14085" width="17.28515625" customWidth="1"/>
    <col min="14086" max="14086" width="12.7109375" bestFit="1" customWidth="1"/>
    <col min="14087" max="14087" width="16" customWidth="1"/>
    <col min="14088" max="14088" width="15.28515625" customWidth="1"/>
    <col min="14089" max="14089" width="13.140625" bestFit="1" customWidth="1"/>
    <col min="14337" max="14337" width="22" customWidth="1"/>
    <col min="14338" max="14338" width="17.140625" customWidth="1"/>
    <col min="14339" max="14339" width="15.7109375" customWidth="1"/>
    <col min="14340" max="14340" width="12.7109375" bestFit="1" customWidth="1"/>
    <col min="14341" max="14341" width="17.28515625" customWidth="1"/>
    <col min="14342" max="14342" width="12.7109375" bestFit="1" customWidth="1"/>
    <col min="14343" max="14343" width="16" customWidth="1"/>
    <col min="14344" max="14344" width="15.28515625" customWidth="1"/>
    <col min="14345" max="14345" width="13.140625" bestFit="1" customWidth="1"/>
    <col min="14593" max="14593" width="22" customWidth="1"/>
    <col min="14594" max="14594" width="17.140625" customWidth="1"/>
    <col min="14595" max="14595" width="15.7109375" customWidth="1"/>
    <col min="14596" max="14596" width="12.7109375" bestFit="1" customWidth="1"/>
    <col min="14597" max="14597" width="17.28515625" customWidth="1"/>
    <col min="14598" max="14598" width="12.7109375" bestFit="1" customWidth="1"/>
    <col min="14599" max="14599" width="16" customWidth="1"/>
    <col min="14600" max="14600" width="15.28515625" customWidth="1"/>
    <col min="14601" max="14601" width="13.140625" bestFit="1" customWidth="1"/>
    <col min="14849" max="14849" width="22" customWidth="1"/>
    <col min="14850" max="14850" width="17.140625" customWidth="1"/>
    <col min="14851" max="14851" width="15.7109375" customWidth="1"/>
    <col min="14852" max="14852" width="12.7109375" bestFit="1" customWidth="1"/>
    <col min="14853" max="14853" width="17.28515625" customWidth="1"/>
    <col min="14854" max="14854" width="12.7109375" bestFit="1" customWidth="1"/>
    <col min="14855" max="14855" width="16" customWidth="1"/>
    <col min="14856" max="14856" width="15.28515625" customWidth="1"/>
    <col min="14857" max="14857" width="13.140625" bestFit="1" customWidth="1"/>
    <col min="15105" max="15105" width="22" customWidth="1"/>
    <col min="15106" max="15106" width="17.140625" customWidth="1"/>
    <col min="15107" max="15107" width="15.7109375" customWidth="1"/>
    <col min="15108" max="15108" width="12.7109375" bestFit="1" customWidth="1"/>
    <col min="15109" max="15109" width="17.28515625" customWidth="1"/>
    <col min="15110" max="15110" width="12.7109375" bestFit="1" customWidth="1"/>
    <col min="15111" max="15111" width="16" customWidth="1"/>
    <col min="15112" max="15112" width="15.28515625" customWidth="1"/>
    <col min="15113" max="15113" width="13.140625" bestFit="1" customWidth="1"/>
    <col min="15361" max="15361" width="22" customWidth="1"/>
    <col min="15362" max="15362" width="17.140625" customWidth="1"/>
    <col min="15363" max="15363" width="15.7109375" customWidth="1"/>
    <col min="15364" max="15364" width="12.7109375" bestFit="1" customWidth="1"/>
    <col min="15365" max="15365" width="17.28515625" customWidth="1"/>
    <col min="15366" max="15366" width="12.7109375" bestFit="1" customWidth="1"/>
    <col min="15367" max="15367" width="16" customWidth="1"/>
    <col min="15368" max="15368" width="15.28515625" customWidth="1"/>
    <col min="15369" max="15369" width="13.140625" bestFit="1" customWidth="1"/>
    <col min="15617" max="15617" width="22" customWidth="1"/>
    <col min="15618" max="15618" width="17.140625" customWidth="1"/>
    <col min="15619" max="15619" width="15.7109375" customWidth="1"/>
    <col min="15620" max="15620" width="12.7109375" bestFit="1" customWidth="1"/>
    <col min="15621" max="15621" width="17.28515625" customWidth="1"/>
    <col min="15622" max="15622" width="12.7109375" bestFit="1" customWidth="1"/>
    <col min="15623" max="15623" width="16" customWidth="1"/>
    <col min="15624" max="15624" width="15.28515625" customWidth="1"/>
    <col min="15625" max="15625" width="13.140625" bestFit="1" customWidth="1"/>
    <col min="15873" max="15873" width="22" customWidth="1"/>
    <col min="15874" max="15874" width="17.140625" customWidth="1"/>
    <col min="15875" max="15875" width="15.7109375" customWidth="1"/>
    <col min="15876" max="15876" width="12.7109375" bestFit="1" customWidth="1"/>
    <col min="15877" max="15877" width="17.28515625" customWidth="1"/>
    <col min="15878" max="15878" width="12.7109375" bestFit="1" customWidth="1"/>
    <col min="15879" max="15879" width="16" customWidth="1"/>
    <col min="15880" max="15880" width="15.28515625" customWidth="1"/>
    <col min="15881" max="15881" width="13.140625" bestFit="1" customWidth="1"/>
    <col min="16129" max="16129" width="22" customWidth="1"/>
    <col min="16130" max="16130" width="17.140625" customWidth="1"/>
    <col min="16131" max="16131" width="15.7109375" customWidth="1"/>
    <col min="16132" max="16132" width="12.7109375" bestFit="1" customWidth="1"/>
    <col min="16133" max="16133" width="17.28515625" customWidth="1"/>
    <col min="16134" max="16134" width="12.7109375" bestFit="1" customWidth="1"/>
    <col min="16135" max="16135" width="16" customWidth="1"/>
    <col min="16136" max="16136" width="15.28515625" customWidth="1"/>
    <col min="16137" max="16137" width="13.140625" bestFit="1" customWidth="1"/>
  </cols>
  <sheetData>
    <row r="1" spans="1:12" ht="23.25" customHeight="1" x14ac:dyDescent="0.2">
      <c r="A1" s="519" t="s">
        <v>768</v>
      </c>
      <c r="B1" s="519"/>
      <c r="C1" s="519"/>
      <c r="D1" s="519"/>
      <c r="E1" s="519"/>
      <c r="F1" s="519"/>
      <c r="G1" s="519"/>
      <c r="H1" s="519"/>
      <c r="I1" s="519"/>
      <c r="J1" s="175"/>
      <c r="K1" s="175"/>
      <c r="L1" s="175"/>
    </row>
    <row r="2" spans="1:12" ht="62.25" customHeight="1" x14ac:dyDescent="0.2">
      <c r="A2" s="176" t="s">
        <v>313</v>
      </c>
      <c r="B2" s="176" t="s">
        <v>0</v>
      </c>
      <c r="C2" s="264" t="s">
        <v>1</v>
      </c>
      <c r="D2" s="64" t="s">
        <v>166</v>
      </c>
      <c r="E2" s="264" t="s">
        <v>167</v>
      </c>
      <c r="F2" s="64" t="s">
        <v>168</v>
      </c>
      <c r="G2" s="64" t="s">
        <v>169</v>
      </c>
      <c r="H2" s="65" t="s">
        <v>170</v>
      </c>
      <c r="I2" s="265" t="s">
        <v>171</v>
      </c>
    </row>
    <row r="3" spans="1:12" ht="94.5" customHeight="1" x14ac:dyDescent="0.2">
      <c r="A3" s="13" t="s">
        <v>769</v>
      </c>
      <c r="B3" s="13" t="s">
        <v>770</v>
      </c>
      <c r="C3" s="289">
        <v>450000</v>
      </c>
      <c r="D3" s="290">
        <v>165600</v>
      </c>
      <c r="E3" s="268" t="s">
        <v>517</v>
      </c>
      <c r="F3" s="291">
        <v>0</v>
      </c>
      <c r="G3" s="290">
        <v>165600</v>
      </c>
      <c r="H3" s="13" t="s">
        <v>616</v>
      </c>
      <c r="I3" s="267">
        <v>43466</v>
      </c>
    </row>
    <row r="4" spans="1:12" ht="84.75" customHeight="1" x14ac:dyDescent="0.2">
      <c r="A4" s="57" t="s">
        <v>771</v>
      </c>
      <c r="B4" s="29" t="s">
        <v>772</v>
      </c>
      <c r="C4" s="289">
        <v>419375</v>
      </c>
      <c r="D4" s="290">
        <v>200000</v>
      </c>
      <c r="E4" s="268" t="s">
        <v>517</v>
      </c>
      <c r="F4" s="291">
        <v>0</v>
      </c>
      <c r="G4" s="289">
        <v>200000</v>
      </c>
      <c r="H4" s="13" t="s">
        <v>616</v>
      </c>
      <c r="I4" s="292">
        <v>43466</v>
      </c>
    </row>
    <row r="5" spans="1:12" ht="158.25" customHeight="1" x14ac:dyDescent="0.2">
      <c r="A5" s="13" t="s">
        <v>773</v>
      </c>
      <c r="B5" s="13" t="s">
        <v>774</v>
      </c>
      <c r="C5" s="289">
        <v>706050</v>
      </c>
      <c r="D5" s="290">
        <v>556050</v>
      </c>
      <c r="E5" s="13" t="s">
        <v>775</v>
      </c>
      <c r="F5" s="291">
        <v>0</v>
      </c>
      <c r="G5" s="290">
        <v>556050</v>
      </c>
      <c r="H5" s="13" t="s">
        <v>616</v>
      </c>
      <c r="I5" s="267">
        <v>43466</v>
      </c>
    </row>
    <row r="6" spans="1:12" ht="110.25" customHeight="1" x14ac:dyDescent="0.2">
      <c r="A6" s="13" t="s">
        <v>776</v>
      </c>
      <c r="B6" s="13" t="s">
        <v>777</v>
      </c>
      <c r="C6" s="289">
        <v>119306</v>
      </c>
      <c r="D6" s="290">
        <v>95445</v>
      </c>
      <c r="E6" s="13" t="s">
        <v>517</v>
      </c>
      <c r="F6" s="291">
        <v>0</v>
      </c>
      <c r="G6" s="289">
        <v>95445</v>
      </c>
      <c r="H6" s="13" t="s">
        <v>616</v>
      </c>
      <c r="I6" s="269">
        <v>43466</v>
      </c>
      <c r="J6" s="173"/>
    </row>
    <row r="7" spans="1:12" ht="49.5" customHeight="1" x14ac:dyDescent="0.2">
      <c r="A7" s="13" t="s">
        <v>778</v>
      </c>
      <c r="B7" s="13" t="s">
        <v>779</v>
      </c>
      <c r="C7" s="289">
        <v>350356</v>
      </c>
      <c r="D7" s="290">
        <v>280285</v>
      </c>
      <c r="E7" s="13" t="s">
        <v>517</v>
      </c>
      <c r="F7" s="291">
        <v>0</v>
      </c>
      <c r="G7" s="289">
        <v>280285</v>
      </c>
      <c r="H7" s="13" t="s">
        <v>616</v>
      </c>
      <c r="I7" s="269">
        <v>43466</v>
      </c>
      <c r="J7" s="173"/>
    </row>
    <row r="8" spans="1:12" ht="13.5" customHeight="1" x14ac:dyDescent="0.2">
      <c r="A8" s="181"/>
      <c r="B8" s="181"/>
      <c r="C8" s="188">
        <f>SUM(C3:C7)</f>
        <v>2045087</v>
      </c>
      <c r="D8" s="188">
        <f>SUM(D3:D7)</f>
        <v>1297380</v>
      </c>
      <c r="E8" s="188"/>
      <c r="F8" s="188">
        <f>SUM(F3:F7)</f>
        <v>0</v>
      </c>
      <c r="G8" s="188">
        <f>SUM(G3:G7)</f>
        <v>1297380</v>
      </c>
      <c r="H8" s="182"/>
      <c r="I8" s="182"/>
    </row>
    <row r="9" spans="1:12" s="3" customFormat="1" ht="13.5" customHeight="1" x14ac:dyDescent="0.2">
      <c r="A9" s="468"/>
      <c r="B9" s="468"/>
      <c r="C9" s="338"/>
      <c r="D9" s="338"/>
      <c r="E9" s="338"/>
      <c r="F9" s="338"/>
      <c r="G9" s="338"/>
      <c r="H9" s="469"/>
      <c r="I9" s="469"/>
    </row>
    <row r="10" spans="1:12" ht="23.25" customHeight="1" x14ac:dyDescent="0.2">
      <c r="A10" s="519" t="s">
        <v>612</v>
      </c>
      <c r="B10" s="519"/>
      <c r="C10" s="519"/>
      <c r="D10" s="519"/>
      <c r="E10" s="519"/>
      <c r="F10" s="519"/>
      <c r="G10" s="519"/>
      <c r="H10" s="519"/>
      <c r="I10" s="519"/>
      <c r="J10" s="175"/>
      <c r="K10" s="175"/>
      <c r="L10" s="175"/>
    </row>
    <row r="11" spans="1:12" ht="62.25" customHeight="1" x14ac:dyDescent="0.2">
      <c r="A11" s="176" t="s">
        <v>313</v>
      </c>
      <c r="B11" s="176" t="s">
        <v>0</v>
      </c>
      <c r="C11" s="264" t="s">
        <v>1</v>
      </c>
      <c r="D11" s="64" t="s">
        <v>166</v>
      </c>
      <c r="E11" s="264" t="s">
        <v>167</v>
      </c>
      <c r="F11" s="64" t="s">
        <v>168</v>
      </c>
      <c r="G11" s="64" t="s">
        <v>169</v>
      </c>
      <c r="H11" s="65" t="s">
        <v>170</v>
      </c>
      <c r="I11" s="265" t="s">
        <v>171</v>
      </c>
    </row>
    <row r="12" spans="1:12" ht="50.25" customHeight="1" x14ac:dyDescent="0.2">
      <c r="A12" s="13" t="s">
        <v>613</v>
      </c>
      <c r="B12" s="10" t="s">
        <v>614</v>
      </c>
      <c r="C12" s="289">
        <v>654315</v>
      </c>
      <c r="D12" s="290">
        <v>523452</v>
      </c>
      <c r="E12" s="266" t="s">
        <v>615</v>
      </c>
      <c r="F12" s="291">
        <v>0</v>
      </c>
      <c r="G12" s="290">
        <v>523452</v>
      </c>
      <c r="H12" s="13" t="s">
        <v>520</v>
      </c>
      <c r="I12" s="267">
        <v>43101</v>
      </c>
    </row>
    <row r="13" spans="1:12" ht="43.5" customHeight="1" x14ac:dyDescent="0.2">
      <c r="A13" s="57" t="s">
        <v>617</v>
      </c>
      <c r="B13" s="29" t="s">
        <v>618</v>
      </c>
      <c r="C13" s="289">
        <v>9614000</v>
      </c>
      <c r="D13" s="290">
        <v>500000</v>
      </c>
      <c r="E13" s="268" t="s">
        <v>517</v>
      </c>
      <c r="F13" s="291">
        <v>0</v>
      </c>
      <c r="G13" s="289">
        <v>0</v>
      </c>
      <c r="H13" s="13" t="s">
        <v>780</v>
      </c>
      <c r="I13" s="292" t="s">
        <v>397</v>
      </c>
    </row>
    <row r="14" spans="1:12" ht="63" customHeight="1" x14ac:dyDescent="0.2">
      <c r="A14" s="13" t="s">
        <v>619</v>
      </c>
      <c r="B14" s="13" t="s">
        <v>620</v>
      </c>
      <c r="C14" s="289">
        <v>10000000</v>
      </c>
      <c r="D14" s="290">
        <v>1700000</v>
      </c>
      <c r="E14" s="13" t="s">
        <v>517</v>
      </c>
      <c r="F14" s="291">
        <v>0</v>
      </c>
      <c r="G14" s="290">
        <v>1700000</v>
      </c>
      <c r="H14" s="13" t="s">
        <v>616</v>
      </c>
      <c r="I14" s="267">
        <v>43101</v>
      </c>
    </row>
    <row r="15" spans="1:12" ht="52.5" customHeight="1" x14ac:dyDescent="0.2">
      <c r="A15" s="13" t="s">
        <v>621</v>
      </c>
      <c r="B15" s="13" t="s">
        <v>622</v>
      </c>
      <c r="C15" s="289">
        <v>2100000</v>
      </c>
      <c r="D15" s="290">
        <v>1600000</v>
      </c>
      <c r="E15" s="10" t="s">
        <v>615</v>
      </c>
      <c r="F15" s="291">
        <v>0</v>
      </c>
      <c r="G15" s="289">
        <v>1600000</v>
      </c>
      <c r="H15" s="13" t="s">
        <v>520</v>
      </c>
      <c r="I15" s="269">
        <v>43101</v>
      </c>
      <c r="J15" s="173"/>
    </row>
    <row r="16" spans="1:12" ht="49.5" customHeight="1" x14ac:dyDescent="0.2">
      <c r="A16" s="13" t="s">
        <v>623</v>
      </c>
      <c r="B16" s="13" t="s">
        <v>624</v>
      </c>
      <c r="C16" s="289">
        <v>286000</v>
      </c>
      <c r="D16" s="290">
        <v>228800</v>
      </c>
      <c r="E16" s="10" t="s">
        <v>615</v>
      </c>
      <c r="F16" s="291">
        <v>0</v>
      </c>
      <c r="G16" s="289">
        <v>228800</v>
      </c>
      <c r="H16" s="13" t="s">
        <v>520</v>
      </c>
      <c r="I16" s="269">
        <v>43101</v>
      </c>
      <c r="J16" s="173"/>
    </row>
    <row r="17" spans="1:12" ht="36.75" customHeight="1" x14ac:dyDescent="0.2">
      <c r="A17" s="11" t="s">
        <v>625</v>
      </c>
      <c r="B17" s="11" t="s">
        <v>626</v>
      </c>
      <c r="C17" s="289">
        <v>130000</v>
      </c>
      <c r="D17" s="183">
        <v>100000</v>
      </c>
      <c r="E17" s="10" t="s">
        <v>627</v>
      </c>
      <c r="F17" s="167">
        <v>0</v>
      </c>
      <c r="G17" s="187">
        <v>100000</v>
      </c>
      <c r="H17" s="11" t="s">
        <v>520</v>
      </c>
      <c r="I17" s="269">
        <v>42552</v>
      </c>
    </row>
    <row r="18" spans="1:12" ht="13.5" customHeight="1" x14ac:dyDescent="0.2">
      <c r="A18" s="181"/>
      <c r="B18" s="181"/>
      <c r="C18" s="188">
        <f>SUM(C12:C17)</f>
        <v>22784315</v>
      </c>
      <c r="D18" s="188">
        <f>SUM(D12:D17)</f>
        <v>4652252</v>
      </c>
      <c r="E18" s="188"/>
      <c r="F18" s="188">
        <f>SUM(F12:F17)</f>
        <v>0</v>
      </c>
      <c r="G18" s="188">
        <f>SUM(G12:G17)</f>
        <v>4152252</v>
      </c>
      <c r="H18" s="182"/>
      <c r="I18" s="182"/>
    </row>
    <row r="19" spans="1:12" s="3" customFormat="1" ht="13.5" customHeight="1" x14ac:dyDescent="0.2">
      <c r="A19" s="470"/>
      <c r="B19" s="470"/>
      <c r="C19" s="471"/>
      <c r="D19" s="471"/>
      <c r="E19" s="471"/>
      <c r="F19" s="471"/>
      <c r="G19" s="471"/>
      <c r="H19" s="472"/>
      <c r="I19" s="472"/>
    </row>
    <row r="20" spans="1:12" ht="23.25" customHeight="1" x14ac:dyDescent="0.2">
      <c r="A20" s="520" t="s">
        <v>512</v>
      </c>
      <c r="B20" s="520"/>
      <c r="C20" s="520"/>
      <c r="D20" s="520"/>
      <c r="E20" s="520"/>
      <c r="F20" s="520"/>
      <c r="G20" s="520"/>
      <c r="H20" s="520"/>
      <c r="I20" s="520"/>
      <c r="J20" s="175"/>
      <c r="K20" s="175"/>
      <c r="L20" s="175"/>
    </row>
    <row r="21" spans="1:12" ht="62.25" customHeight="1" x14ac:dyDescent="0.2">
      <c r="A21" s="176" t="s">
        <v>313</v>
      </c>
      <c r="B21" s="176" t="s">
        <v>0</v>
      </c>
      <c r="C21" s="264" t="s">
        <v>1</v>
      </c>
      <c r="D21" s="64" t="s">
        <v>166</v>
      </c>
      <c r="E21" s="264" t="s">
        <v>167</v>
      </c>
      <c r="F21" s="64" t="s">
        <v>168</v>
      </c>
      <c r="G21" s="64" t="s">
        <v>169</v>
      </c>
      <c r="H21" s="65" t="s">
        <v>170</v>
      </c>
      <c r="I21" s="265" t="s">
        <v>171</v>
      </c>
    </row>
    <row r="22" spans="1:12" ht="44.25" customHeight="1" x14ac:dyDescent="0.2">
      <c r="A22" s="11" t="s">
        <v>513</v>
      </c>
      <c r="B22" s="2" t="s">
        <v>514</v>
      </c>
      <c r="C22" s="289">
        <v>150000000</v>
      </c>
      <c r="D22" s="183">
        <v>324000</v>
      </c>
      <c r="E22" s="266" t="s">
        <v>327</v>
      </c>
      <c r="F22" s="167">
        <v>324000</v>
      </c>
      <c r="G22" s="177">
        <v>0</v>
      </c>
      <c r="H22" s="11" t="s">
        <v>229</v>
      </c>
      <c r="I22" s="267">
        <v>42109</v>
      </c>
    </row>
    <row r="23" spans="1:12" ht="37.5" customHeight="1" x14ac:dyDescent="0.2">
      <c r="A23" s="260" t="s">
        <v>515</v>
      </c>
      <c r="B23" s="29" t="s">
        <v>516</v>
      </c>
      <c r="C23" s="289">
        <v>14832000</v>
      </c>
      <c r="D23" s="183">
        <v>419000</v>
      </c>
      <c r="E23" s="268" t="s">
        <v>517</v>
      </c>
      <c r="F23" s="167">
        <v>419000</v>
      </c>
      <c r="G23" s="178">
        <v>0</v>
      </c>
      <c r="H23" s="11" t="s">
        <v>628</v>
      </c>
      <c r="I23" s="267">
        <v>41801</v>
      </c>
    </row>
    <row r="24" spans="1:12" ht="42.75" customHeight="1" x14ac:dyDescent="0.2">
      <c r="A24" s="11" t="s">
        <v>518</v>
      </c>
      <c r="B24" s="11" t="s">
        <v>519</v>
      </c>
      <c r="C24" s="289">
        <v>30000000</v>
      </c>
      <c r="D24" s="183">
        <v>108000</v>
      </c>
      <c r="E24" s="13" t="s">
        <v>517</v>
      </c>
      <c r="F24" s="167">
        <v>0</v>
      </c>
      <c r="G24" s="177">
        <v>108000</v>
      </c>
      <c r="H24" s="11" t="s">
        <v>520</v>
      </c>
      <c r="I24" s="267">
        <v>42917</v>
      </c>
    </row>
    <row r="25" spans="1:12" ht="42" customHeight="1" x14ac:dyDescent="0.2">
      <c r="A25" s="11" t="s">
        <v>521</v>
      </c>
      <c r="B25" s="11" t="s">
        <v>522</v>
      </c>
      <c r="C25" s="289">
        <v>24000000</v>
      </c>
      <c r="D25" s="183">
        <v>1450000</v>
      </c>
      <c r="E25" s="10" t="s">
        <v>517</v>
      </c>
      <c r="F25" s="167">
        <v>1450000</v>
      </c>
      <c r="G25" s="178">
        <v>0</v>
      </c>
      <c r="H25" s="11" t="s">
        <v>781</v>
      </c>
      <c r="I25" s="269">
        <v>42325</v>
      </c>
      <c r="J25" s="173"/>
    </row>
    <row r="26" spans="1:12" ht="30" customHeight="1" x14ac:dyDescent="0.2">
      <c r="A26" s="11" t="s">
        <v>523</v>
      </c>
      <c r="B26" s="11" t="s">
        <v>524</v>
      </c>
      <c r="C26" s="289">
        <v>2840000</v>
      </c>
      <c r="D26" s="183">
        <v>725000</v>
      </c>
      <c r="E26" s="10" t="s">
        <v>517</v>
      </c>
      <c r="F26" s="167">
        <v>725000</v>
      </c>
      <c r="G26" s="178">
        <v>0</v>
      </c>
      <c r="H26" s="11" t="s">
        <v>628</v>
      </c>
      <c r="I26" s="269">
        <v>42143</v>
      </c>
      <c r="J26" s="173"/>
    </row>
    <row r="27" spans="1:12" ht="46.5" customHeight="1" x14ac:dyDescent="0.2">
      <c r="A27" s="11" t="s">
        <v>525</v>
      </c>
      <c r="B27" s="11" t="s">
        <v>333</v>
      </c>
      <c r="C27" s="289">
        <v>118000</v>
      </c>
      <c r="D27" s="183">
        <v>94400</v>
      </c>
      <c r="E27" s="10" t="s">
        <v>316</v>
      </c>
      <c r="F27" s="167">
        <v>91160</v>
      </c>
      <c r="G27" s="178">
        <v>3240</v>
      </c>
      <c r="H27" s="11" t="s">
        <v>782</v>
      </c>
      <c r="I27" s="269">
        <v>42370</v>
      </c>
    </row>
    <row r="28" spans="1:12" ht="13.5" customHeight="1" x14ac:dyDescent="0.2">
      <c r="A28" s="181"/>
      <c r="B28" s="181"/>
      <c r="C28" s="188">
        <f>SUM(C22:C27)</f>
        <v>221790000</v>
      </c>
      <c r="D28" s="188">
        <f>SUM(D22:D27)</f>
        <v>3120400</v>
      </c>
      <c r="E28" s="188"/>
      <c r="F28" s="188">
        <f>SUM(F22:F27)</f>
        <v>3009160</v>
      </c>
      <c r="G28" s="188">
        <f>SUM(G22:G27)</f>
        <v>111240</v>
      </c>
      <c r="H28" s="182"/>
      <c r="I28" s="182"/>
    </row>
    <row r="30" spans="1:12" s="175" customFormat="1" ht="33.75" customHeight="1" x14ac:dyDescent="0.2">
      <c r="A30" s="519" t="s">
        <v>324</v>
      </c>
      <c r="B30" s="519"/>
      <c r="C30" s="519"/>
      <c r="D30" s="519"/>
      <c r="E30" s="519"/>
      <c r="F30" s="519"/>
      <c r="G30" s="519"/>
      <c r="H30" s="519"/>
      <c r="I30" s="519"/>
    </row>
    <row r="31" spans="1:12" ht="60" x14ac:dyDescent="0.2">
      <c r="A31" s="176" t="s">
        <v>313</v>
      </c>
      <c r="B31" s="176" t="s">
        <v>0</v>
      </c>
      <c r="C31" s="64" t="s">
        <v>1</v>
      </c>
      <c r="D31" s="64" t="s">
        <v>166</v>
      </c>
      <c r="E31" s="64" t="s">
        <v>167</v>
      </c>
      <c r="F31" s="64" t="s">
        <v>168</v>
      </c>
      <c r="G31" s="64" t="s">
        <v>169</v>
      </c>
      <c r="H31" s="65" t="s">
        <v>170</v>
      </c>
      <c r="I31" s="65" t="s">
        <v>171</v>
      </c>
    </row>
    <row r="32" spans="1:12" ht="25.5" x14ac:dyDescent="0.2">
      <c r="A32" s="11" t="s">
        <v>325</v>
      </c>
      <c r="B32" s="2" t="s">
        <v>326</v>
      </c>
      <c r="C32" s="183">
        <v>2840400</v>
      </c>
      <c r="D32" s="183">
        <v>1500000</v>
      </c>
      <c r="E32" s="166" t="s">
        <v>327</v>
      </c>
      <c r="F32" s="167">
        <v>1500000</v>
      </c>
      <c r="G32" s="187">
        <v>0</v>
      </c>
      <c r="H32" s="2" t="s">
        <v>343</v>
      </c>
      <c r="I32" s="169">
        <v>41744</v>
      </c>
    </row>
    <row r="33" spans="1:10" ht="25.5" x14ac:dyDescent="0.2">
      <c r="A33" s="13" t="s">
        <v>328</v>
      </c>
      <c r="B33" s="29" t="s">
        <v>329</v>
      </c>
      <c r="C33" s="290">
        <v>5711369</v>
      </c>
      <c r="D33" s="290">
        <v>900000</v>
      </c>
      <c r="E33" s="268" t="s">
        <v>316</v>
      </c>
      <c r="F33" s="291">
        <v>0</v>
      </c>
      <c r="G33" s="289">
        <v>900000</v>
      </c>
      <c r="H33" s="13" t="s">
        <v>520</v>
      </c>
      <c r="I33" s="267">
        <v>42885</v>
      </c>
    </row>
    <row r="34" spans="1:10" ht="25.5" x14ac:dyDescent="0.2">
      <c r="A34" s="11" t="s">
        <v>330</v>
      </c>
      <c r="B34" s="11" t="s">
        <v>331</v>
      </c>
      <c r="C34" s="187">
        <v>4397880</v>
      </c>
      <c r="D34" s="183">
        <v>1116000</v>
      </c>
      <c r="E34" s="11" t="s">
        <v>327</v>
      </c>
      <c r="F34" s="167">
        <v>1116000</v>
      </c>
      <c r="G34" s="177">
        <v>0</v>
      </c>
      <c r="H34" s="11" t="s">
        <v>629</v>
      </c>
      <c r="I34" s="169">
        <v>42399</v>
      </c>
    </row>
    <row r="35" spans="1:10" s="3" customFormat="1" ht="25.5" x14ac:dyDescent="0.2">
      <c r="A35" s="13" t="s">
        <v>332</v>
      </c>
      <c r="B35" s="13" t="s">
        <v>333</v>
      </c>
      <c r="C35" s="290">
        <v>50000</v>
      </c>
      <c r="D35" s="290">
        <v>40000</v>
      </c>
      <c r="E35" s="10" t="s">
        <v>316</v>
      </c>
      <c r="F35" s="291">
        <v>0</v>
      </c>
      <c r="G35" s="289">
        <v>40000</v>
      </c>
      <c r="H35" s="13" t="s">
        <v>520</v>
      </c>
      <c r="I35" s="269">
        <v>42491</v>
      </c>
      <c r="J35" s="473"/>
    </row>
    <row r="36" spans="1:10" ht="38.25" x14ac:dyDescent="0.2">
      <c r="A36" s="13" t="s">
        <v>334</v>
      </c>
      <c r="B36" s="13" t="s">
        <v>333</v>
      </c>
      <c r="C36" s="290">
        <v>125000</v>
      </c>
      <c r="D36" s="290">
        <v>100000</v>
      </c>
      <c r="E36" s="10" t="s">
        <v>316</v>
      </c>
      <c r="F36" s="291">
        <v>46067</v>
      </c>
      <c r="G36" s="289">
        <v>1700</v>
      </c>
      <c r="H36" s="13" t="s">
        <v>343</v>
      </c>
      <c r="I36" s="269">
        <v>41914</v>
      </c>
    </row>
    <row r="37" spans="1:10" ht="25.5" x14ac:dyDescent="0.2">
      <c r="A37" s="11" t="s">
        <v>335</v>
      </c>
      <c r="B37" s="11" t="s">
        <v>333</v>
      </c>
      <c r="C37" s="183">
        <v>125000</v>
      </c>
      <c r="D37" s="183">
        <v>100000</v>
      </c>
      <c r="E37" s="2" t="s">
        <v>316</v>
      </c>
      <c r="F37" s="167">
        <v>100000</v>
      </c>
      <c r="G37" s="187">
        <v>0</v>
      </c>
      <c r="H37" s="11" t="s">
        <v>630</v>
      </c>
      <c r="I37" s="270">
        <v>41913</v>
      </c>
    </row>
    <row r="38" spans="1:10" ht="25.5" x14ac:dyDescent="0.2">
      <c r="A38" s="11" t="s">
        <v>336</v>
      </c>
      <c r="B38" s="11" t="s">
        <v>333</v>
      </c>
      <c r="C38" s="183">
        <v>98000</v>
      </c>
      <c r="D38" s="183">
        <v>78400</v>
      </c>
      <c r="E38" s="2" t="s">
        <v>316</v>
      </c>
      <c r="F38" s="167">
        <v>78400</v>
      </c>
      <c r="G38" s="187">
        <v>0</v>
      </c>
      <c r="H38" s="11" t="s">
        <v>630</v>
      </c>
      <c r="I38" s="270">
        <v>41919</v>
      </c>
    </row>
    <row r="39" spans="1:10" ht="25.5" x14ac:dyDescent="0.2">
      <c r="A39" s="11" t="s">
        <v>337</v>
      </c>
      <c r="B39" s="11" t="s">
        <v>333</v>
      </c>
      <c r="C39" s="183">
        <v>100000</v>
      </c>
      <c r="D39" s="183">
        <v>80000</v>
      </c>
      <c r="E39" s="11" t="s">
        <v>316</v>
      </c>
      <c r="F39" s="167">
        <v>0</v>
      </c>
      <c r="G39" s="187">
        <v>0</v>
      </c>
      <c r="H39" s="11" t="s">
        <v>631</v>
      </c>
      <c r="I39" s="293" t="s">
        <v>397</v>
      </c>
    </row>
    <row r="40" spans="1:10" s="3" customFormat="1" ht="25.5" x14ac:dyDescent="0.2">
      <c r="A40" s="13" t="s">
        <v>338</v>
      </c>
      <c r="B40" s="13" t="s">
        <v>333</v>
      </c>
      <c r="C40" s="290">
        <v>350000</v>
      </c>
      <c r="D40" s="290">
        <v>100000</v>
      </c>
      <c r="E40" s="10" t="s">
        <v>316</v>
      </c>
      <c r="F40" s="291">
        <v>0</v>
      </c>
      <c r="G40" s="289">
        <v>100000</v>
      </c>
      <c r="H40" s="13" t="s">
        <v>783</v>
      </c>
      <c r="I40" s="269">
        <v>42644</v>
      </c>
    </row>
    <row r="41" spans="1:10" x14ac:dyDescent="0.2">
      <c r="A41" s="181"/>
      <c r="B41" s="181"/>
      <c r="C41" s="188">
        <f>SUM(C32:C40)</f>
        <v>13797649</v>
      </c>
      <c r="D41" s="188">
        <f>SUM(D32:D40)</f>
        <v>4014400</v>
      </c>
      <c r="E41" s="188"/>
      <c r="F41" s="188">
        <f>SUM(F32:F40)</f>
        <v>2840467</v>
      </c>
      <c r="G41" s="188">
        <f>SUM(G32:G40)</f>
        <v>1041700</v>
      </c>
      <c r="H41" s="181"/>
      <c r="I41" s="170"/>
    </row>
    <row r="43" spans="1:10" ht="15.75" x14ac:dyDescent="0.2">
      <c r="A43" s="519" t="s">
        <v>339</v>
      </c>
      <c r="B43" s="519"/>
      <c r="C43" s="519"/>
      <c r="D43" s="519"/>
      <c r="E43" s="519"/>
      <c r="F43" s="519"/>
      <c r="G43" s="519"/>
      <c r="H43" s="519"/>
      <c r="I43" s="519"/>
    </row>
    <row r="44" spans="1:10" ht="60" x14ac:dyDescent="0.2">
      <c r="A44" s="176" t="s">
        <v>313</v>
      </c>
      <c r="B44" s="176" t="s">
        <v>0</v>
      </c>
      <c r="C44" s="64" t="s">
        <v>1</v>
      </c>
      <c r="D44" s="64" t="s">
        <v>166</v>
      </c>
      <c r="E44" s="64" t="s">
        <v>167</v>
      </c>
      <c r="F44" s="64" t="s">
        <v>168</v>
      </c>
      <c r="G44" s="64" t="s">
        <v>169</v>
      </c>
      <c r="H44" s="65" t="s">
        <v>170</v>
      </c>
      <c r="I44" s="65" t="s">
        <v>171</v>
      </c>
    </row>
    <row r="45" spans="1:10" s="3" customFormat="1" ht="38.25" x14ac:dyDescent="0.2">
      <c r="A45" s="13" t="s">
        <v>340</v>
      </c>
      <c r="B45" s="13" t="s">
        <v>331</v>
      </c>
      <c r="C45" s="290">
        <v>197435</v>
      </c>
      <c r="D45" s="294">
        <v>157948</v>
      </c>
      <c r="E45" s="266" t="s">
        <v>327</v>
      </c>
      <c r="F45" s="291">
        <v>87025.34</v>
      </c>
      <c r="G45" s="290">
        <v>70923</v>
      </c>
      <c r="H45" s="13" t="s">
        <v>784</v>
      </c>
      <c r="I45" s="295">
        <v>42430</v>
      </c>
    </row>
    <row r="46" spans="1:10" s="3" customFormat="1" ht="25.5" x14ac:dyDescent="0.2">
      <c r="A46" s="10" t="s">
        <v>341</v>
      </c>
      <c r="B46" s="10" t="s">
        <v>331</v>
      </c>
      <c r="C46" s="290">
        <v>1758922</v>
      </c>
      <c r="D46" s="296">
        <v>705621</v>
      </c>
      <c r="E46" s="268" t="s">
        <v>316</v>
      </c>
      <c r="F46" s="291">
        <v>477295</v>
      </c>
      <c r="G46" s="290">
        <v>228326</v>
      </c>
      <c r="H46" s="13" t="s">
        <v>473</v>
      </c>
      <c r="I46" s="295">
        <v>42430</v>
      </c>
    </row>
    <row r="47" spans="1:10" ht="25.5" x14ac:dyDescent="0.2">
      <c r="A47" s="2" t="s">
        <v>342</v>
      </c>
      <c r="B47" s="2" t="s">
        <v>331</v>
      </c>
      <c r="C47" s="183">
        <v>771818</v>
      </c>
      <c r="D47" s="185">
        <v>617454</v>
      </c>
      <c r="E47" s="2" t="s">
        <v>316</v>
      </c>
      <c r="F47" s="184">
        <v>617454</v>
      </c>
      <c r="G47" s="186">
        <v>0</v>
      </c>
      <c r="H47" s="11" t="s">
        <v>343</v>
      </c>
      <c r="I47" s="179">
        <v>41016</v>
      </c>
    </row>
    <row r="48" spans="1:10" ht="25.5" x14ac:dyDescent="0.2">
      <c r="A48" s="10" t="s">
        <v>344</v>
      </c>
      <c r="B48" s="10" t="s">
        <v>326</v>
      </c>
      <c r="C48" s="290">
        <v>3200000</v>
      </c>
      <c r="D48" s="296">
        <v>1613596</v>
      </c>
      <c r="E48" s="10" t="s">
        <v>327</v>
      </c>
      <c r="F48" s="291">
        <v>0</v>
      </c>
      <c r="G48" s="290">
        <v>0</v>
      </c>
      <c r="H48" s="10" t="s">
        <v>343</v>
      </c>
      <c r="I48" s="295">
        <v>41744</v>
      </c>
    </row>
    <row r="49" spans="1:9" ht="25.5" x14ac:dyDescent="0.2">
      <c r="A49" s="2" t="s">
        <v>345</v>
      </c>
      <c r="B49" s="2" t="s">
        <v>346</v>
      </c>
      <c r="C49" s="183">
        <v>358525</v>
      </c>
      <c r="D49" s="185">
        <v>72000</v>
      </c>
      <c r="E49" s="2" t="s">
        <v>316</v>
      </c>
      <c r="F49" s="167">
        <v>0</v>
      </c>
      <c r="G49" s="183">
        <v>0</v>
      </c>
      <c r="H49" s="11" t="s">
        <v>349</v>
      </c>
      <c r="I49" s="179" t="s">
        <v>350</v>
      </c>
    </row>
    <row r="50" spans="1:9" ht="25.5" x14ac:dyDescent="0.2">
      <c r="A50" s="2" t="s">
        <v>347</v>
      </c>
      <c r="B50" s="2" t="s">
        <v>348</v>
      </c>
      <c r="C50" s="183">
        <v>2500000</v>
      </c>
      <c r="D50" s="185">
        <v>1000000</v>
      </c>
      <c r="E50" s="2" t="s">
        <v>327</v>
      </c>
      <c r="F50" s="167">
        <v>0</v>
      </c>
      <c r="G50" s="187">
        <v>0</v>
      </c>
      <c r="H50" s="11" t="s">
        <v>349</v>
      </c>
      <c r="I50" s="180" t="s">
        <v>350</v>
      </c>
    </row>
    <row r="51" spans="1:9" ht="25.5" x14ac:dyDescent="0.2">
      <c r="A51" s="11" t="s">
        <v>351</v>
      </c>
      <c r="B51" s="11" t="s">
        <v>348</v>
      </c>
      <c r="C51" s="183">
        <v>1900000</v>
      </c>
      <c r="D51" s="185">
        <v>400000</v>
      </c>
      <c r="E51" s="11" t="s">
        <v>316</v>
      </c>
      <c r="F51" s="167">
        <v>400000</v>
      </c>
      <c r="G51" s="183">
        <v>0</v>
      </c>
      <c r="H51" s="11" t="s">
        <v>343</v>
      </c>
      <c r="I51" s="180">
        <v>41025</v>
      </c>
    </row>
    <row r="52" spans="1:9" ht="25.5" x14ac:dyDescent="0.2">
      <c r="A52" s="11" t="s">
        <v>352</v>
      </c>
      <c r="B52" s="11" t="s">
        <v>331</v>
      </c>
      <c r="C52" s="187" t="s">
        <v>353</v>
      </c>
      <c r="D52" s="185">
        <v>218652</v>
      </c>
      <c r="E52" s="11" t="s">
        <v>327</v>
      </c>
      <c r="F52" s="167">
        <v>218652</v>
      </c>
      <c r="G52" s="183">
        <v>0</v>
      </c>
      <c r="H52" s="11" t="s">
        <v>343</v>
      </c>
      <c r="I52" s="179">
        <v>41017</v>
      </c>
    </row>
    <row r="53" spans="1:9" s="3" customFormat="1" ht="25.5" x14ac:dyDescent="0.2">
      <c r="A53" s="13" t="s">
        <v>354</v>
      </c>
      <c r="B53" s="13" t="s">
        <v>331</v>
      </c>
      <c r="C53" s="290">
        <v>538100</v>
      </c>
      <c r="D53" s="297">
        <v>204000</v>
      </c>
      <c r="E53" s="13" t="s">
        <v>327</v>
      </c>
      <c r="F53" s="291">
        <v>204000</v>
      </c>
      <c r="G53" s="289">
        <v>0</v>
      </c>
      <c r="H53" s="13" t="s">
        <v>343</v>
      </c>
      <c r="I53" s="295">
        <v>41953</v>
      </c>
    </row>
    <row r="54" spans="1:9" x14ac:dyDescent="0.2">
      <c r="A54" s="181"/>
      <c r="B54" s="181"/>
      <c r="C54" s="188">
        <f>SUM(C45:C53)</f>
        <v>11224800</v>
      </c>
      <c r="D54" s="171">
        <f>SUM(D45:D53)</f>
        <v>4989271</v>
      </c>
      <c r="E54" s="170"/>
      <c r="F54" s="188">
        <f>SUM(F45:F53)</f>
        <v>2004426.3399999999</v>
      </c>
      <c r="G54" s="188">
        <f>SUM(G45:G53)</f>
        <v>299249</v>
      </c>
      <c r="H54" s="181"/>
      <c r="I54" s="170"/>
    </row>
    <row r="55" spans="1:9" x14ac:dyDescent="0.2">
      <c r="B55" s="173" t="s">
        <v>543</v>
      </c>
      <c r="H55" s="1"/>
    </row>
    <row r="56" spans="1:9" ht="18" x14ac:dyDescent="0.25">
      <c r="A56" s="521" t="s">
        <v>355</v>
      </c>
      <c r="B56" s="521"/>
      <c r="C56" s="521"/>
      <c r="D56" s="521"/>
      <c r="E56" s="521"/>
      <c r="F56" s="521"/>
      <c r="G56" s="521"/>
      <c r="H56" s="521"/>
      <c r="I56" s="521"/>
    </row>
    <row r="57" spans="1:9" ht="60" x14ac:dyDescent="0.2">
      <c r="A57" s="161" t="s">
        <v>313</v>
      </c>
      <c r="B57" s="162" t="s">
        <v>0</v>
      </c>
      <c r="C57" s="163" t="s">
        <v>1</v>
      </c>
      <c r="D57" s="163" t="s">
        <v>166</v>
      </c>
      <c r="E57" s="163" t="s">
        <v>167</v>
      </c>
      <c r="F57" s="163" t="s">
        <v>168</v>
      </c>
      <c r="G57" s="163" t="s">
        <v>169</v>
      </c>
      <c r="H57" s="164" t="s">
        <v>170</v>
      </c>
      <c r="I57" s="164" t="s">
        <v>171</v>
      </c>
    </row>
    <row r="58" spans="1:9" ht="25.5" x14ac:dyDescent="0.2">
      <c r="A58" s="2" t="s">
        <v>356</v>
      </c>
      <c r="B58" s="2" t="s">
        <v>357</v>
      </c>
      <c r="C58" s="298">
        <v>1758922</v>
      </c>
      <c r="D58" s="185">
        <v>879461</v>
      </c>
      <c r="E58" s="166" t="s">
        <v>316</v>
      </c>
      <c r="F58" s="167">
        <v>0</v>
      </c>
      <c r="G58" s="189">
        <v>0</v>
      </c>
      <c r="H58" s="166" t="s">
        <v>358</v>
      </c>
      <c r="I58" s="26" t="s">
        <v>350</v>
      </c>
    </row>
    <row r="59" spans="1:9" ht="25.5" x14ac:dyDescent="0.2">
      <c r="A59" s="10" t="s">
        <v>359</v>
      </c>
      <c r="B59" s="13" t="s">
        <v>360</v>
      </c>
      <c r="C59" s="294">
        <v>8474244</v>
      </c>
      <c r="D59" s="296">
        <v>2000000</v>
      </c>
      <c r="E59" s="10" t="s">
        <v>361</v>
      </c>
      <c r="F59" s="291">
        <v>2000000</v>
      </c>
      <c r="G59" s="294">
        <v>0</v>
      </c>
      <c r="H59" s="10" t="s">
        <v>785</v>
      </c>
      <c r="I59" s="299">
        <v>42399</v>
      </c>
    </row>
    <row r="60" spans="1:9" x14ac:dyDescent="0.2">
      <c r="A60" s="2" t="s">
        <v>362</v>
      </c>
      <c r="B60" s="2" t="s">
        <v>346</v>
      </c>
      <c r="C60" s="184">
        <v>138560</v>
      </c>
      <c r="D60" s="185">
        <v>110848</v>
      </c>
      <c r="E60" s="2" t="s">
        <v>327</v>
      </c>
      <c r="F60" s="167">
        <v>0</v>
      </c>
      <c r="G60" s="189">
        <v>0</v>
      </c>
      <c r="H60" s="166" t="s">
        <v>358</v>
      </c>
      <c r="I60" s="26" t="s">
        <v>350</v>
      </c>
    </row>
    <row r="61" spans="1:9" ht="38.25" x14ac:dyDescent="0.2">
      <c r="A61" s="2" t="s">
        <v>363</v>
      </c>
      <c r="B61" s="2" t="s">
        <v>346</v>
      </c>
      <c r="C61" s="184">
        <v>255951</v>
      </c>
      <c r="D61" s="185">
        <v>174022</v>
      </c>
      <c r="E61" s="2" t="s">
        <v>327</v>
      </c>
      <c r="F61" s="190">
        <v>174022</v>
      </c>
      <c r="G61" s="189">
        <v>0</v>
      </c>
      <c r="H61" s="11" t="s">
        <v>185</v>
      </c>
      <c r="I61" s="50" t="s">
        <v>364</v>
      </c>
    </row>
    <row r="62" spans="1:9" x14ac:dyDescent="0.2">
      <c r="A62" s="170"/>
      <c r="B62" s="170"/>
      <c r="C62" s="171">
        <f>SUM(C58:C61)</f>
        <v>10627677</v>
      </c>
      <c r="D62" s="191">
        <f>SUM(D58:D61)</f>
        <v>3164331</v>
      </c>
      <c r="E62" s="170"/>
      <c r="F62" s="191">
        <f>SUM(F58:F61)</f>
        <v>2174022</v>
      </c>
      <c r="G62" s="191">
        <f>SUM(G58:G61)</f>
        <v>0</v>
      </c>
      <c r="H62" s="170"/>
      <c r="I62" s="170"/>
    </row>
    <row r="64" spans="1:9" ht="26.25" customHeight="1" x14ac:dyDescent="0.2">
      <c r="A64" s="522" t="s">
        <v>365</v>
      </c>
      <c r="B64" s="523"/>
      <c r="C64" s="523"/>
      <c r="D64" s="523"/>
      <c r="E64" s="523"/>
      <c r="F64" s="523"/>
      <c r="G64" s="523"/>
      <c r="H64" s="523"/>
      <c r="I64" s="523"/>
    </row>
    <row r="65" spans="1:9" ht="60" x14ac:dyDescent="0.2">
      <c r="A65" s="192" t="s">
        <v>313</v>
      </c>
      <c r="B65" s="176" t="s">
        <v>0</v>
      </c>
      <c r="C65" s="64" t="s">
        <v>1</v>
      </c>
      <c r="D65" s="64" t="s">
        <v>166</v>
      </c>
      <c r="E65" s="64" t="s">
        <v>167</v>
      </c>
      <c r="F65" s="64" t="s">
        <v>168</v>
      </c>
      <c r="G65" s="64" t="s">
        <v>169</v>
      </c>
      <c r="H65" s="65" t="s">
        <v>170</v>
      </c>
      <c r="I65" s="65" t="s">
        <v>171</v>
      </c>
    </row>
    <row r="66" spans="1:9" ht="45" x14ac:dyDescent="0.2">
      <c r="A66" s="73" t="s">
        <v>366</v>
      </c>
      <c r="B66" s="72" t="s">
        <v>367</v>
      </c>
      <c r="C66" s="193">
        <v>88000</v>
      </c>
      <c r="D66" s="77">
        <v>55400</v>
      </c>
      <c r="E66" s="68" t="s">
        <v>368</v>
      </c>
      <c r="F66" s="194">
        <v>55400</v>
      </c>
      <c r="G66" s="195">
        <v>0</v>
      </c>
      <c r="H66" s="69" t="s">
        <v>185</v>
      </c>
      <c r="I66" s="70">
        <v>40553</v>
      </c>
    </row>
    <row r="67" spans="1:9" ht="45" x14ac:dyDescent="0.2">
      <c r="A67" s="73" t="s">
        <v>369</v>
      </c>
      <c r="B67" s="72" t="s">
        <v>370</v>
      </c>
      <c r="C67" s="193">
        <v>886500</v>
      </c>
      <c r="D67" s="77">
        <v>700000</v>
      </c>
      <c r="E67" s="196" t="s">
        <v>368</v>
      </c>
      <c r="F67" s="194">
        <v>700000</v>
      </c>
      <c r="G67" s="195">
        <v>0</v>
      </c>
      <c r="H67" s="73" t="s">
        <v>185</v>
      </c>
      <c r="I67" s="70">
        <v>40647</v>
      </c>
    </row>
    <row r="68" spans="1:9" ht="30" x14ac:dyDescent="0.2">
      <c r="A68" s="73" t="s">
        <v>371</v>
      </c>
      <c r="B68" s="72" t="s">
        <v>372</v>
      </c>
      <c r="C68" s="193">
        <v>450000</v>
      </c>
      <c r="D68" s="77">
        <v>225000</v>
      </c>
      <c r="E68" s="113" t="s">
        <v>327</v>
      </c>
      <c r="F68" s="195">
        <v>145187</v>
      </c>
      <c r="G68" s="145">
        <v>0</v>
      </c>
      <c r="H68" s="71" t="s">
        <v>185</v>
      </c>
      <c r="I68" s="70">
        <v>41333</v>
      </c>
    </row>
    <row r="69" spans="1:9" ht="45" x14ac:dyDescent="0.2">
      <c r="A69" s="73" t="s">
        <v>373</v>
      </c>
      <c r="B69" s="72" t="s">
        <v>329</v>
      </c>
      <c r="C69" s="193">
        <v>467589</v>
      </c>
      <c r="D69" s="77">
        <v>311071</v>
      </c>
      <c r="E69" s="68" t="s">
        <v>327</v>
      </c>
      <c r="F69" s="194">
        <v>311071</v>
      </c>
      <c r="G69" s="145">
        <v>0</v>
      </c>
      <c r="H69" s="69" t="s">
        <v>185</v>
      </c>
      <c r="I69" s="70">
        <v>40831</v>
      </c>
    </row>
    <row r="70" spans="1:9" ht="30" x14ac:dyDescent="0.2">
      <c r="A70" s="73" t="s">
        <v>374</v>
      </c>
      <c r="B70" s="72" t="s">
        <v>372</v>
      </c>
      <c r="C70" s="193">
        <v>252005</v>
      </c>
      <c r="D70" s="77">
        <v>126000</v>
      </c>
      <c r="E70" s="68" t="s">
        <v>375</v>
      </c>
      <c r="F70" s="195">
        <v>118691</v>
      </c>
      <c r="G70" s="145">
        <v>0</v>
      </c>
      <c r="H70" s="69" t="s">
        <v>185</v>
      </c>
      <c r="I70" s="70">
        <v>41639</v>
      </c>
    </row>
    <row r="71" spans="1:9" ht="45" x14ac:dyDescent="0.2">
      <c r="A71" s="73" t="s">
        <v>376</v>
      </c>
      <c r="B71" s="72" t="s">
        <v>377</v>
      </c>
      <c r="C71" s="193">
        <v>10900000</v>
      </c>
      <c r="D71" s="77">
        <v>900000</v>
      </c>
      <c r="E71" s="68" t="s">
        <v>378</v>
      </c>
      <c r="F71" s="195">
        <v>0</v>
      </c>
      <c r="G71" s="145" t="s">
        <v>632</v>
      </c>
      <c r="H71" s="69" t="s">
        <v>379</v>
      </c>
      <c r="I71" s="70" t="s">
        <v>350</v>
      </c>
    </row>
    <row r="72" spans="1:9" ht="45" x14ac:dyDescent="0.2">
      <c r="A72" s="73" t="s">
        <v>380</v>
      </c>
      <c r="B72" s="72" t="s">
        <v>381</v>
      </c>
      <c r="C72" s="193">
        <v>5437200</v>
      </c>
      <c r="D72" s="77">
        <v>1000000</v>
      </c>
      <c r="E72" s="68" t="s">
        <v>382</v>
      </c>
      <c r="F72" s="195">
        <v>1000000</v>
      </c>
      <c r="G72" s="145">
        <f>D72-F72</f>
        <v>0</v>
      </c>
      <c r="H72" s="69" t="s">
        <v>185</v>
      </c>
      <c r="I72" s="70">
        <v>40178</v>
      </c>
    </row>
    <row r="73" spans="1:9" ht="15" x14ac:dyDescent="0.2">
      <c r="A73" s="197"/>
      <c r="B73" s="192" t="s">
        <v>223</v>
      </c>
      <c r="C73" s="198">
        <f>SUM(C66:C72)</f>
        <v>18481294</v>
      </c>
      <c r="D73" s="198">
        <f>SUM(D66:D72)</f>
        <v>3317471</v>
      </c>
      <c r="E73" s="64"/>
      <c r="F73" s="199">
        <f>SUM(F66:F72)</f>
        <v>2330349</v>
      </c>
      <c r="G73" s="199">
        <f>SUM(G66:G72)</f>
        <v>0</v>
      </c>
      <c r="H73" s="200"/>
      <c r="I73" s="65"/>
    </row>
    <row r="75" spans="1:9" ht="24" customHeight="1" x14ac:dyDescent="0.2">
      <c r="A75" s="522" t="s">
        <v>383</v>
      </c>
      <c r="B75" s="523"/>
      <c r="C75" s="523"/>
      <c r="D75" s="523"/>
      <c r="E75" s="523"/>
      <c r="F75" s="523"/>
      <c r="G75" s="523"/>
      <c r="H75" s="523"/>
      <c r="I75" s="523"/>
    </row>
    <row r="76" spans="1:9" ht="60" x14ac:dyDescent="0.2">
      <c r="A76" s="192" t="s">
        <v>384</v>
      </c>
      <c r="B76" s="176" t="s">
        <v>0</v>
      </c>
      <c r="C76" s="201" t="s">
        <v>1</v>
      </c>
      <c r="D76" s="201" t="s">
        <v>166</v>
      </c>
      <c r="E76" s="64" t="s">
        <v>167</v>
      </c>
      <c r="F76" s="64" t="s">
        <v>168</v>
      </c>
      <c r="G76" s="64" t="s">
        <v>169</v>
      </c>
      <c r="H76" s="65" t="s">
        <v>170</v>
      </c>
      <c r="I76" s="65" t="s">
        <v>171</v>
      </c>
    </row>
    <row r="77" spans="1:9" ht="45" x14ac:dyDescent="0.2">
      <c r="A77" s="73" t="s">
        <v>366</v>
      </c>
      <c r="B77" s="72" t="s">
        <v>385</v>
      </c>
      <c r="C77" s="193">
        <v>89333</v>
      </c>
      <c r="D77" s="77">
        <v>71000</v>
      </c>
      <c r="E77" s="68" t="s">
        <v>368</v>
      </c>
      <c r="F77" s="194">
        <v>61164</v>
      </c>
      <c r="G77" s="195">
        <v>0</v>
      </c>
      <c r="H77" s="69" t="s">
        <v>185</v>
      </c>
      <c r="I77" s="70">
        <v>39814</v>
      </c>
    </row>
    <row r="78" spans="1:9" ht="45" x14ac:dyDescent="0.2">
      <c r="A78" s="73" t="s">
        <v>369</v>
      </c>
      <c r="B78" s="72" t="s">
        <v>385</v>
      </c>
      <c r="C78" s="193">
        <v>400000</v>
      </c>
      <c r="D78" s="77">
        <v>320000</v>
      </c>
      <c r="E78" s="196" t="s">
        <v>368</v>
      </c>
      <c r="F78" s="194">
        <v>320000</v>
      </c>
      <c r="G78" s="195">
        <v>0</v>
      </c>
      <c r="H78" s="73" t="s">
        <v>185</v>
      </c>
      <c r="I78" s="70">
        <v>39753</v>
      </c>
    </row>
    <row r="79" spans="1:9" ht="45" x14ac:dyDescent="0.2">
      <c r="A79" s="73" t="s">
        <v>386</v>
      </c>
      <c r="B79" s="72" t="s">
        <v>385</v>
      </c>
      <c r="C79" s="193">
        <v>693120</v>
      </c>
      <c r="D79" s="77">
        <v>554000</v>
      </c>
      <c r="E79" s="113" t="s">
        <v>368</v>
      </c>
      <c r="F79" s="195">
        <v>405346</v>
      </c>
      <c r="G79" s="145">
        <v>0</v>
      </c>
      <c r="H79" s="71" t="s">
        <v>185</v>
      </c>
      <c r="I79" s="70">
        <v>39873</v>
      </c>
    </row>
    <row r="80" spans="1:9" ht="45" x14ac:dyDescent="0.2">
      <c r="A80" s="73" t="s">
        <v>387</v>
      </c>
      <c r="B80" s="72" t="s">
        <v>385</v>
      </c>
      <c r="C80" s="193">
        <v>1771463</v>
      </c>
      <c r="D80" s="77">
        <v>1417000</v>
      </c>
      <c r="E80" s="68" t="s">
        <v>368</v>
      </c>
      <c r="F80" s="194">
        <v>1406627</v>
      </c>
      <c r="G80" s="145">
        <v>0</v>
      </c>
      <c r="H80" s="69" t="s">
        <v>185</v>
      </c>
      <c r="I80" s="70">
        <v>40087</v>
      </c>
    </row>
    <row r="81" spans="1:9" ht="45" x14ac:dyDescent="0.2">
      <c r="A81" s="73" t="s">
        <v>388</v>
      </c>
      <c r="B81" s="72" t="s">
        <v>385</v>
      </c>
      <c r="C81" s="193">
        <v>964707</v>
      </c>
      <c r="D81" s="77">
        <v>772000</v>
      </c>
      <c r="E81" s="68" t="s">
        <v>368</v>
      </c>
      <c r="F81" s="195">
        <v>650000</v>
      </c>
      <c r="G81" s="145">
        <v>0</v>
      </c>
      <c r="H81" s="69" t="s">
        <v>185</v>
      </c>
      <c r="I81" s="70">
        <v>39873</v>
      </c>
    </row>
    <row r="82" spans="1:9" ht="45" x14ac:dyDescent="0.2">
      <c r="A82" s="73" t="s">
        <v>389</v>
      </c>
      <c r="B82" s="72" t="s">
        <v>385</v>
      </c>
      <c r="C82" s="193">
        <v>851704</v>
      </c>
      <c r="D82" s="77">
        <v>681000</v>
      </c>
      <c r="E82" s="68" t="s">
        <v>368</v>
      </c>
      <c r="F82" s="195">
        <v>616420</v>
      </c>
      <c r="G82" s="145">
        <v>0</v>
      </c>
      <c r="H82" s="69" t="s">
        <v>185</v>
      </c>
      <c r="I82" s="70">
        <v>39753</v>
      </c>
    </row>
    <row r="83" spans="1:9" ht="45" x14ac:dyDescent="0.2">
      <c r="A83" s="73" t="s">
        <v>347</v>
      </c>
      <c r="B83" s="72" t="s">
        <v>385</v>
      </c>
      <c r="C83" s="193">
        <v>230000</v>
      </c>
      <c r="D83" s="77">
        <v>184000</v>
      </c>
      <c r="E83" s="68" t="s">
        <v>368</v>
      </c>
      <c r="F83" s="195">
        <v>184000</v>
      </c>
      <c r="G83" s="145">
        <f>D83-F83</f>
        <v>0</v>
      </c>
      <c r="H83" s="69" t="s">
        <v>185</v>
      </c>
      <c r="I83" s="70">
        <v>40178</v>
      </c>
    </row>
    <row r="84" spans="1:9" ht="15" x14ac:dyDescent="0.2">
      <c r="A84" s="197"/>
      <c r="B84" s="192" t="s">
        <v>223</v>
      </c>
      <c r="C84" s="198">
        <f>SUM(C77:C83)</f>
        <v>5000327</v>
      </c>
      <c r="D84" s="198">
        <f>SUM(D77:D83)</f>
        <v>3999000</v>
      </c>
      <c r="E84" s="64"/>
      <c r="F84" s="199">
        <f>SUM(F77:F83)</f>
        <v>3643557</v>
      </c>
      <c r="G84" s="199">
        <f>SUM(G77:G83)</f>
        <v>0</v>
      </c>
      <c r="H84" s="200"/>
      <c r="I84" s="65"/>
    </row>
    <row r="85" spans="1:9" x14ac:dyDescent="0.2">
      <c r="A85" s="56"/>
      <c r="B85" s="56"/>
      <c r="C85" s="202"/>
      <c r="D85" s="202"/>
      <c r="E85" s="54"/>
      <c r="F85" s="203"/>
      <c r="G85" s="203"/>
      <c r="H85" s="204"/>
      <c r="I85" s="55"/>
    </row>
    <row r="86" spans="1:9" ht="20.25" x14ac:dyDescent="0.3">
      <c r="A86" s="56"/>
      <c r="B86" s="517" t="s">
        <v>390</v>
      </c>
      <c r="C86" s="518"/>
      <c r="D86" s="518"/>
      <c r="E86" s="518"/>
      <c r="F86" s="518"/>
      <c r="G86" s="518"/>
      <c r="H86" s="518"/>
      <c r="I86" s="518"/>
    </row>
    <row r="87" spans="1:9" ht="38.25" x14ac:dyDescent="0.2">
      <c r="A87" s="56"/>
      <c r="B87" s="205" t="s">
        <v>0</v>
      </c>
      <c r="C87" s="18" t="s">
        <v>1</v>
      </c>
      <c r="D87" s="18" t="s">
        <v>166</v>
      </c>
      <c r="E87" s="206" t="s">
        <v>391</v>
      </c>
      <c r="F87" s="206" t="s">
        <v>392</v>
      </c>
      <c r="G87" s="206" t="s">
        <v>393</v>
      </c>
      <c r="H87" s="206" t="s">
        <v>394</v>
      </c>
      <c r="I87" s="205" t="s">
        <v>171</v>
      </c>
    </row>
    <row r="88" spans="1:9" ht="63.75" x14ac:dyDescent="0.2">
      <c r="A88" s="56"/>
      <c r="B88" s="207" t="s">
        <v>395</v>
      </c>
      <c r="C88" s="208">
        <v>884000</v>
      </c>
      <c r="D88" s="208">
        <v>242000</v>
      </c>
      <c r="E88" s="209" t="s">
        <v>396</v>
      </c>
      <c r="F88" s="208">
        <v>0</v>
      </c>
      <c r="G88" s="210">
        <v>0</v>
      </c>
      <c r="H88" s="58" t="s">
        <v>379</v>
      </c>
      <c r="I88" s="26" t="s">
        <v>397</v>
      </c>
    </row>
    <row r="89" spans="1:9" ht="38.25" x14ac:dyDescent="0.2">
      <c r="A89" s="56"/>
      <c r="B89" s="207" t="s">
        <v>398</v>
      </c>
      <c r="C89" s="208">
        <v>8500000</v>
      </c>
      <c r="D89" s="208">
        <v>75000</v>
      </c>
      <c r="E89" s="209" t="s">
        <v>399</v>
      </c>
      <c r="F89" s="208">
        <v>0</v>
      </c>
      <c r="G89" s="210">
        <v>0</v>
      </c>
      <c r="H89" s="58" t="s">
        <v>379</v>
      </c>
      <c r="I89" s="26" t="s">
        <v>397</v>
      </c>
    </row>
    <row r="90" spans="1:9" ht="51" x14ac:dyDescent="0.2">
      <c r="A90" s="56"/>
      <c r="B90" s="207" t="s">
        <v>400</v>
      </c>
      <c r="C90" s="208">
        <v>1072933</v>
      </c>
      <c r="D90" s="208">
        <v>840000</v>
      </c>
      <c r="E90" s="209" t="s">
        <v>396</v>
      </c>
      <c r="F90" s="208">
        <v>0</v>
      </c>
      <c r="G90" s="208">
        <v>0</v>
      </c>
      <c r="H90" s="209" t="s">
        <v>401</v>
      </c>
      <c r="I90" s="33" t="s">
        <v>397</v>
      </c>
    </row>
    <row r="91" spans="1:9" ht="38.25" x14ac:dyDescent="0.2">
      <c r="A91" s="56"/>
      <c r="B91" s="207" t="s">
        <v>402</v>
      </c>
      <c r="C91" s="208">
        <v>1398000</v>
      </c>
      <c r="D91" s="208">
        <v>810000</v>
      </c>
      <c r="E91" s="209" t="s">
        <v>399</v>
      </c>
      <c r="F91" s="208">
        <v>810000</v>
      </c>
      <c r="G91" s="208">
        <v>0</v>
      </c>
      <c r="H91" s="209" t="s">
        <v>185</v>
      </c>
      <c r="I91" s="33">
        <v>40086</v>
      </c>
    </row>
    <row r="92" spans="1:9" ht="38.25" x14ac:dyDescent="0.2">
      <c r="A92" s="56"/>
      <c r="B92" s="211" t="s">
        <v>403</v>
      </c>
      <c r="C92" s="212">
        <v>7146000</v>
      </c>
      <c r="D92" s="212">
        <v>75000</v>
      </c>
      <c r="E92" s="209" t="s">
        <v>399</v>
      </c>
      <c r="F92" s="213">
        <v>0</v>
      </c>
      <c r="G92" s="208">
        <v>0</v>
      </c>
      <c r="H92" s="209" t="s">
        <v>404</v>
      </c>
      <c r="I92" s="33" t="s">
        <v>350</v>
      </c>
    </row>
    <row r="93" spans="1:9" ht="51" x14ac:dyDescent="0.2">
      <c r="A93" s="56"/>
      <c r="B93" s="211" t="s">
        <v>405</v>
      </c>
      <c r="C93" s="212">
        <v>6055075</v>
      </c>
      <c r="D93" s="212">
        <v>75000</v>
      </c>
      <c r="E93" s="209" t="s">
        <v>406</v>
      </c>
      <c r="F93" s="213">
        <v>0</v>
      </c>
      <c r="G93" s="208">
        <v>0</v>
      </c>
      <c r="H93" s="209" t="s">
        <v>407</v>
      </c>
      <c r="I93" s="26" t="s">
        <v>397</v>
      </c>
    </row>
    <row r="94" spans="1:9" ht="25.5" x14ac:dyDescent="0.2">
      <c r="A94" s="56"/>
      <c r="B94" s="211" t="s">
        <v>408</v>
      </c>
      <c r="C94" s="212">
        <v>2250000</v>
      </c>
      <c r="D94" s="212">
        <v>50000</v>
      </c>
      <c r="E94" s="209" t="s">
        <v>399</v>
      </c>
      <c r="F94" s="213">
        <v>0</v>
      </c>
      <c r="G94" s="210">
        <v>0</v>
      </c>
      <c r="H94" s="60" t="s">
        <v>379</v>
      </c>
      <c r="I94" s="26" t="s">
        <v>397</v>
      </c>
    </row>
    <row r="95" spans="1:9" ht="25.5" x14ac:dyDescent="0.2">
      <c r="A95" s="56"/>
      <c r="B95" s="211" t="s">
        <v>409</v>
      </c>
      <c r="C95" s="212">
        <v>414489</v>
      </c>
      <c r="D95" s="212">
        <v>165795</v>
      </c>
      <c r="E95" s="209" t="s">
        <v>399</v>
      </c>
      <c r="F95" s="213">
        <v>0</v>
      </c>
      <c r="G95" s="210">
        <v>0</v>
      </c>
      <c r="H95" s="60" t="s">
        <v>379</v>
      </c>
      <c r="I95" s="26" t="s">
        <v>397</v>
      </c>
    </row>
    <row r="96" spans="1:9" ht="38.25" x14ac:dyDescent="0.2">
      <c r="A96" s="56"/>
      <c r="B96" s="211" t="s">
        <v>410</v>
      </c>
      <c r="C96" s="212">
        <v>9500000</v>
      </c>
      <c r="D96" s="212">
        <v>270000</v>
      </c>
      <c r="E96" s="209" t="s">
        <v>411</v>
      </c>
      <c r="F96" s="213">
        <v>0</v>
      </c>
      <c r="G96" s="208">
        <v>0</v>
      </c>
      <c r="H96" s="209" t="s">
        <v>412</v>
      </c>
      <c r="I96" s="33" t="s">
        <v>397</v>
      </c>
    </row>
    <row r="97" spans="1:9" ht="38.25" x14ac:dyDescent="0.2">
      <c r="A97" s="56"/>
      <c r="B97" s="211" t="s">
        <v>413</v>
      </c>
      <c r="C97" s="212">
        <v>9500000</v>
      </c>
      <c r="D97" s="212">
        <v>270000</v>
      </c>
      <c r="E97" s="209" t="s">
        <v>414</v>
      </c>
      <c r="F97" s="213">
        <v>0</v>
      </c>
      <c r="G97" s="208">
        <v>0</v>
      </c>
      <c r="H97" s="209" t="s">
        <v>412</v>
      </c>
      <c r="I97" s="33" t="s">
        <v>397</v>
      </c>
    </row>
    <row r="98" spans="1:9" x14ac:dyDescent="0.2">
      <c r="A98" s="56"/>
      <c r="B98" s="59"/>
      <c r="C98" s="61">
        <f>SUM(C88:C97)</f>
        <v>46720497</v>
      </c>
      <c r="D98" s="214">
        <f>SUM(D88:D97)</f>
        <v>2872795</v>
      </c>
      <c r="E98" s="214"/>
      <c r="F98" s="18">
        <f>SUM(F88:F97)</f>
        <v>810000</v>
      </c>
      <c r="G98" s="62">
        <f>SUM(G88:G97)</f>
        <v>0</v>
      </c>
      <c r="H98" s="62"/>
      <c r="I98" s="63"/>
    </row>
    <row r="99" spans="1:9" x14ac:dyDescent="0.2">
      <c r="A99" s="56"/>
      <c r="B99" s="1"/>
      <c r="C99" s="186"/>
      <c r="D99" s="186"/>
      <c r="E99" s="215"/>
      <c r="F99" s="186"/>
      <c r="G99" s="186"/>
      <c r="H99" s="215"/>
      <c r="I99" s="216"/>
    </row>
    <row r="100" spans="1:9" ht="20.25" x14ac:dyDescent="0.3">
      <c r="A100" s="56"/>
      <c r="B100" s="517" t="s">
        <v>415</v>
      </c>
      <c r="C100" s="518"/>
      <c r="D100" s="518"/>
      <c r="E100" s="518"/>
      <c r="F100" s="518"/>
      <c r="G100" s="518"/>
      <c r="H100" s="518"/>
      <c r="I100" s="518"/>
    </row>
    <row r="101" spans="1:9" ht="38.25" x14ac:dyDescent="0.2">
      <c r="A101" s="56"/>
      <c r="B101" s="205" t="s">
        <v>0</v>
      </c>
      <c r="C101" s="18" t="s">
        <v>1</v>
      </c>
      <c r="D101" s="18" t="s">
        <v>166</v>
      </c>
      <c r="E101" s="206" t="s">
        <v>391</v>
      </c>
      <c r="F101" s="206" t="s">
        <v>416</v>
      </c>
      <c r="G101" s="206" t="s">
        <v>417</v>
      </c>
      <c r="H101" s="206" t="s">
        <v>394</v>
      </c>
      <c r="I101" s="205" t="s">
        <v>171</v>
      </c>
    </row>
    <row r="102" spans="1:9" ht="51" x14ac:dyDescent="0.2">
      <c r="A102" s="56"/>
      <c r="B102" s="207" t="s">
        <v>418</v>
      </c>
      <c r="C102" s="208">
        <v>24240300</v>
      </c>
      <c r="D102" s="208">
        <v>239000</v>
      </c>
      <c r="E102" s="209" t="s">
        <v>396</v>
      </c>
      <c r="F102" s="208">
        <v>0</v>
      </c>
      <c r="G102" s="208">
        <v>0</v>
      </c>
      <c r="H102" s="60" t="s">
        <v>379</v>
      </c>
      <c r="I102" s="26" t="s">
        <v>397</v>
      </c>
    </row>
    <row r="103" spans="1:9" ht="51" x14ac:dyDescent="0.2">
      <c r="A103" s="56"/>
      <c r="B103" s="207" t="s">
        <v>400</v>
      </c>
      <c r="C103" s="208">
        <v>11852896</v>
      </c>
      <c r="D103" s="208">
        <v>489000</v>
      </c>
      <c r="E103" s="209" t="s">
        <v>396</v>
      </c>
      <c r="F103" s="208">
        <v>0</v>
      </c>
      <c r="G103" s="208">
        <v>0</v>
      </c>
      <c r="H103" s="60" t="s">
        <v>379</v>
      </c>
      <c r="I103" s="33" t="s">
        <v>397</v>
      </c>
    </row>
    <row r="104" spans="1:9" ht="25.5" x14ac:dyDescent="0.2">
      <c r="A104" s="56"/>
      <c r="B104" s="207" t="s">
        <v>419</v>
      </c>
      <c r="C104" s="208">
        <v>457513</v>
      </c>
      <c r="D104" s="208">
        <v>326000</v>
      </c>
      <c r="E104" s="209" t="s">
        <v>399</v>
      </c>
      <c r="F104" s="208">
        <v>326000</v>
      </c>
      <c r="G104" s="208">
        <f>D104-F104</f>
        <v>0</v>
      </c>
      <c r="H104" s="60" t="s">
        <v>343</v>
      </c>
      <c r="I104" s="33">
        <v>40324</v>
      </c>
    </row>
    <row r="105" spans="1:9" ht="51" x14ac:dyDescent="0.2">
      <c r="A105" s="56"/>
      <c r="B105" s="207" t="s">
        <v>420</v>
      </c>
      <c r="C105" s="208">
        <v>1300000</v>
      </c>
      <c r="D105" s="208">
        <v>250000</v>
      </c>
      <c r="E105" s="209" t="s">
        <v>396</v>
      </c>
      <c r="F105" s="208">
        <v>0</v>
      </c>
      <c r="G105" s="208">
        <v>0</v>
      </c>
      <c r="H105" s="60" t="s">
        <v>379</v>
      </c>
      <c r="I105" s="217" t="s">
        <v>397</v>
      </c>
    </row>
    <row r="106" spans="1:9" x14ac:dyDescent="0.2">
      <c r="A106" s="56"/>
      <c r="B106" s="218"/>
      <c r="C106" s="219">
        <f>SUM(C102:C105)</f>
        <v>37850709</v>
      </c>
      <c r="D106" s="219">
        <f>SUM(D102:D105)</f>
        <v>1304000</v>
      </c>
      <c r="E106" s="220"/>
      <c r="F106" s="219">
        <f>SUM(F102:F105)</f>
        <v>326000</v>
      </c>
      <c r="G106" s="219">
        <f>SUM(G102:G105)</f>
        <v>0</v>
      </c>
      <c r="H106" s="220"/>
      <c r="I106" s="221"/>
    </row>
    <row r="107" spans="1:9" x14ac:dyDescent="0.2">
      <c r="A107" s="56"/>
    </row>
    <row r="108" spans="1:9" ht="20.25" x14ac:dyDescent="0.3">
      <c r="A108" s="56"/>
      <c r="B108" s="517" t="s">
        <v>421</v>
      </c>
      <c r="C108" s="518"/>
      <c r="D108" s="518"/>
      <c r="E108" s="518"/>
      <c r="F108" s="518"/>
      <c r="G108" s="518"/>
      <c r="H108" s="518"/>
      <c r="I108" s="518"/>
    </row>
    <row r="109" spans="1:9" ht="38.25" x14ac:dyDescent="0.2">
      <c r="A109" s="56"/>
      <c r="B109" s="205" t="s">
        <v>0</v>
      </c>
      <c r="C109" s="18" t="s">
        <v>1</v>
      </c>
      <c r="D109" s="18" t="s">
        <v>166</v>
      </c>
      <c r="E109" s="206" t="s">
        <v>391</v>
      </c>
      <c r="F109" s="206" t="s">
        <v>422</v>
      </c>
      <c r="G109" s="206" t="s">
        <v>423</v>
      </c>
      <c r="H109" s="206" t="s">
        <v>394</v>
      </c>
      <c r="I109" s="205" t="s">
        <v>171</v>
      </c>
    </row>
    <row r="110" spans="1:9" ht="51" x14ac:dyDescent="0.2">
      <c r="A110" s="56"/>
      <c r="B110" s="207" t="s">
        <v>424</v>
      </c>
      <c r="C110" s="208">
        <v>3712220</v>
      </c>
      <c r="D110" s="208">
        <v>500000</v>
      </c>
      <c r="E110" s="209" t="s">
        <v>396</v>
      </c>
      <c r="F110" s="208">
        <v>500000</v>
      </c>
      <c r="G110" s="208">
        <f t="shared" ref="G110:G115" si="0">D110-F110</f>
        <v>0</v>
      </c>
      <c r="H110" s="60" t="s">
        <v>343</v>
      </c>
      <c r="I110" s="26">
        <v>39483</v>
      </c>
    </row>
    <row r="111" spans="1:9" ht="51" x14ac:dyDescent="0.2">
      <c r="A111" s="56"/>
      <c r="B111" s="207" t="s">
        <v>425</v>
      </c>
      <c r="C111" s="208">
        <v>694000</v>
      </c>
      <c r="D111" s="208">
        <v>534000</v>
      </c>
      <c r="E111" s="209" t="s">
        <v>396</v>
      </c>
      <c r="F111" s="208">
        <v>534000</v>
      </c>
      <c r="G111" s="208">
        <f t="shared" si="0"/>
        <v>0</v>
      </c>
      <c r="H111" s="60" t="s">
        <v>343</v>
      </c>
      <c r="I111" s="26">
        <v>39344</v>
      </c>
    </row>
    <row r="112" spans="1:9" ht="51" x14ac:dyDescent="0.2">
      <c r="A112" s="56"/>
      <c r="B112" s="207" t="s">
        <v>426</v>
      </c>
      <c r="C112" s="208">
        <v>4660791</v>
      </c>
      <c r="D112" s="208">
        <v>760791</v>
      </c>
      <c r="E112" s="209" t="s">
        <v>427</v>
      </c>
      <c r="F112" s="210">
        <v>729711</v>
      </c>
      <c r="G112" s="210">
        <v>31079</v>
      </c>
      <c r="H112" s="209" t="s">
        <v>428</v>
      </c>
      <c r="I112" s="26">
        <v>42185</v>
      </c>
    </row>
    <row r="113" spans="1:9" ht="51" x14ac:dyDescent="0.2">
      <c r="A113" s="56"/>
      <c r="B113" s="207" t="s">
        <v>429</v>
      </c>
      <c r="C113" s="208">
        <v>5700000</v>
      </c>
      <c r="D113" s="208">
        <v>280000</v>
      </c>
      <c r="E113" s="209" t="s">
        <v>396</v>
      </c>
      <c r="F113" s="208">
        <v>126000</v>
      </c>
      <c r="G113" s="208">
        <v>0</v>
      </c>
      <c r="H113" s="209" t="s">
        <v>526</v>
      </c>
      <c r="I113" s="33">
        <v>41333</v>
      </c>
    </row>
    <row r="114" spans="1:9" ht="51" x14ac:dyDescent="0.2">
      <c r="A114" s="56"/>
      <c r="B114" s="207" t="s">
        <v>430</v>
      </c>
      <c r="C114" s="208">
        <v>2800000</v>
      </c>
      <c r="D114" s="208">
        <v>280000</v>
      </c>
      <c r="E114" s="209" t="s">
        <v>396</v>
      </c>
      <c r="F114" s="208">
        <v>280000</v>
      </c>
      <c r="G114" s="208">
        <f t="shared" si="0"/>
        <v>0</v>
      </c>
      <c r="H114" s="60" t="s">
        <v>343</v>
      </c>
      <c r="I114" s="33">
        <v>39721</v>
      </c>
    </row>
    <row r="115" spans="1:9" ht="51" x14ac:dyDescent="0.2">
      <c r="A115" s="56"/>
      <c r="B115" s="207" t="s">
        <v>431</v>
      </c>
      <c r="C115" s="208">
        <v>1258532</v>
      </c>
      <c r="D115" s="208">
        <v>300000</v>
      </c>
      <c r="E115" s="209" t="s">
        <v>396</v>
      </c>
      <c r="F115" s="208">
        <v>300000</v>
      </c>
      <c r="G115" s="208">
        <f t="shared" si="0"/>
        <v>0</v>
      </c>
      <c r="H115" s="60" t="s">
        <v>343</v>
      </c>
      <c r="I115" s="33">
        <v>39387</v>
      </c>
    </row>
    <row r="116" spans="1:9" ht="51" x14ac:dyDescent="0.2">
      <c r="A116" s="56"/>
      <c r="B116" s="207" t="s">
        <v>432</v>
      </c>
      <c r="C116" s="208">
        <v>2154086</v>
      </c>
      <c r="D116" s="208">
        <v>319209</v>
      </c>
      <c r="E116" s="209" t="s">
        <v>396</v>
      </c>
      <c r="F116" s="208">
        <v>0</v>
      </c>
      <c r="G116" s="208">
        <v>0</v>
      </c>
      <c r="H116" s="209" t="s">
        <v>433</v>
      </c>
      <c r="I116" s="33" t="s">
        <v>350</v>
      </c>
    </row>
    <row r="117" spans="1:9" ht="51" x14ac:dyDescent="0.2">
      <c r="A117" s="56"/>
      <c r="B117" s="207" t="s">
        <v>434</v>
      </c>
      <c r="C117" s="208">
        <v>30000</v>
      </c>
      <c r="D117" s="208">
        <v>22500</v>
      </c>
      <c r="E117" s="209" t="s">
        <v>399</v>
      </c>
      <c r="F117" s="208">
        <v>0</v>
      </c>
      <c r="G117" s="208">
        <v>0</v>
      </c>
      <c r="H117" s="60" t="s">
        <v>379</v>
      </c>
      <c r="I117" s="26" t="s">
        <v>350</v>
      </c>
    </row>
    <row r="118" spans="1:9" x14ac:dyDescent="0.2">
      <c r="A118" s="56"/>
      <c r="B118" s="207" t="s">
        <v>435</v>
      </c>
      <c r="C118" s="208">
        <v>406711</v>
      </c>
      <c r="D118" s="208">
        <v>60000</v>
      </c>
      <c r="E118" s="209" t="s">
        <v>436</v>
      </c>
      <c r="F118" s="208">
        <v>42691</v>
      </c>
      <c r="G118" s="208">
        <v>0</v>
      </c>
      <c r="H118" s="60" t="s">
        <v>343</v>
      </c>
      <c r="I118" s="33">
        <v>39387</v>
      </c>
    </row>
    <row r="119" spans="1:9" x14ac:dyDescent="0.2">
      <c r="A119" s="56"/>
      <c r="B119" s="218"/>
      <c r="C119" s="219">
        <f>SUM(C110:C118)</f>
        <v>21416340</v>
      </c>
      <c r="D119" s="219">
        <f>SUM(D110:D118)</f>
        <v>3056500</v>
      </c>
      <c r="E119" s="220"/>
      <c r="F119" s="219">
        <f>SUM(F110:F118)</f>
        <v>2512402</v>
      </c>
      <c r="G119" s="219">
        <f>SUM(G110:G118)</f>
        <v>31079</v>
      </c>
      <c r="H119" s="220"/>
      <c r="I119" s="221"/>
    </row>
  </sheetData>
  <mergeCells count="11">
    <mergeCell ref="B100:I100"/>
    <mergeCell ref="B108:I108"/>
    <mergeCell ref="A1:I1"/>
    <mergeCell ref="A10:I10"/>
    <mergeCell ref="A20:I20"/>
    <mergeCell ref="A30:I30"/>
    <mergeCell ref="A43:I43"/>
    <mergeCell ref="A56:I56"/>
    <mergeCell ref="A64:I64"/>
    <mergeCell ref="A75:I75"/>
    <mergeCell ref="B86:I8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sqref="A1:I1"/>
    </sheetView>
  </sheetViews>
  <sheetFormatPr defaultRowHeight="12.75" x14ac:dyDescent="0.2"/>
  <cols>
    <col min="1" max="1" width="17.5703125" bestFit="1" customWidth="1"/>
    <col min="2" max="2" width="12.85546875" customWidth="1"/>
    <col min="3" max="3" width="33.85546875" customWidth="1"/>
    <col min="4" max="4" width="14.7109375" customWidth="1"/>
    <col min="5" max="6" width="12.7109375" customWidth="1"/>
    <col min="7" max="7" width="15.5703125" customWidth="1"/>
    <col min="8" max="8" width="17.7109375" customWidth="1"/>
    <col min="9" max="9" width="16.85546875" customWidth="1"/>
    <col min="257" max="257" width="17.5703125" bestFit="1" customWidth="1"/>
    <col min="258" max="258" width="12.85546875" customWidth="1"/>
    <col min="259" max="259" width="33.85546875" customWidth="1"/>
    <col min="260" max="260" width="14.7109375" customWidth="1"/>
    <col min="261" max="262" width="12.7109375" customWidth="1"/>
    <col min="263" max="263" width="15.5703125" customWidth="1"/>
    <col min="264" max="264" width="17.7109375" customWidth="1"/>
    <col min="265" max="265" width="16.85546875" customWidth="1"/>
    <col min="513" max="513" width="17.5703125" bestFit="1" customWidth="1"/>
    <col min="514" max="514" width="12.85546875" customWidth="1"/>
    <col min="515" max="515" width="33.85546875" customWidth="1"/>
    <col min="516" max="516" width="14.7109375" customWidth="1"/>
    <col min="517" max="518" width="12.7109375" customWidth="1"/>
    <col min="519" max="519" width="15.5703125" customWidth="1"/>
    <col min="520" max="520" width="17.7109375" customWidth="1"/>
    <col min="521" max="521" width="16.85546875" customWidth="1"/>
    <col min="769" max="769" width="17.5703125" bestFit="1" customWidth="1"/>
    <col min="770" max="770" width="12.85546875" customWidth="1"/>
    <col min="771" max="771" width="33.85546875" customWidth="1"/>
    <col min="772" max="772" width="14.7109375" customWidth="1"/>
    <col min="773" max="774" width="12.7109375" customWidth="1"/>
    <col min="775" max="775" width="15.5703125" customWidth="1"/>
    <col min="776" max="776" width="17.7109375" customWidth="1"/>
    <col min="777" max="777" width="16.85546875" customWidth="1"/>
    <col min="1025" max="1025" width="17.5703125" bestFit="1" customWidth="1"/>
    <col min="1026" max="1026" width="12.85546875" customWidth="1"/>
    <col min="1027" max="1027" width="33.85546875" customWidth="1"/>
    <col min="1028" max="1028" width="14.7109375" customWidth="1"/>
    <col min="1029" max="1030" width="12.7109375" customWidth="1"/>
    <col min="1031" max="1031" width="15.5703125" customWidth="1"/>
    <col min="1032" max="1032" width="17.7109375" customWidth="1"/>
    <col min="1033" max="1033" width="16.85546875" customWidth="1"/>
    <col min="1281" max="1281" width="17.5703125" bestFit="1" customWidth="1"/>
    <col min="1282" max="1282" width="12.85546875" customWidth="1"/>
    <col min="1283" max="1283" width="33.85546875" customWidth="1"/>
    <col min="1284" max="1284" width="14.7109375" customWidth="1"/>
    <col min="1285" max="1286" width="12.7109375" customWidth="1"/>
    <col min="1287" max="1287" width="15.5703125" customWidth="1"/>
    <col min="1288" max="1288" width="17.7109375" customWidth="1"/>
    <col min="1289" max="1289" width="16.85546875" customWidth="1"/>
    <col min="1537" max="1537" width="17.5703125" bestFit="1" customWidth="1"/>
    <col min="1538" max="1538" width="12.85546875" customWidth="1"/>
    <col min="1539" max="1539" width="33.85546875" customWidth="1"/>
    <col min="1540" max="1540" width="14.7109375" customWidth="1"/>
    <col min="1541" max="1542" width="12.7109375" customWidth="1"/>
    <col min="1543" max="1543" width="15.5703125" customWidth="1"/>
    <col min="1544" max="1544" width="17.7109375" customWidth="1"/>
    <col min="1545" max="1545" width="16.85546875" customWidth="1"/>
    <col min="1793" max="1793" width="17.5703125" bestFit="1" customWidth="1"/>
    <col min="1794" max="1794" width="12.85546875" customWidth="1"/>
    <col min="1795" max="1795" width="33.85546875" customWidth="1"/>
    <col min="1796" max="1796" width="14.7109375" customWidth="1"/>
    <col min="1797" max="1798" width="12.7109375" customWidth="1"/>
    <col min="1799" max="1799" width="15.5703125" customWidth="1"/>
    <col min="1800" max="1800" width="17.7109375" customWidth="1"/>
    <col min="1801" max="1801" width="16.85546875" customWidth="1"/>
    <col min="2049" max="2049" width="17.5703125" bestFit="1" customWidth="1"/>
    <col min="2050" max="2050" width="12.85546875" customWidth="1"/>
    <col min="2051" max="2051" width="33.85546875" customWidth="1"/>
    <col min="2052" max="2052" width="14.7109375" customWidth="1"/>
    <col min="2053" max="2054" width="12.7109375" customWidth="1"/>
    <col min="2055" max="2055" width="15.5703125" customWidth="1"/>
    <col min="2056" max="2056" width="17.7109375" customWidth="1"/>
    <col min="2057" max="2057" width="16.85546875" customWidth="1"/>
    <col min="2305" max="2305" width="17.5703125" bestFit="1" customWidth="1"/>
    <col min="2306" max="2306" width="12.85546875" customWidth="1"/>
    <col min="2307" max="2307" width="33.85546875" customWidth="1"/>
    <col min="2308" max="2308" width="14.7109375" customWidth="1"/>
    <col min="2309" max="2310" width="12.7109375" customWidth="1"/>
    <col min="2311" max="2311" width="15.5703125" customWidth="1"/>
    <col min="2312" max="2312" width="17.7109375" customWidth="1"/>
    <col min="2313" max="2313" width="16.85546875" customWidth="1"/>
    <col min="2561" max="2561" width="17.5703125" bestFit="1" customWidth="1"/>
    <col min="2562" max="2562" width="12.85546875" customWidth="1"/>
    <col min="2563" max="2563" width="33.85546875" customWidth="1"/>
    <col min="2564" max="2564" width="14.7109375" customWidth="1"/>
    <col min="2565" max="2566" width="12.7109375" customWidth="1"/>
    <col min="2567" max="2567" width="15.5703125" customWidth="1"/>
    <col min="2568" max="2568" width="17.7109375" customWidth="1"/>
    <col min="2569" max="2569" width="16.85546875" customWidth="1"/>
    <col min="2817" max="2817" width="17.5703125" bestFit="1" customWidth="1"/>
    <col min="2818" max="2818" width="12.85546875" customWidth="1"/>
    <col min="2819" max="2819" width="33.85546875" customWidth="1"/>
    <col min="2820" max="2820" width="14.7109375" customWidth="1"/>
    <col min="2821" max="2822" width="12.7109375" customWidth="1"/>
    <col min="2823" max="2823" width="15.5703125" customWidth="1"/>
    <col min="2824" max="2824" width="17.7109375" customWidth="1"/>
    <col min="2825" max="2825" width="16.85546875" customWidth="1"/>
    <col min="3073" max="3073" width="17.5703125" bestFit="1" customWidth="1"/>
    <col min="3074" max="3074" width="12.85546875" customWidth="1"/>
    <col min="3075" max="3075" width="33.85546875" customWidth="1"/>
    <col min="3076" max="3076" width="14.7109375" customWidth="1"/>
    <col min="3077" max="3078" width="12.7109375" customWidth="1"/>
    <col min="3079" max="3079" width="15.5703125" customWidth="1"/>
    <col min="3080" max="3080" width="17.7109375" customWidth="1"/>
    <col min="3081" max="3081" width="16.85546875" customWidth="1"/>
    <col min="3329" max="3329" width="17.5703125" bestFit="1" customWidth="1"/>
    <col min="3330" max="3330" width="12.85546875" customWidth="1"/>
    <col min="3331" max="3331" width="33.85546875" customWidth="1"/>
    <col min="3332" max="3332" width="14.7109375" customWidth="1"/>
    <col min="3333" max="3334" width="12.7109375" customWidth="1"/>
    <col min="3335" max="3335" width="15.5703125" customWidth="1"/>
    <col min="3336" max="3336" width="17.7109375" customWidth="1"/>
    <col min="3337" max="3337" width="16.85546875" customWidth="1"/>
    <col min="3585" max="3585" width="17.5703125" bestFit="1" customWidth="1"/>
    <col min="3586" max="3586" width="12.85546875" customWidth="1"/>
    <col min="3587" max="3587" width="33.85546875" customWidth="1"/>
    <col min="3588" max="3588" width="14.7109375" customWidth="1"/>
    <col min="3589" max="3590" width="12.7109375" customWidth="1"/>
    <col min="3591" max="3591" width="15.5703125" customWidth="1"/>
    <col min="3592" max="3592" width="17.7109375" customWidth="1"/>
    <col min="3593" max="3593" width="16.85546875" customWidth="1"/>
    <col min="3841" max="3841" width="17.5703125" bestFit="1" customWidth="1"/>
    <col min="3842" max="3842" width="12.85546875" customWidth="1"/>
    <col min="3843" max="3843" width="33.85546875" customWidth="1"/>
    <col min="3844" max="3844" width="14.7109375" customWidth="1"/>
    <col min="3845" max="3846" width="12.7109375" customWidth="1"/>
    <col min="3847" max="3847" width="15.5703125" customWidth="1"/>
    <col min="3848" max="3848" width="17.7109375" customWidth="1"/>
    <col min="3849" max="3849" width="16.85546875" customWidth="1"/>
    <col min="4097" max="4097" width="17.5703125" bestFit="1" customWidth="1"/>
    <col min="4098" max="4098" width="12.85546875" customWidth="1"/>
    <col min="4099" max="4099" width="33.85546875" customWidth="1"/>
    <col min="4100" max="4100" width="14.7109375" customWidth="1"/>
    <col min="4101" max="4102" width="12.7109375" customWidth="1"/>
    <col min="4103" max="4103" width="15.5703125" customWidth="1"/>
    <col min="4104" max="4104" width="17.7109375" customWidth="1"/>
    <col min="4105" max="4105" width="16.85546875" customWidth="1"/>
    <col min="4353" max="4353" width="17.5703125" bestFit="1" customWidth="1"/>
    <col min="4354" max="4354" width="12.85546875" customWidth="1"/>
    <col min="4355" max="4355" width="33.85546875" customWidth="1"/>
    <col min="4356" max="4356" width="14.7109375" customWidth="1"/>
    <col min="4357" max="4358" width="12.7109375" customWidth="1"/>
    <col min="4359" max="4359" width="15.5703125" customWidth="1"/>
    <col min="4360" max="4360" width="17.7109375" customWidth="1"/>
    <col min="4361" max="4361" width="16.85546875" customWidth="1"/>
    <col min="4609" max="4609" width="17.5703125" bestFit="1" customWidth="1"/>
    <col min="4610" max="4610" width="12.85546875" customWidth="1"/>
    <col min="4611" max="4611" width="33.85546875" customWidth="1"/>
    <col min="4612" max="4612" width="14.7109375" customWidth="1"/>
    <col min="4613" max="4614" width="12.7109375" customWidth="1"/>
    <col min="4615" max="4615" width="15.5703125" customWidth="1"/>
    <col min="4616" max="4616" width="17.7109375" customWidth="1"/>
    <col min="4617" max="4617" width="16.85546875" customWidth="1"/>
    <col min="4865" max="4865" width="17.5703125" bestFit="1" customWidth="1"/>
    <col min="4866" max="4866" width="12.85546875" customWidth="1"/>
    <col min="4867" max="4867" width="33.85546875" customWidth="1"/>
    <col min="4868" max="4868" width="14.7109375" customWidth="1"/>
    <col min="4869" max="4870" width="12.7109375" customWidth="1"/>
    <col min="4871" max="4871" width="15.5703125" customWidth="1"/>
    <col min="4872" max="4872" width="17.7109375" customWidth="1"/>
    <col min="4873" max="4873" width="16.85546875" customWidth="1"/>
    <col min="5121" max="5121" width="17.5703125" bestFit="1" customWidth="1"/>
    <col min="5122" max="5122" width="12.85546875" customWidth="1"/>
    <col min="5123" max="5123" width="33.85546875" customWidth="1"/>
    <col min="5124" max="5124" width="14.7109375" customWidth="1"/>
    <col min="5125" max="5126" width="12.7109375" customWidth="1"/>
    <col min="5127" max="5127" width="15.5703125" customWidth="1"/>
    <col min="5128" max="5128" width="17.7109375" customWidth="1"/>
    <col min="5129" max="5129" width="16.85546875" customWidth="1"/>
    <col min="5377" max="5377" width="17.5703125" bestFit="1" customWidth="1"/>
    <col min="5378" max="5378" width="12.85546875" customWidth="1"/>
    <col min="5379" max="5379" width="33.85546875" customWidth="1"/>
    <col min="5380" max="5380" width="14.7109375" customWidth="1"/>
    <col min="5381" max="5382" width="12.7109375" customWidth="1"/>
    <col min="5383" max="5383" width="15.5703125" customWidth="1"/>
    <col min="5384" max="5384" width="17.7109375" customWidth="1"/>
    <col min="5385" max="5385" width="16.85546875" customWidth="1"/>
    <col min="5633" max="5633" width="17.5703125" bestFit="1" customWidth="1"/>
    <col min="5634" max="5634" width="12.85546875" customWidth="1"/>
    <col min="5635" max="5635" width="33.85546875" customWidth="1"/>
    <col min="5636" max="5636" width="14.7109375" customWidth="1"/>
    <col min="5637" max="5638" width="12.7109375" customWidth="1"/>
    <col min="5639" max="5639" width="15.5703125" customWidth="1"/>
    <col min="5640" max="5640" width="17.7109375" customWidth="1"/>
    <col min="5641" max="5641" width="16.85546875" customWidth="1"/>
    <col min="5889" max="5889" width="17.5703125" bestFit="1" customWidth="1"/>
    <col min="5890" max="5890" width="12.85546875" customWidth="1"/>
    <col min="5891" max="5891" width="33.85546875" customWidth="1"/>
    <col min="5892" max="5892" width="14.7109375" customWidth="1"/>
    <col min="5893" max="5894" width="12.7109375" customWidth="1"/>
    <col min="5895" max="5895" width="15.5703125" customWidth="1"/>
    <col min="5896" max="5896" width="17.7109375" customWidth="1"/>
    <col min="5897" max="5897" width="16.85546875" customWidth="1"/>
    <col min="6145" max="6145" width="17.5703125" bestFit="1" customWidth="1"/>
    <col min="6146" max="6146" width="12.85546875" customWidth="1"/>
    <col min="6147" max="6147" width="33.85546875" customWidth="1"/>
    <col min="6148" max="6148" width="14.7109375" customWidth="1"/>
    <col min="6149" max="6150" width="12.7109375" customWidth="1"/>
    <col min="6151" max="6151" width="15.5703125" customWidth="1"/>
    <col min="6152" max="6152" width="17.7109375" customWidth="1"/>
    <col min="6153" max="6153" width="16.85546875" customWidth="1"/>
    <col min="6401" max="6401" width="17.5703125" bestFit="1" customWidth="1"/>
    <col min="6402" max="6402" width="12.85546875" customWidth="1"/>
    <col min="6403" max="6403" width="33.85546875" customWidth="1"/>
    <col min="6404" max="6404" width="14.7109375" customWidth="1"/>
    <col min="6405" max="6406" width="12.7109375" customWidth="1"/>
    <col min="6407" max="6407" width="15.5703125" customWidth="1"/>
    <col min="6408" max="6408" width="17.7109375" customWidth="1"/>
    <col min="6409" max="6409" width="16.85546875" customWidth="1"/>
    <col min="6657" max="6657" width="17.5703125" bestFit="1" customWidth="1"/>
    <col min="6658" max="6658" width="12.85546875" customWidth="1"/>
    <col min="6659" max="6659" width="33.85546875" customWidth="1"/>
    <col min="6660" max="6660" width="14.7109375" customWidth="1"/>
    <col min="6661" max="6662" width="12.7109375" customWidth="1"/>
    <col min="6663" max="6663" width="15.5703125" customWidth="1"/>
    <col min="6664" max="6664" width="17.7109375" customWidth="1"/>
    <col min="6665" max="6665" width="16.85546875" customWidth="1"/>
    <col min="6913" max="6913" width="17.5703125" bestFit="1" customWidth="1"/>
    <col min="6914" max="6914" width="12.85546875" customWidth="1"/>
    <col min="6915" max="6915" width="33.85546875" customWidth="1"/>
    <col min="6916" max="6916" width="14.7109375" customWidth="1"/>
    <col min="6917" max="6918" width="12.7109375" customWidth="1"/>
    <col min="6919" max="6919" width="15.5703125" customWidth="1"/>
    <col min="6920" max="6920" width="17.7109375" customWidth="1"/>
    <col min="6921" max="6921" width="16.85546875" customWidth="1"/>
    <col min="7169" max="7169" width="17.5703125" bestFit="1" customWidth="1"/>
    <col min="7170" max="7170" width="12.85546875" customWidth="1"/>
    <col min="7171" max="7171" width="33.85546875" customWidth="1"/>
    <col min="7172" max="7172" width="14.7109375" customWidth="1"/>
    <col min="7173" max="7174" width="12.7109375" customWidth="1"/>
    <col min="7175" max="7175" width="15.5703125" customWidth="1"/>
    <col min="7176" max="7176" width="17.7109375" customWidth="1"/>
    <col min="7177" max="7177" width="16.85546875" customWidth="1"/>
    <col min="7425" max="7425" width="17.5703125" bestFit="1" customWidth="1"/>
    <col min="7426" max="7426" width="12.85546875" customWidth="1"/>
    <col min="7427" max="7427" width="33.85546875" customWidth="1"/>
    <col min="7428" max="7428" width="14.7109375" customWidth="1"/>
    <col min="7429" max="7430" width="12.7109375" customWidth="1"/>
    <col min="7431" max="7431" width="15.5703125" customWidth="1"/>
    <col min="7432" max="7432" width="17.7109375" customWidth="1"/>
    <col min="7433" max="7433" width="16.85546875" customWidth="1"/>
    <col min="7681" max="7681" width="17.5703125" bestFit="1" customWidth="1"/>
    <col min="7682" max="7682" width="12.85546875" customWidth="1"/>
    <col min="7683" max="7683" width="33.85546875" customWidth="1"/>
    <col min="7684" max="7684" width="14.7109375" customWidth="1"/>
    <col min="7685" max="7686" width="12.7109375" customWidth="1"/>
    <col min="7687" max="7687" width="15.5703125" customWidth="1"/>
    <col min="7688" max="7688" width="17.7109375" customWidth="1"/>
    <col min="7689" max="7689" width="16.85546875" customWidth="1"/>
    <col min="7937" max="7937" width="17.5703125" bestFit="1" customWidth="1"/>
    <col min="7938" max="7938" width="12.85546875" customWidth="1"/>
    <col min="7939" max="7939" width="33.85546875" customWidth="1"/>
    <col min="7940" max="7940" width="14.7109375" customWidth="1"/>
    <col min="7941" max="7942" width="12.7109375" customWidth="1"/>
    <col min="7943" max="7943" width="15.5703125" customWidth="1"/>
    <col min="7944" max="7944" width="17.7109375" customWidth="1"/>
    <col min="7945" max="7945" width="16.85546875" customWidth="1"/>
    <col min="8193" max="8193" width="17.5703125" bestFit="1" customWidth="1"/>
    <col min="8194" max="8194" width="12.85546875" customWidth="1"/>
    <col min="8195" max="8195" width="33.85546875" customWidth="1"/>
    <col min="8196" max="8196" width="14.7109375" customWidth="1"/>
    <col min="8197" max="8198" width="12.7109375" customWidth="1"/>
    <col min="8199" max="8199" width="15.5703125" customWidth="1"/>
    <col min="8200" max="8200" width="17.7109375" customWidth="1"/>
    <col min="8201" max="8201" width="16.85546875" customWidth="1"/>
    <col min="8449" max="8449" width="17.5703125" bestFit="1" customWidth="1"/>
    <col min="8450" max="8450" width="12.85546875" customWidth="1"/>
    <col min="8451" max="8451" width="33.85546875" customWidth="1"/>
    <col min="8452" max="8452" width="14.7109375" customWidth="1"/>
    <col min="8453" max="8454" width="12.7109375" customWidth="1"/>
    <col min="8455" max="8455" width="15.5703125" customWidth="1"/>
    <col min="8456" max="8456" width="17.7109375" customWidth="1"/>
    <col min="8457" max="8457" width="16.85546875" customWidth="1"/>
    <col min="8705" max="8705" width="17.5703125" bestFit="1" customWidth="1"/>
    <col min="8706" max="8706" width="12.85546875" customWidth="1"/>
    <col min="8707" max="8707" width="33.85546875" customWidth="1"/>
    <col min="8708" max="8708" width="14.7109375" customWidth="1"/>
    <col min="8709" max="8710" width="12.7109375" customWidth="1"/>
    <col min="8711" max="8711" width="15.5703125" customWidth="1"/>
    <col min="8712" max="8712" width="17.7109375" customWidth="1"/>
    <col min="8713" max="8713" width="16.85546875" customWidth="1"/>
    <col min="8961" max="8961" width="17.5703125" bestFit="1" customWidth="1"/>
    <col min="8962" max="8962" width="12.85546875" customWidth="1"/>
    <col min="8963" max="8963" width="33.85546875" customWidth="1"/>
    <col min="8964" max="8964" width="14.7109375" customWidth="1"/>
    <col min="8965" max="8966" width="12.7109375" customWidth="1"/>
    <col min="8967" max="8967" width="15.5703125" customWidth="1"/>
    <col min="8968" max="8968" width="17.7109375" customWidth="1"/>
    <col min="8969" max="8969" width="16.85546875" customWidth="1"/>
    <col min="9217" max="9217" width="17.5703125" bestFit="1" customWidth="1"/>
    <col min="9218" max="9218" width="12.85546875" customWidth="1"/>
    <col min="9219" max="9219" width="33.85546875" customWidth="1"/>
    <col min="9220" max="9220" width="14.7109375" customWidth="1"/>
    <col min="9221" max="9222" width="12.7109375" customWidth="1"/>
    <col min="9223" max="9223" width="15.5703125" customWidth="1"/>
    <col min="9224" max="9224" width="17.7109375" customWidth="1"/>
    <col min="9225" max="9225" width="16.85546875" customWidth="1"/>
    <col min="9473" max="9473" width="17.5703125" bestFit="1" customWidth="1"/>
    <col min="9474" max="9474" width="12.85546875" customWidth="1"/>
    <col min="9475" max="9475" width="33.85546875" customWidth="1"/>
    <col min="9476" max="9476" width="14.7109375" customWidth="1"/>
    <col min="9477" max="9478" width="12.7109375" customWidth="1"/>
    <col min="9479" max="9479" width="15.5703125" customWidth="1"/>
    <col min="9480" max="9480" width="17.7109375" customWidth="1"/>
    <col min="9481" max="9481" width="16.85546875" customWidth="1"/>
    <col min="9729" max="9729" width="17.5703125" bestFit="1" customWidth="1"/>
    <col min="9730" max="9730" width="12.85546875" customWidth="1"/>
    <col min="9731" max="9731" width="33.85546875" customWidth="1"/>
    <col min="9732" max="9732" width="14.7109375" customWidth="1"/>
    <col min="9733" max="9734" width="12.7109375" customWidth="1"/>
    <col min="9735" max="9735" width="15.5703125" customWidth="1"/>
    <col min="9736" max="9736" width="17.7109375" customWidth="1"/>
    <col min="9737" max="9737" width="16.85546875" customWidth="1"/>
    <col min="9985" max="9985" width="17.5703125" bestFit="1" customWidth="1"/>
    <col min="9986" max="9986" width="12.85546875" customWidth="1"/>
    <col min="9987" max="9987" width="33.85546875" customWidth="1"/>
    <col min="9988" max="9988" width="14.7109375" customWidth="1"/>
    <col min="9989" max="9990" width="12.7109375" customWidth="1"/>
    <col min="9991" max="9991" width="15.5703125" customWidth="1"/>
    <col min="9992" max="9992" width="17.7109375" customWidth="1"/>
    <col min="9993" max="9993" width="16.85546875" customWidth="1"/>
    <col min="10241" max="10241" width="17.5703125" bestFit="1" customWidth="1"/>
    <col min="10242" max="10242" width="12.85546875" customWidth="1"/>
    <col min="10243" max="10243" width="33.85546875" customWidth="1"/>
    <col min="10244" max="10244" width="14.7109375" customWidth="1"/>
    <col min="10245" max="10246" width="12.7109375" customWidth="1"/>
    <col min="10247" max="10247" width="15.5703125" customWidth="1"/>
    <col min="10248" max="10248" width="17.7109375" customWidth="1"/>
    <col min="10249" max="10249" width="16.85546875" customWidth="1"/>
    <col min="10497" max="10497" width="17.5703125" bestFit="1" customWidth="1"/>
    <col min="10498" max="10498" width="12.85546875" customWidth="1"/>
    <col min="10499" max="10499" width="33.85546875" customWidth="1"/>
    <col min="10500" max="10500" width="14.7109375" customWidth="1"/>
    <col min="10501" max="10502" width="12.7109375" customWidth="1"/>
    <col min="10503" max="10503" width="15.5703125" customWidth="1"/>
    <col min="10504" max="10504" width="17.7109375" customWidth="1"/>
    <col min="10505" max="10505" width="16.85546875" customWidth="1"/>
    <col min="10753" max="10753" width="17.5703125" bestFit="1" customWidth="1"/>
    <col min="10754" max="10754" width="12.85546875" customWidth="1"/>
    <col min="10755" max="10755" width="33.85546875" customWidth="1"/>
    <col min="10756" max="10756" width="14.7109375" customWidth="1"/>
    <col min="10757" max="10758" width="12.7109375" customWidth="1"/>
    <col min="10759" max="10759" width="15.5703125" customWidth="1"/>
    <col min="10760" max="10760" width="17.7109375" customWidth="1"/>
    <col min="10761" max="10761" width="16.85546875" customWidth="1"/>
    <col min="11009" max="11009" width="17.5703125" bestFit="1" customWidth="1"/>
    <col min="11010" max="11010" width="12.85546875" customWidth="1"/>
    <col min="11011" max="11011" width="33.85546875" customWidth="1"/>
    <col min="11012" max="11012" width="14.7109375" customWidth="1"/>
    <col min="11013" max="11014" width="12.7109375" customWidth="1"/>
    <col min="11015" max="11015" width="15.5703125" customWidth="1"/>
    <col min="11016" max="11016" width="17.7109375" customWidth="1"/>
    <col min="11017" max="11017" width="16.85546875" customWidth="1"/>
    <col min="11265" max="11265" width="17.5703125" bestFit="1" customWidth="1"/>
    <col min="11266" max="11266" width="12.85546875" customWidth="1"/>
    <col min="11267" max="11267" width="33.85546875" customWidth="1"/>
    <col min="11268" max="11268" width="14.7109375" customWidth="1"/>
    <col min="11269" max="11270" width="12.7109375" customWidth="1"/>
    <col min="11271" max="11271" width="15.5703125" customWidth="1"/>
    <col min="11272" max="11272" width="17.7109375" customWidth="1"/>
    <col min="11273" max="11273" width="16.85546875" customWidth="1"/>
    <col min="11521" max="11521" width="17.5703125" bestFit="1" customWidth="1"/>
    <col min="11522" max="11522" width="12.85546875" customWidth="1"/>
    <col min="11523" max="11523" width="33.85546875" customWidth="1"/>
    <col min="11524" max="11524" width="14.7109375" customWidth="1"/>
    <col min="11525" max="11526" width="12.7109375" customWidth="1"/>
    <col min="11527" max="11527" width="15.5703125" customWidth="1"/>
    <col min="11528" max="11528" width="17.7109375" customWidth="1"/>
    <col min="11529" max="11529" width="16.85546875" customWidth="1"/>
    <col min="11777" max="11777" width="17.5703125" bestFit="1" customWidth="1"/>
    <col min="11778" max="11778" width="12.85546875" customWidth="1"/>
    <col min="11779" max="11779" width="33.85546875" customWidth="1"/>
    <col min="11780" max="11780" width="14.7109375" customWidth="1"/>
    <col min="11781" max="11782" width="12.7109375" customWidth="1"/>
    <col min="11783" max="11783" width="15.5703125" customWidth="1"/>
    <col min="11784" max="11784" width="17.7109375" customWidth="1"/>
    <col min="11785" max="11785" width="16.85546875" customWidth="1"/>
    <col min="12033" max="12033" width="17.5703125" bestFit="1" customWidth="1"/>
    <col min="12034" max="12034" width="12.85546875" customWidth="1"/>
    <col min="12035" max="12035" width="33.85546875" customWidth="1"/>
    <col min="12036" max="12036" width="14.7109375" customWidth="1"/>
    <col min="12037" max="12038" width="12.7109375" customWidth="1"/>
    <col min="12039" max="12039" width="15.5703125" customWidth="1"/>
    <col min="12040" max="12040" width="17.7109375" customWidth="1"/>
    <col min="12041" max="12041" width="16.85546875" customWidth="1"/>
    <col min="12289" max="12289" width="17.5703125" bestFit="1" customWidth="1"/>
    <col min="12290" max="12290" width="12.85546875" customWidth="1"/>
    <col min="12291" max="12291" width="33.85546875" customWidth="1"/>
    <col min="12292" max="12292" width="14.7109375" customWidth="1"/>
    <col min="12293" max="12294" width="12.7109375" customWidth="1"/>
    <col min="12295" max="12295" width="15.5703125" customWidth="1"/>
    <col min="12296" max="12296" width="17.7109375" customWidth="1"/>
    <col min="12297" max="12297" width="16.85546875" customWidth="1"/>
    <col min="12545" max="12545" width="17.5703125" bestFit="1" customWidth="1"/>
    <col min="12546" max="12546" width="12.85546875" customWidth="1"/>
    <col min="12547" max="12547" width="33.85546875" customWidth="1"/>
    <col min="12548" max="12548" width="14.7109375" customWidth="1"/>
    <col min="12549" max="12550" width="12.7109375" customWidth="1"/>
    <col min="12551" max="12551" width="15.5703125" customWidth="1"/>
    <col min="12552" max="12552" width="17.7109375" customWidth="1"/>
    <col min="12553" max="12553" width="16.85546875" customWidth="1"/>
    <col min="12801" max="12801" width="17.5703125" bestFit="1" customWidth="1"/>
    <col min="12802" max="12802" width="12.85546875" customWidth="1"/>
    <col min="12803" max="12803" width="33.85546875" customWidth="1"/>
    <col min="12804" max="12804" width="14.7109375" customWidth="1"/>
    <col min="12805" max="12806" width="12.7109375" customWidth="1"/>
    <col min="12807" max="12807" width="15.5703125" customWidth="1"/>
    <col min="12808" max="12808" width="17.7109375" customWidth="1"/>
    <col min="12809" max="12809" width="16.85546875" customWidth="1"/>
    <col min="13057" max="13057" width="17.5703125" bestFit="1" customWidth="1"/>
    <col min="13058" max="13058" width="12.85546875" customWidth="1"/>
    <col min="13059" max="13059" width="33.85546875" customWidth="1"/>
    <col min="13060" max="13060" width="14.7109375" customWidth="1"/>
    <col min="13061" max="13062" width="12.7109375" customWidth="1"/>
    <col min="13063" max="13063" width="15.5703125" customWidth="1"/>
    <col min="13064" max="13064" width="17.7109375" customWidth="1"/>
    <col min="13065" max="13065" width="16.85546875" customWidth="1"/>
    <col min="13313" max="13313" width="17.5703125" bestFit="1" customWidth="1"/>
    <col min="13314" max="13314" width="12.85546875" customWidth="1"/>
    <col min="13315" max="13315" width="33.85546875" customWidth="1"/>
    <col min="13316" max="13316" width="14.7109375" customWidth="1"/>
    <col min="13317" max="13318" width="12.7109375" customWidth="1"/>
    <col min="13319" max="13319" width="15.5703125" customWidth="1"/>
    <col min="13320" max="13320" width="17.7109375" customWidth="1"/>
    <col min="13321" max="13321" width="16.85546875" customWidth="1"/>
    <col min="13569" max="13569" width="17.5703125" bestFit="1" customWidth="1"/>
    <col min="13570" max="13570" width="12.85546875" customWidth="1"/>
    <col min="13571" max="13571" width="33.85546875" customWidth="1"/>
    <col min="13572" max="13572" width="14.7109375" customWidth="1"/>
    <col min="13573" max="13574" width="12.7109375" customWidth="1"/>
    <col min="13575" max="13575" width="15.5703125" customWidth="1"/>
    <col min="13576" max="13576" width="17.7109375" customWidth="1"/>
    <col min="13577" max="13577" width="16.85546875" customWidth="1"/>
    <col min="13825" max="13825" width="17.5703125" bestFit="1" customWidth="1"/>
    <col min="13826" max="13826" width="12.85546875" customWidth="1"/>
    <col min="13827" max="13827" width="33.85546875" customWidth="1"/>
    <col min="13828" max="13828" width="14.7109375" customWidth="1"/>
    <col min="13829" max="13830" width="12.7109375" customWidth="1"/>
    <col min="13831" max="13831" width="15.5703125" customWidth="1"/>
    <col min="13832" max="13832" width="17.7109375" customWidth="1"/>
    <col min="13833" max="13833" width="16.85546875" customWidth="1"/>
    <col min="14081" max="14081" width="17.5703125" bestFit="1" customWidth="1"/>
    <col min="14082" max="14082" width="12.85546875" customWidth="1"/>
    <col min="14083" max="14083" width="33.85546875" customWidth="1"/>
    <col min="14084" max="14084" width="14.7109375" customWidth="1"/>
    <col min="14085" max="14086" width="12.7109375" customWidth="1"/>
    <col min="14087" max="14087" width="15.5703125" customWidth="1"/>
    <col min="14088" max="14088" width="17.7109375" customWidth="1"/>
    <col min="14089" max="14089" width="16.85546875" customWidth="1"/>
    <col min="14337" max="14337" width="17.5703125" bestFit="1" customWidth="1"/>
    <col min="14338" max="14338" width="12.85546875" customWidth="1"/>
    <col min="14339" max="14339" width="33.85546875" customWidth="1"/>
    <col min="14340" max="14340" width="14.7109375" customWidth="1"/>
    <col min="14341" max="14342" width="12.7109375" customWidth="1"/>
    <col min="14343" max="14343" width="15.5703125" customWidth="1"/>
    <col min="14344" max="14344" width="17.7109375" customWidth="1"/>
    <col min="14345" max="14345" width="16.85546875" customWidth="1"/>
    <col min="14593" max="14593" width="17.5703125" bestFit="1" customWidth="1"/>
    <col min="14594" max="14594" width="12.85546875" customWidth="1"/>
    <col min="14595" max="14595" width="33.85546875" customWidth="1"/>
    <col min="14596" max="14596" width="14.7109375" customWidth="1"/>
    <col min="14597" max="14598" width="12.7109375" customWidth="1"/>
    <col min="14599" max="14599" width="15.5703125" customWidth="1"/>
    <col min="14600" max="14600" width="17.7109375" customWidth="1"/>
    <col min="14601" max="14601" width="16.85546875" customWidth="1"/>
    <col min="14849" max="14849" width="17.5703125" bestFit="1" customWidth="1"/>
    <col min="14850" max="14850" width="12.85546875" customWidth="1"/>
    <col min="14851" max="14851" width="33.85546875" customWidth="1"/>
    <col min="14852" max="14852" width="14.7109375" customWidth="1"/>
    <col min="14853" max="14854" width="12.7109375" customWidth="1"/>
    <col min="14855" max="14855" width="15.5703125" customWidth="1"/>
    <col min="14856" max="14856" width="17.7109375" customWidth="1"/>
    <col min="14857" max="14857" width="16.85546875" customWidth="1"/>
    <col min="15105" max="15105" width="17.5703125" bestFit="1" customWidth="1"/>
    <col min="15106" max="15106" width="12.85546875" customWidth="1"/>
    <col min="15107" max="15107" width="33.85546875" customWidth="1"/>
    <col min="15108" max="15108" width="14.7109375" customWidth="1"/>
    <col min="15109" max="15110" width="12.7109375" customWidth="1"/>
    <col min="15111" max="15111" width="15.5703125" customWidth="1"/>
    <col min="15112" max="15112" width="17.7109375" customWidth="1"/>
    <col min="15113" max="15113" width="16.85546875" customWidth="1"/>
    <col min="15361" max="15361" width="17.5703125" bestFit="1" customWidth="1"/>
    <col min="15362" max="15362" width="12.85546875" customWidth="1"/>
    <col min="15363" max="15363" width="33.85546875" customWidth="1"/>
    <col min="15364" max="15364" width="14.7109375" customWidth="1"/>
    <col min="15365" max="15366" width="12.7109375" customWidth="1"/>
    <col min="15367" max="15367" width="15.5703125" customWidth="1"/>
    <col min="15368" max="15368" width="17.7109375" customWidth="1"/>
    <col min="15369" max="15369" width="16.85546875" customWidth="1"/>
    <col min="15617" max="15617" width="17.5703125" bestFit="1" customWidth="1"/>
    <col min="15618" max="15618" width="12.85546875" customWidth="1"/>
    <col min="15619" max="15619" width="33.85546875" customWidth="1"/>
    <col min="15620" max="15620" width="14.7109375" customWidth="1"/>
    <col min="15621" max="15622" width="12.7109375" customWidth="1"/>
    <col min="15623" max="15623" width="15.5703125" customWidth="1"/>
    <col min="15624" max="15624" width="17.7109375" customWidth="1"/>
    <col min="15625" max="15625" width="16.85546875" customWidth="1"/>
    <col min="15873" max="15873" width="17.5703125" bestFit="1" customWidth="1"/>
    <col min="15874" max="15874" width="12.85546875" customWidth="1"/>
    <col min="15875" max="15875" width="33.85546875" customWidth="1"/>
    <col min="15876" max="15876" width="14.7109375" customWidth="1"/>
    <col min="15877" max="15878" width="12.7109375" customWidth="1"/>
    <col min="15879" max="15879" width="15.5703125" customWidth="1"/>
    <col min="15880" max="15880" width="17.7109375" customWidth="1"/>
    <col min="15881" max="15881" width="16.85546875" customWidth="1"/>
    <col min="16129" max="16129" width="17.5703125" bestFit="1" customWidth="1"/>
    <col min="16130" max="16130" width="12.85546875" customWidth="1"/>
    <col min="16131" max="16131" width="33.85546875" customWidth="1"/>
    <col min="16132" max="16132" width="14.7109375" customWidth="1"/>
    <col min="16133" max="16134" width="12.7109375" customWidth="1"/>
    <col min="16135" max="16135" width="15.5703125" customWidth="1"/>
    <col min="16136" max="16136" width="17.7109375" customWidth="1"/>
    <col min="16137" max="16137" width="16.85546875" customWidth="1"/>
  </cols>
  <sheetData>
    <row r="1" spans="1:9" s="160" customFormat="1" ht="18" x14ac:dyDescent="0.25">
      <c r="A1" s="521" t="s">
        <v>312</v>
      </c>
      <c r="B1" s="521"/>
      <c r="C1" s="521"/>
      <c r="D1" s="521"/>
      <c r="E1" s="521"/>
      <c r="F1" s="521"/>
      <c r="G1" s="521"/>
      <c r="H1" s="521"/>
      <c r="I1" s="521"/>
    </row>
    <row r="2" spans="1:9" ht="75" x14ac:dyDescent="0.2">
      <c r="A2" s="161" t="s">
        <v>313</v>
      </c>
      <c r="B2" s="162" t="s">
        <v>0</v>
      </c>
      <c r="C2" s="163" t="s">
        <v>1</v>
      </c>
      <c r="D2" s="163" t="s">
        <v>166</v>
      </c>
      <c r="E2" s="163" t="s">
        <v>167</v>
      </c>
      <c r="F2" s="163" t="s">
        <v>168</v>
      </c>
      <c r="G2" s="163" t="s">
        <v>169</v>
      </c>
      <c r="H2" s="164" t="s">
        <v>170</v>
      </c>
      <c r="I2" s="164" t="s">
        <v>171</v>
      </c>
    </row>
    <row r="3" spans="1:9" ht="51" x14ac:dyDescent="0.2">
      <c r="A3" s="2" t="s">
        <v>314</v>
      </c>
      <c r="B3" s="2" t="s">
        <v>315</v>
      </c>
      <c r="C3" s="300">
        <v>2112400</v>
      </c>
      <c r="D3" s="165">
        <v>1056200</v>
      </c>
      <c r="E3" s="166" t="s">
        <v>316</v>
      </c>
      <c r="F3" s="167">
        <v>1056200</v>
      </c>
      <c r="G3" s="168">
        <f>D3-F3</f>
        <v>0</v>
      </c>
      <c r="H3" s="2" t="s">
        <v>343</v>
      </c>
      <c r="I3" s="169">
        <v>41744</v>
      </c>
    </row>
    <row r="4" spans="1:9" ht="38.25" x14ac:dyDescent="0.2">
      <c r="A4" s="2" t="s">
        <v>317</v>
      </c>
      <c r="B4" s="2" t="s">
        <v>318</v>
      </c>
      <c r="C4" s="168">
        <v>6741980</v>
      </c>
      <c r="D4" s="165">
        <v>3000000</v>
      </c>
      <c r="E4" s="166" t="s">
        <v>316</v>
      </c>
      <c r="F4" s="167">
        <v>3000000</v>
      </c>
      <c r="G4" s="168">
        <v>0</v>
      </c>
      <c r="H4" s="11" t="s">
        <v>766</v>
      </c>
      <c r="I4" s="169">
        <v>42401</v>
      </c>
    </row>
    <row r="5" spans="1:9" ht="38.25" x14ac:dyDescent="0.2">
      <c r="A5" s="2" t="s">
        <v>319</v>
      </c>
      <c r="B5" s="2" t="s">
        <v>320</v>
      </c>
      <c r="C5" s="168">
        <v>8237468</v>
      </c>
      <c r="D5" s="165">
        <v>3000000</v>
      </c>
      <c r="E5" s="2" t="s">
        <v>321</v>
      </c>
      <c r="F5" s="167">
        <v>3000000</v>
      </c>
      <c r="G5" s="168">
        <v>0</v>
      </c>
      <c r="H5" s="467" t="s">
        <v>343</v>
      </c>
      <c r="I5" s="169">
        <v>42257</v>
      </c>
    </row>
    <row r="6" spans="1:9" ht="25.5" x14ac:dyDescent="0.2">
      <c r="A6" s="2" t="s">
        <v>322</v>
      </c>
      <c r="B6" s="2" t="s">
        <v>323</v>
      </c>
      <c r="C6" s="168">
        <v>2032300</v>
      </c>
      <c r="D6" s="165">
        <v>443800</v>
      </c>
      <c r="E6" s="166" t="s">
        <v>316</v>
      </c>
      <c r="F6" s="167">
        <v>329518.24</v>
      </c>
      <c r="G6" s="168">
        <v>114282</v>
      </c>
      <c r="H6" s="11" t="s">
        <v>767</v>
      </c>
      <c r="I6" s="169">
        <v>42399</v>
      </c>
    </row>
    <row r="7" spans="1:9" x14ac:dyDescent="0.2">
      <c r="A7" s="170"/>
      <c r="B7" s="170"/>
      <c r="C7" s="171">
        <f>SUM(C3:C6)</f>
        <v>19124148</v>
      </c>
      <c r="D7" s="172">
        <f>SUM(D3:D6)</f>
        <v>7500000</v>
      </c>
      <c r="E7" s="170"/>
      <c r="F7" s="172">
        <f>SUM(F3:F6)</f>
        <v>7385718.2400000002</v>
      </c>
      <c r="G7" s="172">
        <f>SUM(G3:G6)</f>
        <v>114282</v>
      </c>
      <c r="H7" s="170"/>
      <c r="I7" s="170"/>
    </row>
    <row r="10" spans="1:9" x14ac:dyDescent="0.2">
      <c r="H10" s="173"/>
    </row>
    <row r="22" spans="1:1" x14ac:dyDescent="0.2">
      <c r="A22" s="174"/>
    </row>
  </sheetData>
  <mergeCells count="1">
    <mergeCell ref="A1:I1"/>
  </mergeCells>
  <pageMargins left="0.7" right="0.7" top="0.75" bottom="0.75" header="0.3" footer="0.3"/>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sqref="A1:H1"/>
    </sheetView>
  </sheetViews>
  <sheetFormatPr defaultRowHeight="12.75" x14ac:dyDescent="0.2"/>
  <cols>
    <col min="1" max="1" width="58.85546875" customWidth="1"/>
    <col min="2" max="2" width="16.85546875" bestFit="1" customWidth="1"/>
    <col min="3" max="3" width="16.42578125" customWidth="1"/>
    <col min="4" max="4" width="23.42578125" customWidth="1"/>
    <col min="5" max="5" width="17.5703125" bestFit="1" customWidth="1"/>
    <col min="6" max="6" width="16.28515625" bestFit="1" customWidth="1"/>
    <col min="7" max="7" width="32.42578125" customWidth="1"/>
    <col min="8" max="8" width="17.42578125" customWidth="1"/>
    <col min="9" max="9" width="14" bestFit="1" customWidth="1"/>
  </cols>
  <sheetData>
    <row r="1" spans="1:9" ht="18" x14ac:dyDescent="0.2">
      <c r="A1" s="524" t="s">
        <v>437</v>
      </c>
      <c r="B1" s="524"/>
      <c r="C1" s="524"/>
      <c r="D1" s="524"/>
      <c r="E1" s="524"/>
      <c r="F1" s="524"/>
      <c r="G1" s="524"/>
      <c r="H1" s="524"/>
    </row>
    <row r="2" spans="1:9" ht="75" x14ac:dyDescent="0.2">
      <c r="A2" s="222" t="s">
        <v>0</v>
      </c>
      <c r="B2" s="223" t="s">
        <v>1</v>
      </c>
      <c r="C2" s="223" t="s">
        <v>166</v>
      </c>
      <c r="D2" s="223" t="s">
        <v>167</v>
      </c>
      <c r="E2" s="223" t="s">
        <v>168</v>
      </c>
      <c r="F2" s="223" t="s">
        <v>438</v>
      </c>
      <c r="G2" s="224" t="s">
        <v>170</v>
      </c>
      <c r="H2" s="224" t="s">
        <v>171</v>
      </c>
    </row>
    <row r="3" spans="1:9" ht="30" x14ac:dyDescent="0.2">
      <c r="A3" s="301" t="s">
        <v>439</v>
      </c>
      <c r="B3" s="225">
        <v>500000</v>
      </c>
      <c r="C3" s="302">
        <v>499935</v>
      </c>
      <c r="D3" s="303" t="s">
        <v>308</v>
      </c>
      <c r="E3" s="304">
        <v>499935</v>
      </c>
      <c r="F3" s="305">
        <f>C3-E3</f>
        <v>0</v>
      </c>
      <c r="G3" s="306" t="s">
        <v>185</v>
      </c>
      <c r="H3" s="307">
        <v>40644</v>
      </c>
    </row>
    <row r="4" spans="1:9" ht="45" x14ac:dyDescent="0.2">
      <c r="A4" s="301" t="s">
        <v>440</v>
      </c>
      <c r="B4" s="225">
        <v>2000000</v>
      </c>
      <c r="C4" s="302">
        <v>1016039.5</v>
      </c>
      <c r="D4" s="303" t="s">
        <v>441</v>
      </c>
      <c r="E4" s="304">
        <v>1016039.5</v>
      </c>
      <c r="F4" s="305">
        <f>C4-E4</f>
        <v>0</v>
      </c>
      <c r="G4" s="306" t="s">
        <v>185</v>
      </c>
      <c r="H4" s="307">
        <v>41648</v>
      </c>
    </row>
    <row r="5" spans="1:9" ht="75" x14ac:dyDescent="0.2">
      <c r="A5" s="301" t="s">
        <v>786</v>
      </c>
      <c r="B5" s="225">
        <v>6213000</v>
      </c>
      <c r="C5" s="302">
        <v>1242600</v>
      </c>
      <c r="D5" s="303" t="s">
        <v>443</v>
      </c>
      <c r="E5" s="304">
        <v>532186.11</v>
      </c>
      <c r="F5" s="474">
        <f>C5-E5</f>
        <v>710413.89</v>
      </c>
      <c r="G5" s="306" t="s">
        <v>442</v>
      </c>
      <c r="H5" s="307">
        <v>42917</v>
      </c>
      <c r="I5" s="475"/>
    </row>
    <row r="6" spans="1:9" ht="30" x14ac:dyDescent="0.2">
      <c r="A6" s="301" t="s">
        <v>787</v>
      </c>
      <c r="B6" s="225">
        <v>40000</v>
      </c>
      <c r="C6" s="302">
        <v>15000</v>
      </c>
      <c r="D6" s="303" t="s">
        <v>788</v>
      </c>
      <c r="E6" s="304">
        <v>14233.1</v>
      </c>
      <c r="F6" s="476">
        <v>0</v>
      </c>
      <c r="G6" s="306" t="s">
        <v>185</v>
      </c>
      <c r="H6" s="307">
        <v>42309</v>
      </c>
    </row>
    <row r="7" spans="1:9" ht="75" x14ac:dyDescent="0.2">
      <c r="A7" s="301" t="s">
        <v>789</v>
      </c>
      <c r="B7" s="225">
        <v>125000000</v>
      </c>
      <c r="C7" s="302">
        <f>3000000-SUM(C3:C6)</f>
        <v>226425.5</v>
      </c>
      <c r="D7" s="303" t="s">
        <v>443</v>
      </c>
      <c r="E7" s="304">
        <v>0</v>
      </c>
      <c r="F7" s="308">
        <f>C7-E7+C6-E6</f>
        <v>227192.4</v>
      </c>
      <c r="G7" s="306" t="s">
        <v>647</v>
      </c>
      <c r="H7" s="307" t="s">
        <v>790</v>
      </c>
    </row>
    <row r="8" spans="1:9" ht="15" x14ac:dyDescent="0.2">
      <c r="A8" s="226" t="s">
        <v>223</v>
      </c>
      <c r="B8" s="227">
        <f>SUM(B3:B7)</f>
        <v>133753000</v>
      </c>
      <c r="C8" s="477">
        <f>SUM(C3:C7)</f>
        <v>3000000</v>
      </c>
      <c r="D8" s="223"/>
      <c r="E8" s="309">
        <f>SUM(E3:E7)</f>
        <v>2062393.71</v>
      </c>
      <c r="F8" s="309">
        <f>SUM(F3:F7)</f>
        <v>937606.29</v>
      </c>
      <c r="G8" s="229"/>
      <c r="H8" s="224"/>
      <c r="I8" s="475"/>
    </row>
    <row r="9" spans="1:9" ht="15" x14ac:dyDescent="0.2">
      <c r="A9" s="230"/>
      <c r="B9" s="231"/>
      <c r="C9" s="231"/>
      <c r="D9" s="232"/>
      <c r="E9" s="233"/>
      <c r="F9" s="233"/>
      <c r="G9" s="234"/>
      <c r="H9" s="235"/>
    </row>
    <row r="10" spans="1:9" ht="18" x14ac:dyDescent="0.2">
      <c r="A10" s="524" t="s">
        <v>444</v>
      </c>
      <c r="B10" s="524"/>
      <c r="C10" s="524"/>
      <c r="D10" s="524"/>
      <c r="E10" s="524"/>
      <c r="F10" s="524"/>
      <c r="G10" s="524"/>
      <c r="H10" s="524"/>
    </row>
    <row r="11" spans="1:9" ht="75" x14ac:dyDescent="0.2">
      <c r="A11" s="222" t="s">
        <v>0</v>
      </c>
      <c r="B11" s="223" t="s">
        <v>1</v>
      </c>
      <c r="C11" s="223" t="s">
        <v>166</v>
      </c>
      <c r="D11" s="223" t="s">
        <v>167</v>
      </c>
      <c r="E11" s="223" t="s">
        <v>168</v>
      </c>
      <c r="F11" s="223" t="s">
        <v>438</v>
      </c>
      <c r="G11" s="224" t="s">
        <v>170</v>
      </c>
      <c r="H11" s="224" t="s">
        <v>171</v>
      </c>
    </row>
    <row r="12" spans="1:9" ht="75" x14ac:dyDescent="0.2">
      <c r="A12" s="310" t="s">
        <v>789</v>
      </c>
      <c r="B12" s="236">
        <v>125000000</v>
      </c>
      <c r="C12" s="311">
        <v>2000000</v>
      </c>
      <c r="D12" s="312" t="s">
        <v>443</v>
      </c>
      <c r="E12" s="237">
        <v>0</v>
      </c>
      <c r="F12" s="313">
        <v>2000000</v>
      </c>
      <c r="G12" s="314" t="s">
        <v>647</v>
      </c>
      <c r="H12" s="315" t="s">
        <v>790</v>
      </c>
    </row>
    <row r="13" spans="1:9" ht="15" x14ac:dyDescent="0.2">
      <c r="A13" s="226" t="s">
        <v>223</v>
      </c>
      <c r="B13" s="227">
        <f>B12</f>
        <v>125000000</v>
      </c>
      <c r="C13" s="227">
        <v>2000000</v>
      </c>
      <c r="D13" s="223"/>
      <c r="E13" s="228">
        <v>0</v>
      </c>
      <c r="F13" s="228">
        <v>2000000</v>
      </c>
      <c r="G13" s="229"/>
      <c r="H13" s="224"/>
    </row>
  </sheetData>
  <mergeCells count="2">
    <mergeCell ref="A1:H1"/>
    <mergeCell ref="A10:H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19"/>
  <sheetViews>
    <sheetView zoomScale="60" zoomScaleNormal="60" workbookViewId="0">
      <selection activeCell="B4" sqref="B4"/>
    </sheetView>
  </sheetViews>
  <sheetFormatPr defaultRowHeight="12.75" x14ac:dyDescent="0.2"/>
  <cols>
    <col min="1" max="1" width="10.28515625" customWidth="1"/>
    <col min="2" max="2" width="30.85546875" customWidth="1"/>
    <col min="3" max="3" width="82.42578125" customWidth="1"/>
    <col min="4" max="4" width="18.28515625" customWidth="1"/>
    <col min="5" max="5" width="19.7109375" customWidth="1"/>
    <col min="6" max="6" width="24.5703125" customWidth="1"/>
    <col min="7" max="7" width="25.140625" bestFit="1" customWidth="1"/>
    <col min="8" max="8" width="18" bestFit="1" customWidth="1"/>
    <col min="9" max="9" width="21.5703125" bestFit="1" customWidth="1"/>
    <col min="10" max="10" width="17" customWidth="1"/>
    <col min="11" max="11" width="13" customWidth="1"/>
  </cols>
  <sheetData>
    <row r="2" spans="1:11" ht="15.6" customHeight="1" x14ac:dyDescent="0.2">
      <c r="A2" s="530" t="s">
        <v>698</v>
      </c>
      <c r="B2" s="530"/>
      <c r="C2" s="530"/>
      <c r="D2" s="530"/>
      <c r="E2" s="530"/>
      <c r="F2" s="530"/>
      <c r="G2" s="530"/>
      <c r="H2" s="530"/>
      <c r="I2" s="530"/>
      <c r="J2" s="530"/>
      <c r="K2" s="530"/>
    </row>
    <row r="3" spans="1:11" ht="78.75" x14ac:dyDescent="0.25">
      <c r="A3" s="97" t="s">
        <v>238</v>
      </c>
      <c r="B3" s="95" t="s">
        <v>237</v>
      </c>
      <c r="C3" s="95" t="s">
        <v>0</v>
      </c>
      <c r="D3" s="96" t="s">
        <v>1</v>
      </c>
      <c r="E3" s="96" t="s">
        <v>166</v>
      </c>
      <c r="F3" s="154" t="s">
        <v>167</v>
      </c>
      <c r="G3" s="96" t="s">
        <v>236</v>
      </c>
      <c r="H3" s="96" t="s">
        <v>235</v>
      </c>
      <c r="I3" s="95" t="s">
        <v>170</v>
      </c>
      <c r="J3" s="95" t="s">
        <v>171</v>
      </c>
      <c r="K3" s="95" t="s">
        <v>234</v>
      </c>
    </row>
    <row r="4" spans="1:11" ht="15.75" x14ac:dyDescent="0.2">
      <c r="A4" s="316" t="s">
        <v>699</v>
      </c>
      <c r="B4" s="72" t="s">
        <v>309</v>
      </c>
      <c r="C4" s="317" t="s">
        <v>700</v>
      </c>
      <c r="D4" s="271">
        <v>645846</v>
      </c>
      <c r="E4" s="318">
        <v>480000</v>
      </c>
      <c r="F4" s="261" t="s">
        <v>311</v>
      </c>
      <c r="G4" s="272"/>
      <c r="H4" s="271">
        <f>E4-G4</f>
        <v>480000</v>
      </c>
      <c r="I4" s="87" t="s">
        <v>701</v>
      </c>
      <c r="J4" s="90" t="s">
        <v>702</v>
      </c>
      <c r="K4" s="273"/>
    </row>
    <row r="5" spans="1:11" ht="25.5" x14ac:dyDescent="0.2">
      <c r="A5" s="316" t="s">
        <v>703</v>
      </c>
      <c r="B5" s="72" t="s">
        <v>208</v>
      </c>
      <c r="C5" s="317" t="s">
        <v>704</v>
      </c>
      <c r="D5" s="271">
        <v>1050000</v>
      </c>
      <c r="E5" s="318">
        <v>369007</v>
      </c>
      <c r="F5" s="261" t="s">
        <v>705</v>
      </c>
      <c r="G5" s="272"/>
      <c r="H5" s="271">
        <f t="shared" ref="H5:H8" si="0">E5-G5</f>
        <v>369007</v>
      </c>
      <c r="I5" s="87" t="s">
        <v>701</v>
      </c>
      <c r="J5" s="90" t="s">
        <v>702</v>
      </c>
      <c r="K5" s="273"/>
    </row>
    <row r="6" spans="1:11" ht="30" x14ac:dyDescent="0.2">
      <c r="A6" s="316" t="s">
        <v>706</v>
      </c>
      <c r="B6" s="72" t="s">
        <v>215</v>
      </c>
      <c r="C6" s="317" t="s">
        <v>707</v>
      </c>
      <c r="D6" s="271">
        <v>17741</v>
      </c>
      <c r="E6" s="318">
        <f>110800-20143-69658-6794-12</f>
        <v>14193</v>
      </c>
      <c r="F6" s="261" t="s">
        <v>311</v>
      </c>
      <c r="G6" s="319">
        <f>42133-20143-21990</f>
        <v>0</v>
      </c>
      <c r="H6" s="271">
        <f t="shared" si="0"/>
        <v>14193</v>
      </c>
      <c r="I6" s="87" t="s">
        <v>701</v>
      </c>
      <c r="J6" s="90" t="s">
        <v>702</v>
      </c>
      <c r="K6" s="273"/>
    </row>
    <row r="7" spans="1:11" ht="15.75" x14ac:dyDescent="0.2">
      <c r="A7" s="316" t="s">
        <v>708</v>
      </c>
      <c r="B7" s="72" t="s">
        <v>709</v>
      </c>
      <c r="C7" s="317" t="s">
        <v>710</v>
      </c>
      <c r="D7" s="271">
        <v>763390</v>
      </c>
      <c r="E7" s="318">
        <v>600000</v>
      </c>
      <c r="F7" s="261" t="s">
        <v>311</v>
      </c>
      <c r="G7" s="272"/>
      <c r="H7" s="271">
        <f t="shared" si="0"/>
        <v>600000</v>
      </c>
      <c r="I7" s="87" t="s">
        <v>701</v>
      </c>
      <c r="J7" s="90" t="s">
        <v>702</v>
      </c>
      <c r="K7" s="273"/>
    </row>
    <row r="8" spans="1:11" ht="15.75" x14ac:dyDescent="0.2">
      <c r="A8" s="316" t="s">
        <v>711</v>
      </c>
      <c r="B8" s="72" t="s">
        <v>712</v>
      </c>
      <c r="C8" s="317" t="s">
        <v>713</v>
      </c>
      <c r="D8" s="271">
        <v>46000</v>
      </c>
      <c r="E8" s="318">
        <f>84000-47200</f>
        <v>36800</v>
      </c>
      <c r="F8" s="261" t="s">
        <v>311</v>
      </c>
      <c r="G8" s="319">
        <f>49340-47200</f>
        <v>2140</v>
      </c>
      <c r="H8" s="271">
        <f t="shared" si="0"/>
        <v>34660</v>
      </c>
      <c r="I8" s="87" t="s">
        <v>701</v>
      </c>
      <c r="J8" s="90" t="s">
        <v>702</v>
      </c>
      <c r="K8" s="273"/>
    </row>
    <row r="9" spans="1:11" ht="15.75" x14ac:dyDescent="0.25">
      <c r="A9" s="151"/>
      <c r="B9" s="111"/>
      <c r="C9" s="78" t="s">
        <v>225</v>
      </c>
      <c r="D9" s="136"/>
      <c r="E9" s="76">
        <f>1500000</f>
        <v>1500000</v>
      </c>
      <c r="F9" s="275"/>
      <c r="G9" s="151"/>
      <c r="H9" s="276">
        <f>SUM(H4:H8)</f>
        <v>1497860</v>
      </c>
      <c r="I9" s="150"/>
      <c r="J9" s="149"/>
      <c r="K9" s="148"/>
    </row>
    <row r="10" spans="1:11" ht="15.6" customHeight="1" x14ac:dyDescent="0.2">
      <c r="A10" s="399"/>
      <c r="B10" s="400"/>
      <c r="C10" s="401"/>
      <c r="D10" s="402"/>
      <c r="E10" s="402"/>
      <c r="F10" s="403"/>
      <c r="G10" s="402"/>
      <c r="H10" s="402"/>
      <c r="I10" s="404"/>
      <c r="J10" s="405"/>
      <c r="K10" s="404"/>
    </row>
    <row r="11" spans="1:11" ht="15.75" x14ac:dyDescent="0.2">
      <c r="A11" s="530" t="s">
        <v>633</v>
      </c>
      <c r="B11" s="530"/>
      <c r="C11" s="530"/>
      <c r="D11" s="530"/>
      <c r="E11" s="530"/>
      <c r="F11" s="530"/>
      <c r="G11" s="530"/>
      <c r="H11" s="530"/>
      <c r="I11" s="530"/>
      <c r="J11" s="530"/>
      <c r="K11" s="530"/>
    </row>
    <row r="12" spans="1:11" ht="78.75" x14ac:dyDescent="0.25">
      <c r="A12" s="97" t="s">
        <v>238</v>
      </c>
      <c r="B12" s="95" t="s">
        <v>237</v>
      </c>
      <c r="C12" s="95" t="s">
        <v>0</v>
      </c>
      <c r="D12" s="96" t="s">
        <v>1</v>
      </c>
      <c r="E12" s="96" t="s">
        <v>166</v>
      </c>
      <c r="F12" s="154" t="s">
        <v>167</v>
      </c>
      <c r="G12" s="96" t="s">
        <v>236</v>
      </c>
      <c r="H12" s="96" t="s">
        <v>235</v>
      </c>
      <c r="I12" s="95" t="s">
        <v>170</v>
      </c>
      <c r="J12" s="95" t="s">
        <v>171</v>
      </c>
      <c r="K12" s="95" t="s">
        <v>234</v>
      </c>
    </row>
    <row r="13" spans="1:11" ht="15" x14ac:dyDescent="0.2">
      <c r="A13" s="316" t="s">
        <v>634</v>
      </c>
      <c r="B13" s="72" t="s">
        <v>309</v>
      </c>
      <c r="C13" s="317" t="s">
        <v>635</v>
      </c>
      <c r="D13" s="271">
        <v>55000</v>
      </c>
      <c r="E13" s="318">
        <v>44000</v>
      </c>
      <c r="F13" s="261" t="s">
        <v>310</v>
      </c>
      <c r="G13" s="319">
        <v>44000</v>
      </c>
      <c r="H13" s="271">
        <f>E13-G13</f>
        <v>0</v>
      </c>
      <c r="I13" s="82" t="s">
        <v>229</v>
      </c>
      <c r="J13" s="90">
        <v>42116</v>
      </c>
      <c r="K13" s="90">
        <v>42116</v>
      </c>
    </row>
    <row r="14" spans="1:11" ht="25.5" x14ac:dyDescent="0.2">
      <c r="A14" s="316" t="s">
        <v>637</v>
      </c>
      <c r="B14" s="72" t="s">
        <v>208</v>
      </c>
      <c r="C14" s="317" t="s">
        <v>638</v>
      </c>
      <c r="D14" s="271">
        <v>965000</v>
      </c>
      <c r="E14" s="318">
        <v>600000</v>
      </c>
      <c r="F14" s="261" t="s">
        <v>302</v>
      </c>
      <c r="G14" s="319">
        <v>600000</v>
      </c>
      <c r="H14" s="271">
        <f t="shared" ref="H14:H17" si="1">E14-G14</f>
        <v>0</v>
      </c>
      <c r="I14" s="82" t="s">
        <v>229</v>
      </c>
      <c r="J14" s="90">
        <v>42354</v>
      </c>
      <c r="K14" s="90">
        <v>42354</v>
      </c>
    </row>
    <row r="15" spans="1:11" ht="30" customHeight="1" x14ac:dyDescent="0.2">
      <c r="A15" s="316" t="s">
        <v>639</v>
      </c>
      <c r="B15" s="72" t="s">
        <v>209</v>
      </c>
      <c r="C15" s="317" t="s">
        <v>640</v>
      </c>
      <c r="D15" s="271">
        <v>5184568</v>
      </c>
      <c r="E15" s="318">
        <v>600000</v>
      </c>
      <c r="F15" s="261" t="s">
        <v>302</v>
      </c>
      <c r="G15" s="272"/>
      <c r="H15" s="271">
        <f t="shared" si="1"/>
        <v>600000</v>
      </c>
      <c r="I15" s="87" t="s">
        <v>714</v>
      </c>
      <c r="J15" s="87" t="s">
        <v>636</v>
      </c>
      <c r="K15" s="273"/>
    </row>
    <row r="16" spans="1:11" ht="25.5" x14ac:dyDescent="0.2">
      <c r="A16" s="316" t="s">
        <v>641</v>
      </c>
      <c r="B16" s="72" t="s">
        <v>215</v>
      </c>
      <c r="C16" s="317" t="s">
        <v>642</v>
      </c>
      <c r="D16" s="271">
        <v>280000</v>
      </c>
      <c r="E16" s="318">
        <v>208800</v>
      </c>
      <c r="F16" s="261" t="s">
        <v>302</v>
      </c>
      <c r="G16" s="319">
        <v>140000</v>
      </c>
      <c r="H16" s="271">
        <f t="shared" si="1"/>
        <v>68800</v>
      </c>
      <c r="I16" s="87" t="s">
        <v>714</v>
      </c>
      <c r="J16" s="87" t="s">
        <v>636</v>
      </c>
      <c r="K16" s="273"/>
    </row>
    <row r="17" spans="1:11" ht="15" x14ac:dyDescent="0.2">
      <c r="A17" s="316" t="s">
        <v>711</v>
      </c>
      <c r="B17" s="72" t="s">
        <v>712</v>
      </c>
      <c r="C17" s="317" t="s">
        <v>715</v>
      </c>
      <c r="D17" s="156">
        <v>59000</v>
      </c>
      <c r="E17" s="155">
        <f>E18-SUM(E13:E16)</f>
        <v>47200</v>
      </c>
      <c r="F17" s="261" t="s">
        <v>311</v>
      </c>
      <c r="G17" s="88">
        <v>47200</v>
      </c>
      <c r="H17" s="271">
        <f t="shared" si="1"/>
        <v>0</v>
      </c>
      <c r="I17" s="87" t="s">
        <v>701</v>
      </c>
      <c r="J17" s="90" t="s">
        <v>702</v>
      </c>
      <c r="K17" s="406"/>
    </row>
    <row r="18" spans="1:11" ht="15.75" x14ac:dyDescent="0.25">
      <c r="A18" s="151"/>
      <c r="B18" s="111"/>
      <c r="C18" s="78" t="s">
        <v>225</v>
      </c>
      <c r="D18" s="136"/>
      <c r="E18" s="76">
        <f>1500000</f>
        <v>1500000</v>
      </c>
      <c r="F18" s="275"/>
      <c r="G18" s="151"/>
      <c r="H18" s="276">
        <f>SUM(H13:H17)</f>
        <v>668800</v>
      </c>
      <c r="I18" s="407"/>
      <c r="J18" s="408"/>
      <c r="K18" s="409"/>
    </row>
    <row r="19" spans="1:11" ht="15.75" x14ac:dyDescent="0.2">
      <c r="A19" s="410"/>
      <c r="B19" s="411"/>
      <c r="C19" s="401"/>
      <c r="D19" s="402"/>
      <c r="E19" s="402"/>
      <c r="F19" s="403"/>
      <c r="G19" s="402"/>
      <c r="H19" s="402"/>
      <c r="I19" s="404"/>
      <c r="J19" s="405"/>
      <c r="K19" s="404"/>
    </row>
    <row r="20" spans="1:11" ht="15.75" x14ac:dyDescent="0.2">
      <c r="A20" s="530" t="s">
        <v>527</v>
      </c>
      <c r="B20" s="530"/>
      <c r="C20" s="530"/>
      <c r="D20" s="530"/>
      <c r="E20" s="530"/>
      <c r="F20" s="530"/>
      <c r="G20" s="530"/>
      <c r="H20" s="530"/>
      <c r="I20" s="530"/>
      <c r="J20" s="530"/>
      <c r="K20" s="530"/>
    </row>
    <row r="21" spans="1:11" ht="78.75" x14ac:dyDescent="0.25">
      <c r="A21" s="97" t="s">
        <v>238</v>
      </c>
      <c r="B21" s="95" t="s">
        <v>237</v>
      </c>
      <c r="C21" s="95" t="s">
        <v>0</v>
      </c>
      <c r="D21" s="96" t="s">
        <v>1</v>
      </c>
      <c r="E21" s="96" t="s">
        <v>166</v>
      </c>
      <c r="F21" s="154" t="s">
        <v>167</v>
      </c>
      <c r="G21" s="96" t="s">
        <v>236</v>
      </c>
      <c r="H21" s="96" t="s">
        <v>235</v>
      </c>
      <c r="I21" s="95" t="s">
        <v>170</v>
      </c>
      <c r="J21" s="95" t="s">
        <v>171</v>
      </c>
      <c r="K21" s="95" t="s">
        <v>234</v>
      </c>
    </row>
    <row r="22" spans="1:11" ht="15" x14ac:dyDescent="0.2">
      <c r="A22" s="72">
        <v>15510</v>
      </c>
      <c r="B22" s="72" t="s">
        <v>528</v>
      </c>
      <c r="C22" s="72" t="s">
        <v>529</v>
      </c>
      <c r="D22" s="271">
        <v>433900</v>
      </c>
      <c r="E22" s="271">
        <v>347120</v>
      </c>
      <c r="F22" s="261" t="s">
        <v>311</v>
      </c>
      <c r="G22" s="319">
        <v>347120</v>
      </c>
      <c r="H22" s="271">
        <f>E22-G22</f>
        <v>0</v>
      </c>
      <c r="I22" s="82" t="s">
        <v>229</v>
      </c>
      <c r="J22" s="90">
        <v>42079</v>
      </c>
      <c r="K22" s="90">
        <v>42079</v>
      </c>
    </row>
    <row r="23" spans="1:11" ht="15.6" customHeight="1" x14ac:dyDescent="0.2">
      <c r="A23" s="72">
        <v>15511</v>
      </c>
      <c r="B23" s="72" t="s">
        <v>531</v>
      </c>
      <c r="C23" s="72" t="s">
        <v>532</v>
      </c>
      <c r="D23" s="271">
        <v>70000</v>
      </c>
      <c r="E23" s="271">
        <v>56000</v>
      </c>
      <c r="F23" s="261" t="s">
        <v>311</v>
      </c>
      <c r="G23" s="272"/>
      <c r="H23" s="271">
        <f t="shared" ref="H23:H30" si="2">E23-G23</f>
        <v>56000</v>
      </c>
      <c r="I23" s="87" t="s">
        <v>530</v>
      </c>
      <c r="J23" s="87" t="s">
        <v>716</v>
      </c>
      <c r="K23" s="273"/>
    </row>
    <row r="24" spans="1:11" ht="15" x14ac:dyDescent="0.2">
      <c r="A24" s="412">
        <v>15512</v>
      </c>
      <c r="B24" s="72" t="s">
        <v>533</v>
      </c>
      <c r="C24" s="72" t="s">
        <v>534</v>
      </c>
      <c r="D24" s="271">
        <v>202800</v>
      </c>
      <c r="E24" s="271">
        <v>162240</v>
      </c>
      <c r="F24" s="261" t="s">
        <v>311</v>
      </c>
      <c r="G24" s="319">
        <v>162240</v>
      </c>
      <c r="H24" s="271">
        <f t="shared" si="2"/>
        <v>0</v>
      </c>
      <c r="I24" s="87" t="s">
        <v>229</v>
      </c>
      <c r="J24" s="90">
        <v>41847</v>
      </c>
      <c r="K24" s="90">
        <v>41847</v>
      </c>
    </row>
    <row r="25" spans="1:11" ht="25.5" x14ac:dyDescent="0.2">
      <c r="A25" s="413">
        <v>15513</v>
      </c>
      <c r="B25" s="72" t="s">
        <v>208</v>
      </c>
      <c r="C25" s="72" t="s">
        <v>535</v>
      </c>
      <c r="D25" s="271">
        <v>688192.27749999997</v>
      </c>
      <c r="E25" s="271">
        <f>600000-95211-25058-3885</f>
        <v>475846</v>
      </c>
      <c r="F25" s="261" t="s">
        <v>302</v>
      </c>
      <c r="G25" s="319">
        <f>38106+437740</f>
        <v>475846</v>
      </c>
      <c r="H25" s="271">
        <f t="shared" si="2"/>
        <v>0</v>
      </c>
      <c r="I25" s="82" t="s">
        <v>229</v>
      </c>
      <c r="J25" s="277">
        <v>42320</v>
      </c>
      <c r="K25" s="277">
        <v>42321</v>
      </c>
    </row>
    <row r="26" spans="1:11" ht="15.75" x14ac:dyDescent="0.2">
      <c r="A26" s="413">
        <v>15513</v>
      </c>
      <c r="B26" s="72" t="s">
        <v>208</v>
      </c>
      <c r="C26" s="72" t="s">
        <v>536</v>
      </c>
      <c r="D26" s="271">
        <v>45000</v>
      </c>
      <c r="E26" s="271">
        <v>36000</v>
      </c>
      <c r="F26" s="261" t="s">
        <v>311</v>
      </c>
      <c r="G26" s="319">
        <v>30416</v>
      </c>
      <c r="H26" s="271">
        <f t="shared" si="2"/>
        <v>5584</v>
      </c>
      <c r="I26" s="87" t="s">
        <v>530</v>
      </c>
      <c r="J26" s="87" t="s">
        <v>716</v>
      </c>
      <c r="K26" s="273"/>
    </row>
    <row r="27" spans="1:11" ht="15" x14ac:dyDescent="0.2">
      <c r="A27" s="412">
        <v>15514</v>
      </c>
      <c r="B27" s="72" t="s">
        <v>215</v>
      </c>
      <c r="C27" s="72" t="s">
        <v>537</v>
      </c>
      <c r="D27" s="271">
        <v>300000</v>
      </c>
      <c r="E27" s="271">
        <v>240000</v>
      </c>
      <c r="F27" s="261" t="s">
        <v>311</v>
      </c>
      <c r="G27" s="319">
        <f>179335+20003</f>
        <v>199338</v>
      </c>
      <c r="H27" s="271">
        <f t="shared" si="2"/>
        <v>40662</v>
      </c>
      <c r="I27" s="87" t="s">
        <v>530</v>
      </c>
      <c r="J27" s="90">
        <v>42369</v>
      </c>
      <c r="K27" s="90">
        <v>42369</v>
      </c>
    </row>
    <row r="28" spans="1:11" ht="15" x14ac:dyDescent="0.2">
      <c r="A28" s="412">
        <v>15514</v>
      </c>
      <c r="B28" s="72" t="s">
        <v>215</v>
      </c>
      <c r="C28" s="72" t="s">
        <v>538</v>
      </c>
      <c r="D28" s="271">
        <v>185000</v>
      </c>
      <c r="E28" s="271">
        <v>136000</v>
      </c>
      <c r="F28" s="261" t="s">
        <v>311</v>
      </c>
      <c r="G28" s="319">
        <v>123546</v>
      </c>
      <c r="H28" s="271">
        <f t="shared" si="2"/>
        <v>12454</v>
      </c>
      <c r="I28" s="87" t="s">
        <v>530</v>
      </c>
      <c r="J28" s="90">
        <v>42369</v>
      </c>
      <c r="K28" s="90">
        <v>42369</v>
      </c>
    </row>
    <row r="29" spans="1:11" ht="34.5" customHeight="1" x14ac:dyDescent="0.2">
      <c r="A29" s="414">
        <v>15514</v>
      </c>
      <c r="B29" s="118" t="s">
        <v>215</v>
      </c>
      <c r="C29" s="274" t="s">
        <v>539</v>
      </c>
      <c r="D29" s="156">
        <v>50000</v>
      </c>
      <c r="E29" s="155">
        <v>40000</v>
      </c>
      <c r="F29" s="157" t="s">
        <v>302</v>
      </c>
      <c r="G29" s="88">
        <v>40000</v>
      </c>
      <c r="H29" s="271">
        <f t="shared" si="2"/>
        <v>0</v>
      </c>
      <c r="I29" s="87" t="s">
        <v>530</v>
      </c>
      <c r="J29" s="90">
        <v>41767</v>
      </c>
      <c r="K29" s="86">
        <v>41767</v>
      </c>
    </row>
    <row r="30" spans="1:11" ht="30" x14ac:dyDescent="0.2">
      <c r="A30" s="415">
        <v>17523</v>
      </c>
      <c r="B30" s="416" t="s">
        <v>215</v>
      </c>
      <c r="C30" s="317" t="s">
        <v>717</v>
      </c>
      <c r="D30" s="156">
        <v>8493</v>
      </c>
      <c r="E30" s="155">
        <v>6794</v>
      </c>
      <c r="F30" s="261" t="s">
        <v>311</v>
      </c>
      <c r="G30" s="77"/>
      <c r="H30" s="271">
        <f t="shared" si="2"/>
        <v>6794</v>
      </c>
      <c r="I30" s="87" t="s">
        <v>701</v>
      </c>
      <c r="J30" s="90" t="s">
        <v>702</v>
      </c>
      <c r="K30" s="75"/>
    </row>
    <row r="31" spans="1:11" s="320" customFormat="1" ht="15.75" x14ac:dyDescent="0.25">
      <c r="A31" s="151"/>
      <c r="B31" s="111"/>
      <c r="C31" s="78" t="s">
        <v>225</v>
      </c>
      <c r="D31" s="136"/>
      <c r="E31" s="76">
        <f>SUM(E22:E30)</f>
        <v>1500000</v>
      </c>
      <c r="F31" s="275"/>
      <c r="G31" s="151"/>
      <c r="H31" s="276">
        <f>SUM(H22:H30)</f>
        <v>121494</v>
      </c>
      <c r="I31" s="150"/>
      <c r="J31" s="149"/>
      <c r="K31" s="148"/>
    </row>
    <row r="32" spans="1:11" ht="15.6" customHeight="1" x14ac:dyDescent="0.2">
      <c r="A32" s="399"/>
      <c r="B32" s="400"/>
      <c r="C32" s="401"/>
      <c r="D32" s="402"/>
      <c r="E32" s="402"/>
      <c r="F32" s="403"/>
      <c r="G32" s="402"/>
      <c r="H32" s="402"/>
      <c r="I32" s="404"/>
      <c r="J32" s="405"/>
      <c r="K32" s="404"/>
    </row>
    <row r="33" spans="1:11" ht="15.75" x14ac:dyDescent="0.2">
      <c r="A33" s="530" t="s">
        <v>307</v>
      </c>
      <c r="B33" s="530"/>
      <c r="C33" s="530"/>
      <c r="D33" s="530"/>
      <c r="E33" s="530"/>
      <c r="F33" s="530"/>
      <c r="G33" s="530"/>
      <c r="H33" s="530"/>
      <c r="I33" s="530"/>
      <c r="J33" s="530"/>
      <c r="K33" s="530"/>
    </row>
    <row r="34" spans="1:11" ht="78.75" x14ac:dyDescent="0.25">
      <c r="A34" s="97" t="s">
        <v>238</v>
      </c>
      <c r="B34" s="95" t="s">
        <v>237</v>
      </c>
      <c r="C34" s="95" t="s">
        <v>0</v>
      </c>
      <c r="D34" s="96" t="s">
        <v>1</v>
      </c>
      <c r="E34" s="96" t="s">
        <v>166</v>
      </c>
      <c r="F34" s="154" t="s">
        <v>167</v>
      </c>
      <c r="G34" s="96" t="s">
        <v>236</v>
      </c>
      <c r="H34" s="96" t="s">
        <v>235</v>
      </c>
      <c r="I34" s="95" t="s">
        <v>170</v>
      </c>
      <c r="J34" s="95" t="s">
        <v>171</v>
      </c>
      <c r="K34" s="95" t="s">
        <v>234</v>
      </c>
    </row>
    <row r="35" spans="1:11" ht="25.5" x14ac:dyDescent="0.2">
      <c r="A35" s="414">
        <v>14370</v>
      </c>
      <c r="B35" s="159" t="s">
        <v>298</v>
      </c>
      <c r="C35" s="117" t="s">
        <v>306</v>
      </c>
      <c r="D35" s="156">
        <v>5294251</v>
      </c>
      <c r="E35" s="155">
        <v>600000</v>
      </c>
      <c r="F35" s="157" t="s">
        <v>302</v>
      </c>
      <c r="G35" s="88">
        <v>600000</v>
      </c>
      <c r="H35" s="123">
        <f>E35-G35</f>
        <v>0</v>
      </c>
      <c r="I35" s="82" t="s">
        <v>229</v>
      </c>
      <c r="J35" s="277">
        <v>41571</v>
      </c>
      <c r="K35" s="277">
        <v>41571</v>
      </c>
    </row>
    <row r="36" spans="1:11" ht="15" x14ac:dyDescent="0.2">
      <c r="A36" s="414">
        <v>14371</v>
      </c>
      <c r="B36" s="79" t="s">
        <v>204</v>
      </c>
      <c r="C36" s="117" t="s">
        <v>305</v>
      </c>
      <c r="D36" s="156">
        <v>384736.25</v>
      </c>
      <c r="E36" s="155">
        <f>428264-111821-8654</f>
        <v>307789</v>
      </c>
      <c r="F36" s="158" t="s">
        <v>226</v>
      </c>
      <c r="G36" s="88">
        <v>307789</v>
      </c>
      <c r="H36" s="123">
        <f>E36-G36</f>
        <v>0</v>
      </c>
      <c r="I36" s="82" t="s">
        <v>229</v>
      </c>
      <c r="J36" s="277">
        <v>41864</v>
      </c>
      <c r="K36" s="86">
        <v>41864</v>
      </c>
    </row>
    <row r="37" spans="1:11" ht="25.5" x14ac:dyDescent="0.2">
      <c r="A37" s="414">
        <v>14372</v>
      </c>
      <c r="B37" s="79" t="s">
        <v>208</v>
      </c>
      <c r="C37" s="117" t="s">
        <v>304</v>
      </c>
      <c r="D37" s="156">
        <v>467000</v>
      </c>
      <c r="E37" s="155">
        <v>352000</v>
      </c>
      <c r="F37" s="157" t="s">
        <v>302</v>
      </c>
      <c r="G37" s="88">
        <v>352000</v>
      </c>
      <c r="H37" s="123">
        <f>E37-G37</f>
        <v>0</v>
      </c>
      <c r="I37" s="82" t="s">
        <v>229</v>
      </c>
      <c r="J37" s="277">
        <v>41946</v>
      </c>
      <c r="K37" s="86">
        <v>41946</v>
      </c>
    </row>
    <row r="38" spans="1:11" ht="25.5" x14ac:dyDescent="0.2">
      <c r="A38" s="414">
        <v>14373</v>
      </c>
      <c r="B38" s="79" t="s">
        <v>208</v>
      </c>
      <c r="C38" s="117" t="s">
        <v>303</v>
      </c>
      <c r="D38" s="156">
        <v>192500</v>
      </c>
      <c r="E38" s="155">
        <v>145000</v>
      </c>
      <c r="F38" s="157" t="s">
        <v>302</v>
      </c>
      <c r="G38" s="88">
        <v>145000</v>
      </c>
      <c r="H38" s="123">
        <f>E38-G38</f>
        <v>0</v>
      </c>
      <c r="I38" s="82" t="s">
        <v>229</v>
      </c>
      <c r="J38" s="277">
        <v>41925</v>
      </c>
      <c r="K38" s="86">
        <v>41925</v>
      </c>
    </row>
    <row r="39" spans="1:11" ht="15" x14ac:dyDescent="0.2">
      <c r="A39" s="413">
        <v>15513</v>
      </c>
      <c r="B39" s="417" t="s">
        <v>208</v>
      </c>
      <c r="C39" s="72" t="s">
        <v>540</v>
      </c>
      <c r="D39" s="156">
        <v>137698.90875</v>
      </c>
      <c r="E39" s="155">
        <f>86557+8654</f>
        <v>95211</v>
      </c>
      <c r="F39" s="153"/>
      <c r="G39" s="88">
        <v>95211</v>
      </c>
      <c r="H39" s="123">
        <f>E39-G39</f>
        <v>0</v>
      </c>
      <c r="I39" s="82" t="s">
        <v>229</v>
      </c>
      <c r="J39" s="277">
        <v>42320</v>
      </c>
      <c r="K39" s="277">
        <v>42321</v>
      </c>
    </row>
    <row r="40" spans="1:11" ht="15.75" x14ac:dyDescent="0.25">
      <c r="A40" s="151"/>
      <c r="B40" s="111"/>
      <c r="C40" s="78" t="s">
        <v>225</v>
      </c>
      <c r="D40" s="136"/>
      <c r="E40" s="76">
        <f>SUM(E35:E39)</f>
        <v>1500000</v>
      </c>
      <c r="F40" s="152"/>
      <c r="G40" s="151"/>
      <c r="H40" s="136">
        <f>SUM(H35:H39)</f>
        <v>0</v>
      </c>
      <c r="I40" s="150"/>
      <c r="J40" s="149"/>
      <c r="K40" s="148"/>
    </row>
    <row r="41" spans="1:11" ht="15.75" x14ac:dyDescent="0.2">
      <c r="A41" s="530" t="s">
        <v>301</v>
      </c>
      <c r="B41" s="530"/>
      <c r="C41" s="530"/>
      <c r="D41" s="530"/>
      <c r="E41" s="530"/>
      <c r="F41" s="530"/>
      <c r="G41" s="530"/>
      <c r="H41" s="530"/>
      <c r="I41" s="530"/>
      <c r="J41" s="530"/>
      <c r="K41" s="530"/>
    </row>
    <row r="42" spans="1:11" ht="78.75" x14ac:dyDescent="0.25">
      <c r="A42" s="97" t="s">
        <v>238</v>
      </c>
      <c r="B42" s="95" t="s">
        <v>237</v>
      </c>
      <c r="C42" s="95" t="s">
        <v>0</v>
      </c>
      <c r="D42" s="96" t="s">
        <v>1</v>
      </c>
      <c r="E42" s="96" t="s">
        <v>166</v>
      </c>
      <c r="F42" s="154" t="s">
        <v>167</v>
      </c>
      <c r="G42" s="96" t="s">
        <v>236</v>
      </c>
      <c r="H42" s="96" t="s">
        <v>235</v>
      </c>
      <c r="I42" s="95" t="s">
        <v>170</v>
      </c>
      <c r="J42" s="95" t="s">
        <v>171</v>
      </c>
      <c r="K42" s="95" t="s">
        <v>234</v>
      </c>
    </row>
    <row r="43" spans="1:11" ht="15.6" customHeight="1" x14ac:dyDescent="0.2">
      <c r="A43" s="80">
        <v>13415</v>
      </c>
      <c r="B43" s="79" t="s">
        <v>300</v>
      </c>
      <c r="C43" s="418" t="s">
        <v>299</v>
      </c>
      <c r="D43" s="419">
        <v>792000</v>
      </c>
      <c r="E43" s="281">
        <v>600000</v>
      </c>
      <c r="F43" s="82" t="s">
        <v>226</v>
      </c>
      <c r="G43" s="88">
        <v>600000</v>
      </c>
      <c r="H43" s="123">
        <f t="shared" ref="H43:H49" si="3">E43-G43</f>
        <v>0</v>
      </c>
      <c r="I43" s="82" t="s">
        <v>229</v>
      </c>
      <c r="J43" s="277">
        <v>41605</v>
      </c>
      <c r="K43" s="86">
        <v>41605</v>
      </c>
    </row>
    <row r="44" spans="1:11" ht="15" x14ac:dyDescent="0.2">
      <c r="A44" s="80">
        <v>13416</v>
      </c>
      <c r="B44" s="79" t="s">
        <v>298</v>
      </c>
      <c r="C44" s="91" t="s">
        <v>297</v>
      </c>
      <c r="D44" s="419">
        <v>3900000</v>
      </c>
      <c r="E44" s="281">
        <v>600000</v>
      </c>
      <c r="F44" s="153" t="s">
        <v>296</v>
      </c>
      <c r="G44" s="88">
        <v>600000</v>
      </c>
      <c r="H44" s="123">
        <f t="shared" si="3"/>
        <v>0</v>
      </c>
      <c r="I44" s="82" t="s">
        <v>229</v>
      </c>
      <c r="J44" s="277">
        <v>41402</v>
      </c>
      <c r="K44" s="86">
        <v>41402</v>
      </c>
    </row>
    <row r="45" spans="1:11" ht="30" x14ac:dyDescent="0.2">
      <c r="A45" s="420">
        <v>13417</v>
      </c>
      <c r="B45" s="79" t="s">
        <v>208</v>
      </c>
      <c r="C45" s="421" t="s">
        <v>295</v>
      </c>
      <c r="D45" s="419">
        <v>63035</v>
      </c>
      <c r="E45" s="281">
        <f>36600-1136-12</f>
        <v>35452</v>
      </c>
      <c r="F45" s="82" t="s">
        <v>226</v>
      </c>
      <c r="G45" s="88">
        <f>36611-1147-12</f>
        <v>35452</v>
      </c>
      <c r="H45" s="123">
        <f t="shared" si="3"/>
        <v>0</v>
      </c>
      <c r="I45" s="82" t="s">
        <v>229</v>
      </c>
      <c r="J45" s="277">
        <v>41943</v>
      </c>
      <c r="K45" s="277">
        <v>41943</v>
      </c>
    </row>
    <row r="46" spans="1:11" ht="15" x14ac:dyDescent="0.2">
      <c r="A46" s="422">
        <v>13418</v>
      </c>
      <c r="B46" s="79" t="s">
        <v>209</v>
      </c>
      <c r="C46" s="418" t="s">
        <v>294</v>
      </c>
      <c r="D46" s="419">
        <v>64677</v>
      </c>
      <c r="E46" s="281">
        <v>51742</v>
      </c>
      <c r="F46" s="82" t="s">
        <v>226</v>
      </c>
      <c r="G46" s="88">
        <v>51742</v>
      </c>
      <c r="H46" s="123">
        <f t="shared" si="3"/>
        <v>0</v>
      </c>
      <c r="I46" s="82" t="s">
        <v>229</v>
      </c>
      <c r="J46" s="86">
        <v>42097</v>
      </c>
      <c r="K46" s="86">
        <v>42097</v>
      </c>
    </row>
    <row r="47" spans="1:11" ht="15" x14ac:dyDescent="0.2">
      <c r="A47" s="422">
        <v>13418</v>
      </c>
      <c r="B47" s="79" t="s">
        <v>209</v>
      </c>
      <c r="C47" s="418" t="s">
        <v>293</v>
      </c>
      <c r="D47" s="419">
        <v>171920</v>
      </c>
      <c r="E47" s="281">
        <v>137536</v>
      </c>
      <c r="F47" s="82" t="s">
        <v>226</v>
      </c>
      <c r="G47" s="88">
        <v>137536</v>
      </c>
      <c r="H47" s="123">
        <f t="shared" si="3"/>
        <v>0</v>
      </c>
      <c r="I47" s="82" t="s">
        <v>229</v>
      </c>
      <c r="J47" s="86">
        <v>42097</v>
      </c>
      <c r="K47" s="86">
        <v>42097</v>
      </c>
    </row>
    <row r="48" spans="1:11" ht="15" x14ac:dyDescent="0.2">
      <c r="A48" s="80">
        <v>13419</v>
      </c>
      <c r="B48" s="79" t="s">
        <v>292</v>
      </c>
      <c r="C48" s="418" t="s">
        <v>291</v>
      </c>
      <c r="D48" s="419">
        <v>7000</v>
      </c>
      <c r="E48" s="281">
        <v>5600</v>
      </c>
      <c r="F48" s="82" t="s">
        <v>226</v>
      </c>
      <c r="G48" s="88">
        <v>5600</v>
      </c>
      <c r="H48" s="123">
        <f t="shared" si="3"/>
        <v>0</v>
      </c>
      <c r="I48" s="82" t="s">
        <v>229</v>
      </c>
      <c r="J48" s="277">
        <v>40984</v>
      </c>
      <c r="K48" s="277">
        <v>40984</v>
      </c>
    </row>
    <row r="49" spans="1:11" ht="30" x14ac:dyDescent="0.2">
      <c r="A49" s="415">
        <v>17523</v>
      </c>
      <c r="B49" s="416" t="s">
        <v>215</v>
      </c>
      <c r="C49" s="317" t="s">
        <v>718</v>
      </c>
      <c r="D49" s="419">
        <v>87087</v>
      </c>
      <c r="E49" s="281">
        <f>1136+68522+12</f>
        <v>69670</v>
      </c>
      <c r="F49" s="261" t="s">
        <v>311</v>
      </c>
      <c r="G49" s="88">
        <v>21990</v>
      </c>
      <c r="H49" s="123">
        <f t="shared" si="3"/>
        <v>47680</v>
      </c>
      <c r="I49" s="87" t="s">
        <v>701</v>
      </c>
      <c r="J49" s="90" t="s">
        <v>702</v>
      </c>
      <c r="K49" s="277"/>
    </row>
    <row r="50" spans="1:11" ht="15.75" x14ac:dyDescent="0.25">
      <c r="A50" s="151"/>
      <c r="B50" s="111"/>
      <c r="C50" s="78" t="s">
        <v>225</v>
      </c>
      <c r="D50" s="136"/>
      <c r="E50" s="76">
        <f>SUM(E43:E49)</f>
        <v>1500000</v>
      </c>
      <c r="F50" s="152"/>
      <c r="G50" s="151"/>
      <c r="H50" s="136">
        <f>SUM(H43:H48)</f>
        <v>0</v>
      </c>
      <c r="I50" s="150"/>
      <c r="J50" s="149"/>
      <c r="K50" s="148"/>
    </row>
    <row r="51" spans="1:11" ht="32.25" customHeight="1" x14ac:dyDescent="0.2">
      <c r="A51" s="423"/>
      <c r="B51" s="424"/>
      <c r="C51" s="425"/>
      <c r="D51" s="426"/>
      <c r="E51" s="427"/>
      <c r="F51" s="428"/>
      <c r="G51" s="423"/>
      <c r="H51" s="426"/>
      <c r="I51" s="429"/>
      <c r="J51" s="430"/>
      <c r="K51" s="431"/>
    </row>
    <row r="52" spans="1:11" ht="15.75" x14ac:dyDescent="0.2">
      <c r="A52" s="147"/>
      <c r="B52" s="531" t="s">
        <v>290</v>
      </c>
      <c r="C52" s="531"/>
      <c r="D52" s="531"/>
      <c r="E52" s="531"/>
      <c r="F52" s="531"/>
      <c r="G52" s="531"/>
      <c r="H52" s="531"/>
      <c r="I52" s="531"/>
      <c r="J52" s="531"/>
      <c r="K52" s="146"/>
    </row>
    <row r="53" spans="1:11" ht="78.75" x14ac:dyDescent="0.2">
      <c r="A53" s="97" t="s">
        <v>238</v>
      </c>
      <c r="B53" s="95" t="s">
        <v>237</v>
      </c>
      <c r="C53" s="95" t="s">
        <v>0</v>
      </c>
      <c r="D53" s="96" t="s">
        <v>1</v>
      </c>
      <c r="E53" s="96" t="s">
        <v>166</v>
      </c>
      <c r="F53" s="95" t="s">
        <v>167</v>
      </c>
      <c r="G53" s="96" t="s">
        <v>236</v>
      </c>
      <c r="H53" s="96" t="s">
        <v>235</v>
      </c>
      <c r="I53" s="95" t="s">
        <v>170</v>
      </c>
      <c r="J53" s="95" t="s">
        <v>171</v>
      </c>
      <c r="K53" s="95" t="s">
        <v>234</v>
      </c>
    </row>
    <row r="54" spans="1:11" s="320" customFormat="1" ht="30" x14ac:dyDescent="0.2">
      <c r="A54" s="80">
        <v>12319</v>
      </c>
      <c r="B54" s="79" t="s">
        <v>233</v>
      </c>
      <c r="C54" s="91" t="s">
        <v>289</v>
      </c>
      <c r="D54" s="278">
        <v>4897614</v>
      </c>
      <c r="E54" s="432">
        <v>800000</v>
      </c>
      <c r="F54" s="82" t="s">
        <v>288</v>
      </c>
      <c r="G54" s="88">
        <v>800000</v>
      </c>
      <c r="H54" s="123">
        <f t="shared" ref="H54:H61" si="4">E54-G54</f>
        <v>0</v>
      </c>
      <c r="I54" s="82" t="s">
        <v>229</v>
      </c>
      <c r="J54" s="122">
        <v>41605</v>
      </c>
      <c r="K54" s="90">
        <v>41605</v>
      </c>
    </row>
    <row r="55" spans="1:11" ht="15.6" customHeight="1" x14ac:dyDescent="0.2">
      <c r="A55" s="80">
        <v>12320</v>
      </c>
      <c r="B55" s="79" t="s">
        <v>278</v>
      </c>
      <c r="C55" s="91" t="s">
        <v>287</v>
      </c>
      <c r="D55" s="278">
        <v>500000</v>
      </c>
      <c r="E55" s="432">
        <f>400000-18173</f>
        <v>381827</v>
      </c>
      <c r="F55" s="82" t="s">
        <v>227</v>
      </c>
      <c r="G55" s="88">
        <v>381827</v>
      </c>
      <c r="H55" s="123">
        <f t="shared" si="4"/>
        <v>0</v>
      </c>
      <c r="I55" s="82" t="s">
        <v>229</v>
      </c>
      <c r="J55" s="122">
        <v>40729</v>
      </c>
      <c r="K55" s="90">
        <v>40742</v>
      </c>
    </row>
    <row r="56" spans="1:11" ht="15" x14ac:dyDescent="0.2">
      <c r="A56" s="80">
        <v>12733</v>
      </c>
      <c r="B56" s="92" t="s">
        <v>209</v>
      </c>
      <c r="C56" s="433" t="s">
        <v>286</v>
      </c>
      <c r="D56" s="279">
        <v>379211</v>
      </c>
      <c r="E56" s="280">
        <f>298357-20143</f>
        <v>278214</v>
      </c>
      <c r="F56" s="82" t="s">
        <v>227</v>
      </c>
      <c r="G56" s="88">
        <v>278214</v>
      </c>
      <c r="H56" s="123">
        <f t="shared" si="4"/>
        <v>0</v>
      </c>
      <c r="I56" s="82" t="s">
        <v>229</v>
      </c>
      <c r="J56" s="122">
        <v>41653</v>
      </c>
      <c r="K56" s="90">
        <v>41653</v>
      </c>
    </row>
    <row r="57" spans="1:11" ht="15" x14ac:dyDescent="0.2">
      <c r="A57" s="66">
        <v>12738</v>
      </c>
      <c r="B57" s="91" t="s">
        <v>208</v>
      </c>
      <c r="C57" s="91" t="s">
        <v>285</v>
      </c>
      <c r="D57" s="434">
        <v>30000</v>
      </c>
      <c r="E57" s="434">
        <v>24000</v>
      </c>
      <c r="F57" s="82" t="s">
        <v>227</v>
      </c>
      <c r="G57" s="88">
        <v>24000</v>
      </c>
      <c r="H57" s="123">
        <f t="shared" si="4"/>
        <v>0</v>
      </c>
      <c r="I57" s="82" t="s">
        <v>229</v>
      </c>
      <c r="J57" s="122">
        <v>41067</v>
      </c>
      <c r="K57" s="90">
        <v>41067</v>
      </c>
    </row>
    <row r="58" spans="1:11" ht="30" x14ac:dyDescent="0.2">
      <c r="A58" s="80">
        <v>12321</v>
      </c>
      <c r="B58" s="79" t="s">
        <v>284</v>
      </c>
      <c r="C58" s="91" t="s">
        <v>283</v>
      </c>
      <c r="D58" s="278">
        <v>565732</v>
      </c>
      <c r="E58" s="432">
        <f>414920+37665</f>
        <v>452585</v>
      </c>
      <c r="F58" s="82" t="s">
        <v>227</v>
      </c>
      <c r="G58" s="88">
        <v>452585</v>
      </c>
      <c r="H58" s="123">
        <f t="shared" si="4"/>
        <v>0</v>
      </c>
      <c r="I58" s="82" t="s">
        <v>229</v>
      </c>
      <c r="J58" s="122">
        <v>41090</v>
      </c>
      <c r="K58" s="90">
        <v>40637</v>
      </c>
    </row>
    <row r="59" spans="1:11" ht="30" x14ac:dyDescent="0.2">
      <c r="A59" s="420">
        <v>13417</v>
      </c>
      <c r="B59" s="79" t="s">
        <v>208</v>
      </c>
      <c r="C59" s="421" t="s">
        <v>282</v>
      </c>
      <c r="D59" s="278">
        <v>22716.25</v>
      </c>
      <c r="E59" s="278">
        <v>18173</v>
      </c>
      <c r="F59" s="82" t="s">
        <v>226</v>
      </c>
      <c r="G59" s="281">
        <v>18173</v>
      </c>
      <c r="H59" s="123">
        <f t="shared" si="4"/>
        <v>0</v>
      </c>
      <c r="I59" s="82" t="s">
        <v>229</v>
      </c>
      <c r="J59" s="277">
        <v>41943</v>
      </c>
      <c r="K59" s="277">
        <v>41943</v>
      </c>
    </row>
    <row r="60" spans="1:11" ht="15" x14ac:dyDescent="0.2">
      <c r="A60" s="413">
        <v>15513</v>
      </c>
      <c r="B60" s="417" t="s">
        <v>208</v>
      </c>
      <c r="C60" s="72" t="s">
        <v>541</v>
      </c>
      <c r="D60" s="278">
        <v>36240.1325</v>
      </c>
      <c r="E60" s="279">
        <v>25058</v>
      </c>
      <c r="F60" s="82"/>
      <c r="G60" s="281">
        <v>25058</v>
      </c>
      <c r="H60" s="123">
        <f t="shared" si="4"/>
        <v>0</v>
      </c>
      <c r="I60" s="82" t="s">
        <v>229</v>
      </c>
      <c r="J60" s="277">
        <v>42320</v>
      </c>
      <c r="K60" s="277">
        <v>42321</v>
      </c>
    </row>
    <row r="61" spans="1:11" ht="30" x14ac:dyDescent="0.2">
      <c r="A61" s="415">
        <v>17523</v>
      </c>
      <c r="B61" s="416" t="s">
        <v>215</v>
      </c>
      <c r="C61" s="317" t="s">
        <v>719</v>
      </c>
      <c r="D61" s="278">
        <v>25179</v>
      </c>
      <c r="E61" s="279">
        <v>20143</v>
      </c>
      <c r="F61" s="261" t="s">
        <v>311</v>
      </c>
      <c r="G61" s="281">
        <v>20143</v>
      </c>
      <c r="H61" s="123">
        <f t="shared" si="4"/>
        <v>0</v>
      </c>
      <c r="I61" s="87" t="s">
        <v>701</v>
      </c>
      <c r="J61" s="90" t="s">
        <v>702</v>
      </c>
      <c r="K61" s="435"/>
    </row>
    <row r="62" spans="1:11" ht="15.75" x14ac:dyDescent="0.2">
      <c r="A62" s="80"/>
      <c r="B62" s="112"/>
      <c r="C62" s="78" t="s">
        <v>225</v>
      </c>
      <c r="D62" s="109"/>
      <c r="E62" s="436">
        <f>SUM(E54:E61)</f>
        <v>2000000</v>
      </c>
      <c r="F62" s="110"/>
      <c r="G62" s="109"/>
      <c r="H62" s="136">
        <f>SUM(H54:H61)</f>
        <v>0</v>
      </c>
      <c r="I62" s="74"/>
      <c r="J62" s="75"/>
      <c r="K62" s="74"/>
    </row>
    <row r="63" spans="1:11" ht="15.75" x14ac:dyDescent="0.25">
      <c r="A63" s="399"/>
      <c r="B63" s="400"/>
      <c r="C63" s="437"/>
      <c r="D63" s="402"/>
      <c r="E63" s="438"/>
      <c r="F63" s="403"/>
      <c r="G63" s="402"/>
      <c r="H63" s="402"/>
      <c r="I63" s="404"/>
      <c r="J63" s="405"/>
      <c r="K63" s="404"/>
    </row>
    <row r="64" spans="1:11" ht="15.75" x14ac:dyDescent="0.2">
      <c r="A64" s="101"/>
      <c r="B64" s="525" t="s">
        <v>281</v>
      </c>
      <c r="C64" s="526"/>
      <c r="D64" s="526"/>
      <c r="E64" s="526"/>
      <c r="F64" s="527"/>
      <c r="G64" s="144"/>
      <c r="H64" s="144"/>
      <c r="I64" s="98"/>
      <c r="J64" s="99"/>
      <c r="K64" s="98"/>
    </row>
    <row r="65" spans="1:11" ht="78.75" x14ac:dyDescent="0.2">
      <c r="A65" s="97" t="s">
        <v>238</v>
      </c>
      <c r="B65" s="95" t="s">
        <v>237</v>
      </c>
      <c r="C65" s="95" t="s">
        <v>0</v>
      </c>
      <c r="D65" s="96" t="s">
        <v>1</v>
      </c>
      <c r="E65" s="96" t="s">
        <v>166</v>
      </c>
      <c r="F65" s="95" t="s">
        <v>167</v>
      </c>
      <c r="G65" s="96" t="s">
        <v>236</v>
      </c>
      <c r="H65" s="96" t="s">
        <v>235</v>
      </c>
      <c r="I65" s="95" t="s">
        <v>170</v>
      </c>
      <c r="J65" s="95" t="s">
        <v>171</v>
      </c>
      <c r="K65" s="95" t="s">
        <v>234</v>
      </c>
    </row>
    <row r="66" spans="1:11" ht="15" x14ac:dyDescent="0.2">
      <c r="A66" s="66">
        <v>12738</v>
      </c>
      <c r="B66" s="72" t="s">
        <v>208</v>
      </c>
      <c r="C66" s="91" t="s">
        <v>280</v>
      </c>
      <c r="D66" s="88">
        <v>65000</v>
      </c>
      <c r="E66" s="88">
        <v>48000</v>
      </c>
      <c r="F66" s="82" t="s">
        <v>227</v>
      </c>
      <c r="G66" s="88">
        <v>48000</v>
      </c>
      <c r="H66" s="123">
        <f>E66-G66</f>
        <v>0</v>
      </c>
      <c r="I66" s="82" t="s">
        <v>229</v>
      </c>
      <c r="J66" s="122">
        <v>41067</v>
      </c>
      <c r="K66" s="90">
        <v>41067</v>
      </c>
    </row>
    <row r="67" spans="1:11" ht="45" x14ac:dyDescent="0.2">
      <c r="A67" s="80">
        <v>11760</v>
      </c>
      <c r="B67" s="72" t="s">
        <v>228</v>
      </c>
      <c r="C67" s="91" t="s">
        <v>279</v>
      </c>
      <c r="D67" s="123">
        <v>617904</v>
      </c>
      <c r="E67" s="123">
        <v>436904</v>
      </c>
      <c r="F67" s="82" t="s">
        <v>227</v>
      </c>
      <c r="G67" s="88">
        <v>436904</v>
      </c>
      <c r="H67" s="123">
        <f>E67-G67</f>
        <v>0</v>
      </c>
      <c r="I67" s="82" t="s">
        <v>229</v>
      </c>
      <c r="J67" s="122">
        <v>41319</v>
      </c>
      <c r="K67" s="90">
        <v>41319</v>
      </c>
    </row>
    <row r="68" spans="1:11" ht="30.75" customHeight="1" x14ac:dyDescent="0.2">
      <c r="A68" s="80">
        <v>11761</v>
      </c>
      <c r="B68" s="67" t="s">
        <v>278</v>
      </c>
      <c r="C68" s="91" t="s">
        <v>277</v>
      </c>
      <c r="D68" s="123">
        <v>100000</v>
      </c>
      <c r="E68" s="123">
        <v>79920</v>
      </c>
      <c r="F68" s="82" t="s">
        <v>227</v>
      </c>
      <c r="G68" s="88">
        <v>79920</v>
      </c>
      <c r="H68" s="123">
        <f t="shared" ref="H68:H77" si="5">E68-G68</f>
        <v>0</v>
      </c>
      <c r="I68" s="82" t="s">
        <v>229</v>
      </c>
      <c r="J68" s="122">
        <v>40483</v>
      </c>
      <c r="K68" s="90">
        <v>40498</v>
      </c>
    </row>
    <row r="69" spans="1:11" ht="45" x14ac:dyDescent="0.2">
      <c r="A69" s="80">
        <v>11767</v>
      </c>
      <c r="B69" s="67" t="s">
        <v>276</v>
      </c>
      <c r="C69" s="91" t="s">
        <v>275</v>
      </c>
      <c r="D69" s="123">
        <v>235000</v>
      </c>
      <c r="E69" s="123">
        <v>188000</v>
      </c>
      <c r="F69" s="82" t="s">
        <v>227</v>
      </c>
      <c r="G69" s="123">
        <v>188000</v>
      </c>
      <c r="H69" s="123">
        <f>E69-G69</f>
        <v>0</v>
      </c>
      <c r="I69" s="82" t="s">
        <v>229</v>
      </c>
      <c r="J69" s="122">
        <v>40561</v>
      </c>
      <c r="K69" s="90">
        <v>40561</v>
      </c>
    </row>
    <row r="70" spans="1:11" ht="45" x14ac:dyDescent="0.2">
      <c r="A70" s="80">
        <v>11762</v>
      </c>
      <c r="B70" s="67" t="s">
        <v>274</v>
      </c>
      <c r="C70" s="439" t="s">
        <v>273</v>
      </c>
      <c r="D70" s="123">
        <v>176000</v>
      </c>
      <c r="E70" s="123">
        <v>140800</v>
      </c>
      <c r="F70" s="82" t="s">
        <v>227</v>
      </c>
      <c r="G70" s="88">
        <v>140800</v>
      </c>
      <c r="H70" s="123">
        <f t="shared" si="5"/>
        <v>0</v>
      </c>
      <c r="I70" s="82" t="s">
        <v>229</v>
      </c>
      <c r="J70" s="122">
        <v>40543</v>
      </c>
      <c r="K70" s="90">
        <v>40567</v>
      </c>
    </row>
    <row r="71" spans="1:11" ht="45" x14ac:dyDescent="0.2">
      <c r="A71" s="66">
        <v>11764</v>
      </c>
      <c r="B71" s="72" t="s">
        <v>245</v>
      </c>
      <c r="C71" s="91" t="s">
        <v>272</v>
      </c>
      <c r="D71" s="123">
        <v>7347</v>
      </c>
      <c r="E71" s="123">
        <v>5877</v>
      </c>
      <c r="F71" s="82" t="s">
        <v>227</v>
      </c>
      <c r="G71" s="88">
        <v>5877</v>
      </c>
      <c r="H71" s="123">
        <f t="shared" si="5"/>
        <v>0</v>
      </c>
      <c r="I71" s="82" t="s">
        <v>229</v>
      </c>
      <c r="J71" s="122">
        <v>41121</v>
      </c>
      <c r="K71" s="90">
        <v>41121</v>
      </c>
    </row>
    <row r="72" spans="1:11" ht="30" x14ac:dyDescent="0.2">
      <c r="A72" s="80">
        <v>11765</v>
      </c>
      <c r="B72" s="67" t="s">
        <v>257</v>
      </c>
      <c r="C72" s="91" t="s">
        <v>271</v>
      </c>
      <c r="D72" s="123">
        <v>130000</v>
      </c>
      <c r="E72" s="123">
        <v>67019</v>
      </c>
      <c r="F72" s="82" t="s">
        <v>227</v>
      </c>
      <c r="G72" s="88">
        <v>67019</v>
      </c>
      <c r="H72" s="123">
        <f t="shared" si="5"/>
        <v>0</v>
      </c>
      <c r="I72" s="82" t="s">
        <v>229</v>
      </c>
      <c r="J72" s="122">
        <v>40867</v>
      </c>
      <c r="K72" s="90">
        <v>40873</v>
      </c>
    </row>
    <row r="73" spans="1:11" ht="15.6" customHeight="1" x14ac:dyDescent="0.2">
      <c r="A73" s="143">
        <v>11766</v>
      </c>
      <c r="B73" s="142" t="s">
        <v>270</v>
      </c>
      <c r="C73" s="91" t="s">
        <v>269</v>
      </c>
      <c r="D73" s="139">
        <v>296250</v>
      </c>
      <c r="E73" s="139">
        <f>237000-111821</f>
        <v>125179</v>
      </c>
      <c r="F73" s="115" t="s">
        <v>227</v>
      </c>
      <c r="G73" s="116">
        <v>125179</v>
      </c>
      <c r="H73" s="139">
        <f t="shared" si="5"/>
        <v>0</v>
      </c>
      <c r="I73" s="82" t="s">
        <v>229</v>
      </c>
      <c r="J73" s="114">
        <v>40715</v>
      </c>
      <c r="K73" s="141">
        <v>40715</v>
      </c>
    </row>
    <row r="74" spans="1:11" ht="15" x14ac:dyDescent="0.2">
      <c r="A74" s="440">
        <v>14371</v>
      </c>
      <c r="B74" s="91" t="s">
        <v>204</v>
      </c>
      <c r="C74" s="140" t="s">
        <v>268</v>
      </c>
      <c r="D74" s="139">
        <v>139776.25</v>
      </c>
      <c r="E74" s="139">
        <v>111821</v>
      </c>
      <c r="F74" s="82" t="s">
        <v>226</v>
      </c>
      <c r="G74" s="116">
        <v>111821</v>
      </c>
      <c r="H74" s="123">
        <f t="shared" si="5"/>
        <v>0</v>
      </c>
      <c r="I74" s="82" t="s">
        <v>229</v>
      </c>
      <c r="J74" s="277">
        <v>41864</v>
      </c>
      <c r="K74" s="141">
        <v>41864</v>
      </c>
    </row>
    <row r="75" spans="1:11" ht="30" x14ac:dyDescent="0.2">
      <c r="A75" s="138">
        <v>12738</v>
      </c>
      <c r="B75" s="120" t="s">
        <v>208</v>
      </c>
      <c r="C75" s="137" t="s">
        <v>267</v>
      </c>
      <c r="D75" s="139">
        <v>12144</v>
      </c>
      <c r="E75" s="139">
        <v>5534</v>
      </c>
      <c r="F75" s="115" t="s">
        <v>227</v>
      </c>
      <c r="G75" s="116">
        <v>5534</v>
      </c>
      <c r="H75" s="123">
        <f t="shared" si="5"/>
        <v>0</v>
      </c>
      <c r="I75" s="82" t="s">
        <v>229</v>
      </c>
      <c r="J75" s="114">
        <v>41323</v>
      </c>
      <c r="K75" s="90">
        <v>41444</v>
      </c>
    </row>
    <row r="76" spans="1:11" ht="30" x14ac:dyDescent="0.2">
      <c r="A76" s="441">
        <v>13417</v>
      </c>
      <c r="B76" s="84" t="s">
        <v>208</v>
      </c>
      <c r="C76" s="421" t="s">
        <v>266</v>
      </c>
      <c r="D76" s="88">
        <v>46326.25</v>
      </c>
      <c r="E76" s="123">
        <v>37061</v>
      </c>
      <c r="F76" s="82" t="s">
        <v>226</v>
      </c>
      <c r="G76" s="281">
        <v>37061</v>
      </c>
      <c r="H76" s="139">
        <f t="shared" si="5"/>
        <v>0</v>
      </c>
      <c r="I76" s="82" t="s">
        <v>229</v>
      </c>
      <c r="J76" s="277">
        <v>41943</v>
      </c>
      <c r="K76" s="277">
        <v>41943</v>
      </c>
    </row>
    <row r="77" spans="1:11" ht="15" x14ac:dyDescent="0.2">
      <c r="A77" s="413">
        <v>15513</v>
      </c>
      <c r="B77" s="417" t="s">
        <v>208</v>
      </c>
      <c r="C77" s="72" t="s">
        <v>542</v>
      </c>
      <c r="D77" s="88">
        <v>5618.6812499999996</v>
      </c>
      <c r="E77" s="123">
        <v>3885</v>
      </c>
      <c r="F77" s="82"/>
      <c r="G77" s="281">
        <v>3885</v>
      </c>
      <c r="H77" s="139">
        <f t="shared" si="5"/>
        <v>0</v>
      </c>
      <c r="I77" s="82" t="s">
        <v>229</v>
      </c>
      <c r="J77" s="277">
        <v>42320</v>
      </c>
      <c r="K77" s="277">
        <v>42321</v>
      </c>
    </row>
    <row r="78" spans="1:11" ht="15.75" x14ac:dyDescent="0.2">
      <c r="A78" s="80"/>
      <c r="B78" s="79"/>
      <c r="C78" s="111" t="s">
        <v>225</v>
      </c>
      <c r="D78" s="85"/>
      <c r="E78" s="136">
        <f>SUM(E66:E77)</f>
        <v>1250000</v>
      </c>
      <c r="F78" s="110"/>
      <c r="G78" s="77"/>
      <c r="H78" s="136">
        <f>SUM(H66:H77)</f>
        <v>0</v>
      </c>
      <c r="I78" s="82"/>
      <c r="J78" s="86"/>
      <c r="K78" s="74"/>
    </row>
    <row r="79" spans="1:11" ht="15" x14ac:dyDescent="0.2">
      <c r="A79" s="108"/>
      <c r="B79" s="135"/>
      <c r="C79" s="135"/>
      <c r="D79" s="134"/>
      <c r="E79" s="134"/>
      <c r="F79" s="106"/>
      <c r="G79" s="104"/>
      <c r="H79" s="134"/>
      <c r="I79" s="133"/>
      <c r="J79" s="132"/>
      <c r="K79" s="102"/>
    </row>
    <row r="80" spans="1:11" ht="15.75" x14ac:dyDescent="0.2">
      <c r="A80" s="101"/>
      <c r="B80" s="525" t="s">
        <v>265</v>
      </c>
      <c r="C80" s="528"/>
      <c r="D80" s="528"/>
      <c r="E80" s="528"/>
      <c r="F80" s="529"/>
      <c r="G80" s="131"/>
      <c r="H80" s="100"/>
      <c r="I80" s="98"/>
      <c r="J80" s="99"/>
      <c r="K80" s="98"/>
    </row>
    <row r="81" spans="1:11" ht="78.75" x14ac:dyDescent="0.2">
      <c r="A81" s="97" t="s">
        <v>238</v>
      </c>
      <c r="B81" s="95" t="s">
        <v>237</v>
      </c>
      <c r="C81" s="95" t="s">
        <v>0</v>
      </c>
      <c r="D81" s="96" t="s">
        <v>1</v>
      </c>
      <c r="E81" s="96" t="s">
        <v>166</v>
      </c>
      <c r="F81" s="273" t="s">
        <v>167</v>
      </c>
      <c r="G81" s="96" t="s">
        <v>236</v>
      </c>
      <c r="H81" s="96" t="s">
        <v>235</v>
      </c>
      <c r="I81" s="95" t="s">
        <v>170</v>
      </c>
      <c r="J81" s="95" t="s">
        <v>171</v>
      </c>
      <c r="K81" s="95" t="s">
        <v>234</v>
      </c>
    </row>
    <row r="82" spans="1:11" ht="30" x14ac:dyDescent="0.2">
      <c r="A82" s="80">
        <v>10482</v>
      </c>
      <c r="B82" s="129" t="s">
        <v>248</v>
      </c>
      <c r="C82" s="89" t="s">
        <v>264</v>
      </c>
      <c r="D82" s="125" t="s">
        <v>263</v>
      </c>
      <c r="E82" s="125" t="s">
        <v>254</v>
      </c>
      <c r="F82" s="82" t="s">
        <v>227</v>
      </c>
      <c r="G82" s="442">
        <v>0</v>
      </c>
      <c r="H82" s="125" t="s">
        <v>254</v>
      </c>
      <c r="I82" s="87" t="s">
        <v>253</v>
      </c>
      <c r="J82" s="124" t="s">
        <v>232</v>
      </c>
      <c r="K82" s="87"/>
    </row>
    <row r="83" spans="1:11" ht="15" x14ac:dyDescent="0.2">
      <c r="A83" s="130">
        <v>10481</v>
      </c>
      <c r="B83" s="129" t="s">
        <v>262</v>
      </c>
      <c r="C83" s="126" t="s">
        <v>261</v>
      </c>
      <c r="D83" s="443">
        <v>654000</v>
      </c>
      <c r="E83" s="442">
        <v>0</v>
      </c>
      <c r="F83" s="93" t="s">
        <v>227</v>
      </c>
      <c r="G83" s="442">
        <v>0</v>
      </c>
      <c r="H83" s="442">
        <f>+E83-G83</f>
        <v>0</v>
      </c>
      <c r="I83" s="87" t="s">
        <v>260</v>
      </c>
      <c r="J83" s="128" t="s">
        <v>259</v>
      </c>
      <c r="K83" s="127"/>
    </row>
    <row r="84" spans="1:11" ht="45" x14ac:dyDescent="0.2">
      <c r="A84" s="80">
        <v>11760</v>
      </c>
      <c r="B84" s="72" t="s">
        <v>228</v>
      </c>
      <c r="C84" s="91" t="s">
        <v>258</v>
      </c>
      <c r="D84" s="123"/>
      <c r="E84" s="88">
        <v>385677</v>
      </c>
      <c r="F84" s="82" t="s">
        <v>250</v>
      </c>
      <c r="G84" s="88">
        <v>385677</v>
      </c>
      <c r="H84" s="88">
        <f>+E84-G84</f>
        <v>0</v>
      </c>
      <c r="I84" s="82" t="s">
        <v>249</v>
      </c>
      <c r="J84" s="122">
        <v>41319</v>
      </c>
      <c r="K84" s="90">
        <v>41319</v>
      </c>
    </row>
    <row r="85" spans="1:11" ht="30" x14ac:dyDescent="0.2">
      <c r="A85" s="66">
        <v>10484</v>
      </c>
      <c r="B85" s="94" t="s">
        <v>257</v>
      </c>
      <c r="C85" s="126" t="s">
        <v>256</v>
      </c>
      <c r="D85" s="125" t="s">
        <v>255</v>
      </c>
      <c r="E85" s="125" t="s">
        <v>254</v>
      </c>
      <c r="F85" s="82" t="s">
        <v>227</v>
      </c>
      <c r="G85" s="88">
        <v>0</v>
      </c>
      <c r="H85" s="442">
        <f t="shared" ref="H85:H92" si="6">+E85-G85</f>
        <v>0</v>
      </c>
      <c r="I85" s="87" t="s">
        <v>253</v>
      </c>
      <c r="J85" s="124" t="s">
        <v>232</v>
      </c>
      <c r="K85" s="87"/>
    </row>
    <row r="86" spans="1:11" ht="30" x14ac:dyDescent="0.2">
      <c r="A86" s="66">
        <v>10483</v>
      </c>
      <c r="B86" s="72" t="s">
        <v>230</v>
      </c>
      <c r="C86" s="89" t="s">
        <v>252</v>
      </c>
      <c r="D86" s="123">
        <f>+E86/0.8</f>
        <v>85446.25</v>
      </c>
      <c r="E86" s="88">
        <v>68357</v>
      </c>
      <c r="F86" s="82" t="s">
        <v>231</v>
      </c>
      <c r="G86" s="88">
        <v>68357</v>
      </c>
      <c r="H86" s="88">
        <f t="shared" si="6"/>
        <v>0</v>
      </c>
      <c r="I86" s="87" t="s">
        <v>229</v>
      </c>
      <c r="J86" s="122">
        <v>40056</v>
      </c>
      <c r="K86" s="90">
        <v>40017</v>
      </c>
    </row>
    <row r="87" spans="1:11" ht="30" x14ac:dyDescent="0.2">
      <c r="A87" s="80">
        <v>10968</v>
      </c>
      <c r="B87" s="72" t="s">
        <v>228</v>
      </c>
      <c r="C87" s="89" t="s">
        <v>251</v>
      </c>
      <c r="D87" s="88">
        <f>(+E87*1.25)+2543332</f>
        <v>3643332</v>
      </c>
      <c r="E87" s="88">
        <v>880000</v>
      </c>
      <c r="F87" s="82" t="s">
        <v>250</v>
      </c>
      <c r="G87" s="88">
        <v>880000</v>
      </c>
      <c r="H87" s="88">
        <f t="shared" si="6"/>
        <v>0</v>
      </c>
      <c r="I87" s="87" t="s">
        <v>249</v>
      </c>
      <c r="J87" s="122"/>
      <c r="K87" s="90">
        <v>41276</v>
      </c>
    </row>
    <row r="88" spans="1:11" ht="30" x14ac:dyDescent="0.2">
      <c r="A88" s="80">
        <v>11350</v>
      </c>
      <c r="B88" s="67" t="s">
        <v>248</v>
      </c>
      <c r="C88" s="89" t="s">
        <v>247</v>
      </c>
      <c r="D88" s="88">
        <v>200000</v>
      </c>
      <c r="E88" s="88">
        <v>62577</v>
      </c>
      <c r="F88" s="82" t="s">
        <v>227</v>
      </c>
      <c r="G88" s="88">
        <v>62577</v>
      </c>
      <c r="H88" s="88">
        <f t="shared" si="6"/>
        <v>0</v>
      </c>
      <c r="I88" s="87" t="s">
        <v>246</v>
      </c>
      <c r="J88" s="121">
        <v>40688</v>
      </c>
      <c r="K88" s="90">
        <v>40548</v>
      </c>
    </row>
    <row r="89" spans="1:11" ht="45" x14ac:dyDescent="0.2">
      <c r="A89" s="66">
        <v>11764</v>
      </c>
      <c r="B89" s="120" t="s">
        <v>245</v>
      </c>
      <c r="C89" s="137" t="s">
        <v>244</v>
      </c>
      <c r="D89" s="116">
        <f>+E89/0.8</f>
        <v>699736.25</v>
      </c>
      <c r="E89" s="116">
        <f>568443-8654</f>
        <v>559789</v>
      </c>
      <c r="F89" s="115" t="s">
        <v>227</v>
      </c>
      <c r="G89" s="116">
        <v>559789</v>
      </c>
      <c r="H89" s="88">
        <f t="shared" si="6"/>
        <v>0</v>
      </c>
      <c r="I89" s="119" t="s">
        <v>243</v>
      </c>
      <c r="J89" s="114">
        <v>41121</v>
      </c>
      <c r="K89" s="90">
        <v>41121</v>
      </c>
    </row>
    <row r="90" spans="1:11" ht="15" x14ac:dyDescent="0.2">
      <c r="A90" s="118">
        <v>14371</v>
      </c>
      <c r="B90" s="91" t="s">
        <v>204</v>
      </c>
      <c r="C90" s="117" t="s">
        <v>242</v>
      </c>
      <c r="D90" s="116">
        <v>10817.5</v>
      </c>
      <c r="E90" s="116">
        <v>8654</v>
      </c>
      <c r="F90" s="82" t="s">
        <v>226</v>
      </c>
      <c r="G90" s="116">
        <v>8654</v>
      </c>
      <c r="H90" s="88">
        <f t="shared" si="6"/>
        <v>0</v>
      </c>
      <c r="I90" s="82" t="s">
        <v>229</v>
      </c>
      <c r="J90" s="277">
        <v>41864</v>
      </c>
      <c r="K90" s="141">
        <v>41864</v>
      </c>
    </row>
    <row r="91" spans="1:11" ht="15" x14ac:dyDescent="0.2">
      <c r="A91" s="66">
        <v>12738</v>
      </c>
      <c r="B91" s="72" t="s">
        <v>208</v>
      </c>
      <c r="C91" s="91" t="s">
        <v>241</v>
      </c>
      <c r="D91" s="123">
        <v>177300</v>
      </c>
      <c r="E91" s="123">
        <v>137523</v>
      </c>
      <c r="F91" s="115" t="s">
        <v>227</v>
      </c>
      <c r="G91" s="88">
        <v>137523</v>
      </c>
      <c r="H91" s="88">
        <f t="shared" si="6"/>
        <v>0</v>
      </c>
      <c r="I91" s="82" t="s">
        <v>240</v>
      </c>
      <c r="J91" s="114">
        <v>41323</v>
      </c>
      <c r="K91" s="90">
        <v>41444</v>
      </c>
    </row>
    <row r="92" spans="1:11" ht="30" x14ac:dyDescent="0.2">
      <c r="A92" s="441">
        <v>13417</v>
      </c>
      <c r="B92" s="84" t="s">
        <v>208</v>
      </c>
      <c r="C92" s="421" t="s">
        <v>239</v>
      </c>
      <c r="D92" s="281">
        <v>121778.75</v>
      </c>
      <c r="E92" s="281">
        <v>97423</v>
      </c>
      <c r="F92" s="82" t="s">
        <v>226</v>
      </c>
      <c r="G92" s="281">
        <v>97423</v>
      </c>
      <c r="H92" s="88">
        <f t="shared" si="6"/>
        <v>0</v>
      </c>
      <c r="I92" s="82" t="s">
        <v>229</v>
      </c>
      <c r="J92" s="277">
        <v>41943</v>
      </c>
      <c r="K92" s="277">
        <v>41943</v>
      </c>
    </row>
    <row r="93" spans="1:11" ht="15.75" x14ac:dyDescent="0.2">
      <c r="A93" s="80"/>
      <c r="B93" s="112"/>
      <c r="C93" s="111" t="s">
        <v>225</v>
      </c>
      <c r="D93" s="77"/>
      <c r="E93" s="76">
        <f>SUM(E82:E92)</f>
        <v>2200000</v>
      </c>
      <c r="F93" s="110"/>
      <c r="G93" s="109"/>
      <c r="H93" s="76">
        <f>SUM(H83:H92)</f>
        <v>0</v>
      </c>
      <c r="I93" s="74"/>
      <c r="J93" s="75"/>
      <c r="K93" s="74"/>
    </row>
    <row r="94" spans="1:11" ht="15" x14ac:dyDescent="0.2">
      <c r="A94" s="108"/>
      <c r="B94" s="107"/>
      <c r="C94" s="444"/>
      <c r="D94" s="105"/>
      <c r="E94" s="105"/>
      <c r="F94" s="106"/>
      <c r="G94" s="105"/>
      <c r="H94" s="104"/>
      <c r="I94" s="102"/>
      <c r="J94" s="103"/>
      <c r="K94" s="102"/>
    </row>
    <row r="95" spans="1:11" ht="15.75" x14ac:dyDescent="0.2">
      <c r="A95" s="101"/>
      <c r="B95" s="525" t="s">
        <v>720</v>
      </c>
      <c r="C95" s="526"/>
      <c r="D95" s="526"/>
      <c r="E95" s="526"/>
      <c r="F95" s="527"/>
      <c r="G95" s="100"/>
      <c r="H95" s="445"/>
      <c r="I95" s="98"/>
      <c r="J95" s="99"/>
      <c r="K95" s="446"/>
    </row>
    <row r="96" spans="1:11" ht="78.75" x14ac:dyDescent="0.2">
      <c r="A96" s="97" t="s">
        <v>238</v>
      </c>
      <c r="B96" s="95" t="s">
        <v>237</v>
      </c>
      <c r="C96" s="95" t="s">
        <v>0</v>
      </c>
      <c r="D96" s="96" t="s">
        <v>1</v>
      </c>
      <c r="E96" s="96" t="s">
        <v>166</v>
      </c>
      <c r="F96" s="95" t="s">
        <v>167</v>
      </c>
      <c r="G96" s="96" t="s">
        <v>236</v>
      </c>
      <c r="H96" s="96" t="s">
        <v>235</v>
      </c>
      <c r="I96" s="95" t="s">
        <v>170</v>
      </c>
      <c r="J96" s="95" t="s">
        <v>171</v>
      </c>
      <c r="K96" s="95" t="s">
        <v>234</v>
      </c>
    </row>
    <row r="97" spans="1:11" ht="30" x14ac:dyDescent="0.2">
      <c r="A97" s="447" t="s">
        <v>721</v>
      </c>
      <c r="B97" s="72" t="s">
        <v>722</v>
      </c>
      <c r="C97" s="91" t="s">
        <v>723</v>
      </c>
      <c r="D97" s="448">
        <f>1100000+288484-222165</f>
        <v>1166319</v>
      </c>
      <c r="E97" s="88">
        <v>702268</v>
      </c>
      <c r="F97" s="82" t="s">
        <v>231</v>
      </c>
      <c r="G97" s="88">
        <v>702268</v>
      </c>
      <c r="H97" s="77">
        <f>+E97-G97</f>
        <v>0</v>
      </c>
      <c r="I97" s="87" t="s">
        <v>229</v>
      </c>
      <c r="J97" s="90">
        <v>40482</v>
      </c>
      <c r="K97" s="90">
        <v>40557</v>
      </c>
    </row>
    <row r="98" spans="1:11" ht="30" x14ac:dyDescent="0.2">
      <c r="A98" s="447" t="s">
        <v>724</v>
      </c>
      <c r="B98" s="72" t="s">
        <v>725</v>
      </c>
      <c r="C98" s="91" t="s">
        <v>726</v>
      </c>
      <c r="D98" s="448">
        <f>1119250-75000</f>
        <v>1044250</v>
      </c>
      <c r="E98" s="88">
        <v>820000</v>
      </c>
      <c r="F98" s="82" t="s">
        <v>231</v>
      </c>
      <c r="G98" s="88">
        <v>820000</v>
      </c>
      <c r="H98" s="77">
        <f>+E98-G98</f>
        <v>0</v>
      </c>
      <c r="I98" s="87" t="s">
        <v>229</v>
      </c>
      <c r="J98" s="90">
        <v>40485</v>
      </c>
      <c r="K98" s="90">
        <v>40485</v>
      </c>
    </row>
    <row r="99" spans="1:11" ht="45" x14ac:dyDescent="0.2">
      <c r="A99" s="447" t="s">
        <v>727</v>
      </c>
      <c r="B99" s="72" t="s">
        <v>728</v>
      </c>
      <c r="C99" s="91" t="s">
        <v>729</v>
      </c>
      <c r="D99" s="448">
        <v>385043</v>
      </c>
      <c r="E99" s="88">
        <v>100876</v>
      </c>
      <c r="F99" s="82" t="s">
        <v>231</v>
      </c>
      <c r="G99" s="88">
        <v>100876</v>
      </c>
      <c r="H99" s="77">
        <f>+E99-G99</f>
        <v>0</v>
      </c>
      <c r="I99" s="87" t="s">
        <v>229</v>
      </c>
      <c r="J99" s="90">
        <v>39964</v>
      </c>
      <c r="K99" s="90">
        <v>39800</v>
      </c>
    </row>
    <row r="100" spans="1:11" ht="60" x14ac:dyDescent="0.2">
      <c r="A100" s="449" t="s">
        <v>730</v>
      </c>
      <c r="B100" s="72" t="s">
        <v>731</v>
      </c>
      <c r="C100" s="91" t="s">
        <v>732</v>
      </c>
      <c r="D100" s="448">
        <f>576856/0.8</f>
        <v>721070</v>
      </c>
      <c r="E100" s="88">
        <v>576856</v>
      </c>
      <c r="F100" s="82" t="s">
        <v>227</v>
      </c>
      <c r="G100" s="88">
        <v>576856</v>
      </c>
      <c r="H100" s="77">
        <f>+E100-G100</f>
        <v>0</v>
      </c>
      <c r="I100" s="87" t="s">
        <v>229</v>
      </c>
      <c r="J100" s="86">
        <v>39629</v>
      </c>
      <c r="K100" s="90">
        <v>39660</v>
      </c>
    </row>
    <row r="101" spans="1:11" ht="15.75" x14ac:dyDescent="0.2">
      <c r="A101" s="449"/>
      <c r="B101" s="91"/>
      <c r="C101" s="78" t="s">
        <v>225</v>
      </c>
      <c r="D101" s="448"/>
      <c r="E101" s="450">
        <f>SUM(E97:E100)</f>
        <v>2200000</v>
      </c>
      <c r="F101" s="82"/>
      <c r="G101" s="88"/>
      <c r="H101" s="76">
        <f>SUM(H97:H100)</f>
        <v>0</v>
      </c>
      <c r="I101" s="87"/>
      <c r="J101" s="86"/>
      <c r="K101" s="90"/>
    </row>
    <row r="102" spans="1:11" ht="15" x14ac:dyDescent="0.2">
      <c r="A102" s="451"/>
      <c r="B102" s="452"/>
      <c r="C102" s="453"/>
      <c r="D102" s="454"/>
      <c r="E102" s="454"/>
      <c r="F102" s="455"/>
      <c r="G102" s="454"/>
      <c r="H102" s="454"/>
      <c r="I102" s="456"/>
      <c r="J102" s="457"/>
      <c r="K102" s="456"/>
    </row>
    <row r="103" spans="1:11" ht="15.75" x14ac:dyDescent="0.2">
      <c r="A103" s="101"/>
      <c r="B103" s="525" t="s">
        <v>733</v>
      </c>
      <c r="C103" s="526"/>
      <c r="D103" s="526"/>
      <c r="E103" s="526"/>
      <c r="F103" s="527"/>
      <c r="G103" s="100"/>
      <c r="H103" s="100"/>
      <c r="I103" s="98"/>
      <c r="J103" s="99"/>
      <c r="K103" s="98"/>
    </row>
    <row r="104" spans="1:11" ht="78.75" x14ac:dyDescent="0.2">
      <c r="A104" s="97" t="s">
        <v>238</v>
      </c>
      <c r="B104" s="95" t="s">
        <v>237</v>
      </c>
      <c r="C104" s="95" t="s">
        <v>0</v>
      </c>
      <c r="D104" s="96" t="s">
        <v>1</v>
      </c>
      <c r="E104" s="96" t="s">
        <v>166</v>
      </c>
      <c r="F104" s="95" t="s">
        <v>167</v>
      </c>
      <c r="G104" s="96" t="s">
        <v>236</v>
      </c>
      <c r="H104" s="96" t="s">
        <v>235</v>
      </c>
      <c r="I104" s="95" t="s">
        <v>170</v>
      </c>
      <c r="J104" s="95" t="s">
        <v>171</v>
      </c>
      <c r="K104" s="95" t="s">
        <v>234</v>
      </c>
    </row>
    <row r="105" spans="1:11" ht="30" x14ac:dyDescent="0.2">
      <c r="A105" s="447" t="s">
        <v>734</v>
      </c>
      <c r="B105" s="72" t="s">
        <v>233</v>
      </c>
      <c r="C105" s="91" t="s">
        <v>735</v>
      </c>
      <c r="D105" s="88">
        <v>1100000</v>
      </c>
      <c r="E105" s="88">
        <v>880000</v>
      </c>
      <c r="F105" s="82" t="s">
        <v>736</v>
      </c>
      <c r="G105" s="88">
        <v>880000</v>
      </c>
      <c r="H105" s="77">
        <f t="shared" ref="H105:H115" si="7">+E105-G105</f>
        <v>0</v>
      </c>
      <c r="I105" s="87" t="s">
        <v>229</v>
      </c>
      <c r="J105" s="86">
        <v>39599</v>
      </c>
      <c r="K105" s="90">
        <v>39618</v>
      </c>
    </row>
    <row r="106" spans="1:11" ht="45" x14ac:dyDescent="0.2">
      <c r="A106" s="458" t="s">
        <v>737</v>
      </c>
      <c r="B106" s="94" t="s">
        <v>738</v>
      </c>
      <c r="C106" s="459" t="s">
        <v>739</v>
      </c>
      <c r="D106" s="442">
        <v>2589453</v>
      </c>
      <c r="E106" s="442">
        <v>0</v>
      </c>
      <c r="F106" s="93" t="s">
        <v>740</v>
      </c>
      <c r="G106" s="88">
        <v>0</v>
      </c>
      <c r="H106" s="77">
        <v>0</v>
      </c>
      <c r="I106" s="87" t="s">
        <v>741</v>
      </c>
      <c r="J106" s="406" t="s">
        <v>232</v>
      </c>
      <c r="K106" s="406" t="s">
        <v>232</v>
      </c>
    </row>
    <row r="107" spans="1:11" ht="30" x14ac:dyDescent="0.2">
      <c r="A107" s="447" t="s">
        <v>742</v>
      </c>
      <c r="B107" s="72" t="s">
        <v>743</v>
      </c>
      <c r="C107" s="91" t="s">
        <v>744</v>
      </c>
      <c r="D107" s="88">
        <v>138134</v>
      </c>
      <c r="E107" s="88">
        <v>110507</v>
      </c>
      <c r="F107" s="82" t="s">
        <v>736</v>
      </c>
      <c r="G107" s="88">
        <v>110507</v>
      </c>
      <c r="H107" s="77">
        <f t="shared" si="7"/>
        <v>0</v>
      </c>
      <c r="I107" s="87" t="s">
        <v>229</v>
      </c>
      <c r="J107" s="86">
        <v>39862</v>
      </c>
      <c r="K107" s="90">
        <v>39862</v>
      </c>
    </row>
    <row r="108" spans="1:11" ht="30" x14ac:dyDescent="0.2">
      <c r="A108" s="447" t="s">
        <v>745</v>
      </c>
      <c r="B108" s="72" t="s">
        <v>746</v>
      </c>
      <c r="C108" s="91" t="s">
        <v>747</v>
      </c>
      <c r="D108" s="88">
        <v>66677</v>
      </c>
      <c r="E108" s="88">
        <v>53341</v>
      </c>
      <c r="F108" s="82" t="s">
        <v>736</v>
      </c>
      <c r="G108" s="88">
        <v>53341</v>
      </c>
      <c r="H108" s="77">
        <f t="shared" si="7"/>
        <v>0</v>
      </c>
      <c r="I108" s="87" t="s">
        <v>229</v>
      </c>
      <c r="J108" s="90">
        <v>40226</v>
      </c>
      <c r="K108" s="90">
        <v>40226</v>
      </c>
    </row>
    <row r="109" spans="1:11" ht="15" x14ac:dyDescent="0.2">
      <c r="A109" s="447" t="s">
        <v>748</v>
      </c>
      <c r="B109" s="72" t="s">
        <v>749</v>
      </c>
      <c r="C109" s="91" t="s">
        <v>750</v>
      </c>
      <c r="D109" s="88">
        <v>50000</v>
      </c>
      <c r="E109" s="88">
        <v>40000</v>
      </c>
      <c r="F109" s="82" t="s">
        <v>736</v>
      </c>
      <c r="G109" s="88">
        <v>40000</v>
      </c>
      <c r="H109" s="77">
        <f t="shared" si="7"/>
        <v>0</v>
      </c>
      <c r="I109" s="87" t="s">
        <v>229</v>
      </c>
      <c r="J109" s="86">
        <v>39707</v>
      </c>
      <c r="K109" s="90">
        <v>39707</v>
      </c>
    </row>
    <row r="110" spans="1:11" ht="45" x14ac:dyDescent="0.2">
      <c r="A110" s="447" t="s">
        <v>751</v>
      </c>
      <c r="B110" s="72" t="s">
        <v>752</v>
      </c>
      <c r="C110" s="91" t="s">
        <v>753</v>
      </c>
      <c r="D110" s="88">
        <f>E110/0.8</f>
        <v>40267.5</v>
      </c>
      <c r="E110" s="88">
        <v>32214</v>
      </c>
      <c r="F110" s="82" t="s">
        <v>736</v>
      </c>
      <c r="G110" s="88">
        <v>32214</v>
      </c>
      <c r="H110" s="77">
        <f t="shared" si="7"/>
        <v>0</v>
      </c>
      <c r="I110" s="87" t="s">
        <v>229</v>
      </c>
      <c r="J110" s="86">
        <v>39538</v>
      </c>
      <c r="K110" s="90">
        <v>39582</v>
      </c>
    </row>
    <row r="111" spans="1:11" ht="45" x14ac:dyDescent="0.2">
      <c r="A111" s="447" t="s">
        <v>754</v>
      </c>
      <c r="B111" s="72" t="s">
        <v>755</v>
      </c>
      <c r="C111" s="91" t="s">
        <v>756</v>
      </c>
      <c r="D111" s="88">
        <v>500000</v>
      </c>
      <c r="E111" s="88">
        <v>163085</v>
      </c>
      <c r="F111" s="82" t="s">
        <v>740</v>
      </c>
      <c r="G111" s="88">
        <v>163085</v>
      </c>
      <c r="H111" s="88">
        <v>0</v>
      </c>
      <c r="I111" s="87" t="s">
        <v>229</v>
      </c>
      <c r="J111" s="86">
        <v>40543</v>
      </c>
      <c r="K111" s="90">
        <v>40142</v>
      </c>
    </row>
    <row r="112" spans="1:11" ht="30" x14ac:dyDescent="0.2">
      <c r="A112" s="447" t="s">
        <v>757</v>
      </c>
      <c r="B112" s="72" t="s">
        <v>230</v>
      </c>
      <c r="C112" s="91" t="s">
        <v>758</v>
      </c>
      <c r="D112" s="88">
        <v>587500</v>
      </c>
      <c r="E112" s="88">
        <v>220000</v>
      </c>
      <c r="F112" s="82" t="s">
        <v>740</v>
      </c>
      <c r="G112" s="88">
        <v>220000</v>
      </c>
      <c r="H112" s="77">
        <f t="shared" si="7"/>
        <v>0</v>
      </c>
      <c r="I112" s="87" t="s">
        <v>229</v>
      </c>
      <c r="J112" s="86">
        <v>39721</v>
      </c>
      <c r="K112" s="90">
        <v>39708</v>
      </c>
    </row>
    <row r="113" spans="1:11" ht="60" x14ac:dyDescent="0.2">
      <c r="A113" s="460" t="s">
        <v>730</v>
      </c>
      <c r="B113" s="461" t="s">
        <v>731</v>
      </c>
      <c r="C113" s="92" t="s">
        <v>759</v>
      </c>
      <c r="D113" s="462">
        <f>334498/0.8</f>
        <v>418122.5</v>
      </c>
      <c r="E113" s="462">
        <f>125413+177731</f>
        <v>303144</v>
      </c>
      <c r="F113" s="463" t="s">
        <v>227</v>
      </c>
      <c r="G113" s="462">
        <v>303144</v>
      </c>
      <c r="H113" s="462">
        <f t="shared" si="7"/>
        <v>0</v>
      </c>
      <c r="I113" s="464" t="s">
        <v>229</v>
      </c>
      <c r="J113" s="465">
        <v>39629</v>
      </c>
      <c r="K113" s="466">
        <v>39660</v>
      </c>
    </row>
    <row r="114" spans="1:11" ht="30" x14ac:dyDescent="0.2">
      <c r="A114" s="447" t="s">
        <v>721</v>
      </c>
      <c r="B114" s="72" t="s">
        <v>760</v>
      </c>
      <c r="C114" s="91" t="s">
        <v>761</v>
      </c>
      <c r="D114" s="77">
        <f>177732/0.8</f>
        <v>222165</v>
      </c>
      <c r="E114" s="77">
        <v>177732</v>
      </c>
      <c r="F114" s="82" t="s">
        <v>231</v>
      </c>
      <c r="G114" s="88">
        <v>177732</v>
      </c>
      <c r="H114" s="77">
        <f t="shared" si="7"/>
        <v>0</v>
      </c>
      <c r="I114" s="87" t="s">
        <v>229</v>
      </c>
      <c r="J114" s="90">
        <v>40482</v>
      </c>
      <c r="K114" s="90">
        <v>40557</v>
      </c>
    </row>
    <row r="115" spans="1:11" ht="30" x14ac:dyDescent="0.2">
      <c r="A115" s="447" t="s">
        <v>724</v>
      </c>
      <c r="B115" s="72" t="s">
        <v>746</v>
      </c>
      <c r="C115" s="91" t="s">
        <v>762</v>
      </c>
      <c r="D115" s="77">
        <f>60000/0.8</f>
        <v>75000</v>
      </c>
      <c r="E115" s="77">
        <v>60000</v>
      </c>
      <c r="F115" s="82" t="s">
        <v>227</v>
      </c>
      <c r="G115" s="88">
        <v>60000</v>
      </c>
      <c r="H115" s="77">
        <f t="shared" si="7"/>
        <v>0</v>
      </c>
      <c r="I115" s="87" t="s">
        <v>229</v>
      </c>
      <c r="J115" s="90">
        <v>40485</v>
      </c>
      <c r="K115" s="90">
        <v>40485</v>
      </c>
    </row>
    <row r="116" spans="1:11" ht="30" x14ac:dyDescent="0.2">
      <c r="A116" s="447">
        <v>10483</v>
      </c>
      <c r="B116" s="72" t="s">
        <v>230</v>
      </c>
      <c r="C116" s="89" t="s">
        <v>763</v>
      </c>
      <c r="D116" s="77">
        <f>E116/0.8</f>
        <v>82053.75</v>
      </c>
      <c r="E116" s="77">
        <f>39537+26106</f>
        <v>65643</v>
      </c>
      <c r="F116" s="82" t="s">
        <v>740</v>
      </c>
      <c r="G116" s="88">
        <v>65643</v>
      </c>
      <c r="H116" s="77">
        <f>+E116-G116</f>
        <v>0</v>
      </c>
      <c r="I116" s="87" t="s">
        <v>229</v>
      </c>
      <c r="J116" s="86">
        <v>40017</v>
      </c>
      <c r="K116" s="86">
        <v>40017</v>
      </c>
    </row>
    <row r="117" spans="1:11" ht="30" x14ac:dyDescent="0.2">
      <c r="A117" s="66">
        <v>11760</v>
      </c>
      <c r="B117" s="67" t="s">
        <v>228</v>
      </c>
      <c r="C117" s="79" t="s">
        <v>764</v>
      </c>
      <c r="D117" s="85">
        <f>+E117/0.8</f>
        <v>71773.75</v>
      </c>
      <c r="E117" s="85">
        <v>57419</v>
      </c>
      <c r="F117" s="82" t="s">
        <v>227</v>
      </c>
      <c r="G117" s="88">
        <v>57419</v>
      </c>
      <c r="H117" s="77">
        <f>+E117-G117</f>
        <v>0</v>
      </c>
      <c r="I117" s="87" t="s">
        <v>229</v>
      </c>
      <c r="J117" s="86">
        <v>41319</v>
      </c>
      <c r="K117" s="86">
        <v>41319</v>
      </c>
    </row>
    <row r="118" spans="1:11" ht="30" x14ac:dyDescent="0.2">
      <c r="A118" s="441">
        <v>13417</v>
      </c>
      <c r="B118" s="84" t="s">
        <v>208</v>
      </c>
      <c r="C118" s="84" t="s">
        <v>765</v>
      </c>
      <c r="D118" s="83">
        <v>46143.75</v>
      </c>
      <c r="E118" s="81">
        <v>36915</v>
      </c>
      <c r="F118" s="82" t="s">
        <v>226</v>
      </c>
      <c r="G118" s="281">
        <v>36915</v>
      </c>
      <c r="H118" s="77">
        <f>+E118-G118</f>
        <v>0</v>
      </c>
      <c r="I118" s="87" t="s">
        <v>229</v>
      </c>
      <c r="J118" s="70">
        <v>41407</v>
      </c>
      <c r="K118" s="70">
        <v>41407</v>
      </c>
    </row>
    <row r="119" spans="1:11" ht="15.75" x14ac:dyDescent="0.2">
      <c r="A119" s="80"/>
      <c r="B119" s="79"/>
      <c r="C119" s="78" t="s">
        <v>225</v>
      </c>
      <c r="D119" s="77"/>
      <c r="E119" s="76">
        <f>SUM(E105:E117)+E118</f>
        <v>2200000</v>
      </c>
      <c r="F119" s="74"/>
      <c r="G119" s="76"/>
      <c r="H119" s="76">
        <f>SUM(H105:H118)</f>
        <v>0</v>
      </c>
      <c r="I119" s="74"/>
      <c r="J119" s="75"/>
      <c r="K119" s="74"/>
    </row>
  </sheetData>
  <mergeCells count="27">
    <mergeCell ref="I52:J52"/>
    <mergeCell ref="A2:E2"/>
    <mergeCell ref="F2:G2"/>
    <mergeCell ref="H2:I2"/>
    <mergeCell ref="J2:K2"/>
    <mergeCell ref="A11:E11"/>
    <mergeCell ref="F11:G11"/>
    <mergeCell ref="H11:I11"/>
    <mergeCell ref="J11:K11"/>
    <mergeCell ref="H20:I20"/>
    <mergeCell ref="J20:K20"/>
    <mergeCell ref="A41:E41"/>
    <mergeCell ref="F41:G41"/>
    <mergeCell ref="H41:I41"/>
    <mergeCell ref="J41:K41"/>
    <mergeCell ref="A33:E33"/>
    <mergeCell ref="F33:G33"/>
    <mergeCell ref="H33:I33"/>
    <mergeCell ref="J33:K33"/>
    <mergeCell ref="B64:F64"/>
    <mergeCell ref="B80:F80"/>
    <mergeCell ref="B95:F95"/>
    <mergeCell ref="B103:F103"/>
    <mergeCell ref="A20:E20"/>
    <mergeCell ref="F20:G20"/>
    <mergeCell ref="B52:F52"/>
    <mergeCell ref="G52:H52"/>
  </mergeCells>
  <pageMargins left="0.75" right="0.75" top="0.75" bottom="0.5" header="0.5" footer="0.5"/>
  <pageSetup paperSize="17" scale="8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GAVI </vt:lpstr>
      <vt:lpstr>CSVI</vt:lpstr>
      <vt:lpstr>SRT</vt:lpstr>
      <vt:lpstr>RRLGP</vt:lpstr>
      <vt:lpstr>Rail Port FY 2011</vt:lpstr>
      <vt:lpstr>Passenger Rail</vt:lpstr>
      <vt:lpstr>PTIG</vt:lpstr>
    </vt:vector>
  </TitlesOfParts>
  <Company>Iowa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DOT</dc:creator>
  <cp:lastModifiedBy>Administrator</cp:lastModifiedBy>
  <cp:lastPrinted>2015-01-14T18:22:09Z</cp:lastPrinted>
  <dcterms:created xsi:type="dcterms:W3CDTF">2006-11-27T14:03:20Z</dcterms:created>
  <dcterms:modified xsi:type="dcterms:W3CDTF">2016-01-15T19:28:07Z</dcterms:modified>
</cp:coreProperties>
</file>