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85" yWindow="-15" windowWidth="14430" windowHeight="12855"/>
  </bookViews>
  <sheets>
    <sheet name="GAVI " sheetId="23" r:id="rId1"/>
    <sheet name="CSVI" sheetId="24" r:id="rId2"/>
    <sheet name="SRT" sheetId="22" r:id="rId3"/>
    <sheet name="RRLGP" sheetId="29" r:id="rId4"/>
    <sheet name="Rail Port FY 2011" sheetId="28" r:id="rId5"/>
    <sheet name="Passenger Rail" sheetId="30" r:id="rId6"/>
    <sheet name="PTIG" sheetId="25" r:id="rId7"/>
  </sheets>
  <definedNames>
    <definedName name="_xlnm.Print_Area" localSheetId="6">PTIG!#REF!</definedName>
    <definedName name="_xlnm.Print_Area" localSheetId="2">SRT!#REF!</definedName>
    <definedName name="_xlnm.Print_Titles" localSheetId="2">SRT!#REF!</definedName>
  </definedNames>
  <calcPr calcId="145621"/>
</workbook>
</file>

<file path=xl/calcChain.xml><?xml version="1.0" encoding="utf-8"?>
<calcChain xmlns="http://schemas.openxmlformats.org/spreadsheetml/2006/main">
  <c r="D65" i="24" l="1"/>
  <c r="C65" i="24"/>
  <c r="F63" i="24"/>
  <c r="G63" i="24" s="1"/>
  <c r="F62" i="24"/>
  <c r="G62" i="24" s="1"/>
  <c r="G60" i="24"/>
  <c r="G59" i="24"/>
  <c r="F59" i="24"/>
  <c r="F57" i="24"/>
  <c r="F65" i="24" s="1"/>
  <c r="F51" i="24"/>
  <c r="D51" i="24"/>
  <c r="C51" i="24"/>
  <c r="F48" i="24"/>
  <c r="G47" i="24"/>
  <c r="F46" i="24"/>
  <c r="G46" i="24" s="1"/>
  <c r="F45" i="24"/>
  <c r="G44" i="24"/>
  <c r="G43" i="24"/>
  <c r="G51" i="24" s="1"/>
  <c r="F43" i="24"/>
  <c r="G37" i="24"/>
  <c r="F37" i="24"/>
  <c r="D37" i="24"/>
  <c r="C36" i="24"/>
  <c r="C34" i="24"/>
  <c r="C33" i="24"/>
  <c r="C37" i="24" s="1"/>
  <c r="G23" i="24"/>
  <c r="F23" i="24"/>
  <c r="D23" i="24"/>
  <c r="C23" i="24"/>
  <c r="G11" i="24"/>
  <c r="F11" i="24"/>
  <c r="D11" i="24"/>
  <c r="C11" i="24"/>
  <c r="F61" i="23"/>
  <c r="D61" i="23"/>
  <c r="C61" i="23"/>
  <c r="G60" i="23"/>
  <c r="G59" i="23"/>
  <c r="G58" i="23"/>
  <c r="G57" i="23"/>
  <c r="G55" i="23"/>
  <c r="G53" i="23"/>
  <c r="G51" i="23"/>
  <c r="G61" i="23" s="1"/>
  <c r="F47" i="23"/>
  <c r="D47" i="23"/>
  <c r="C47" i="23"/>
  <c r="G46" i="23"/>
  <c r="G45" i="23"/>
  <c r="G43" i="23"/>
  <c r="G42" i="23"/>
  <c r="G41" i="23"/>
  <c r="G47" i="23" s="1"/>
  <c r="F38" i="23"/>
  <c r="D38" i="23"/>
  <c r="C38" i="23"/>
  <c r="G37" i="23"/>
  <c r="G36" i="23"/>
  <c r="G33" i="23"/>
  <c r="G32" i="23"/>
  <c r="G31" i="23"/>
  <c r="G30" i="23"/>
  <c r="G29" i="23"/>
  <c r="G38" i="23" s="1"/>
  <c r="G26" i="23"/>
  <c r="F26" i="23"/>
  <c r="D26" i="23"/>
  <c r="C26" i="23"/>
  <c r="G14" i="23"/>
  <c r="F14" i="23"/>
  <c r="D14" i="23"/>
  <c r="C14" i="23"/>
  <c r="G57" i="24" l="1"/>
  <c r="G65" i="24" s="1"/>
  <c r="B13" i="30" l="1"/>
  <c r="E8" i="30"/>
  <c r="B8" i="30"/>
  <c r="C7" i="30"/>
  <c r="C8" i="30" s="1"/>
  <c r="F5" i="30"/>
  <c r="F4" i="30"/>
  <c r="F3" i="30"/>
  <c r="F7" i="30" l="1"/>
  <c r="F8" i="30" s="1"/>
  <c r="G119" i="29" l="1"/>
  <c r="F119" i="29"/>
  <c r="D119" i="29"/>
  <c r="C119" i="29"/>
  <c r="G115" i="29"/>
  <c r="G114" i="29"/>
  <c r="G111" i="29"/>
  <c r="G110" i="29"/>
  <c r="G106" i="29"/>
  <c r="F106" i="29"/>
  <c r="D106" i="29"/>
  <c r="C106" i="29"/>
  <c r="G104" i="29"/>
  <c r="G98" i="29"/>
  <c r="F98" i="29"/>
  <c r="D98" i="29"/>
  <c r="C98" i="29"/>
  <c r="G84" i="29"/>
  <c r="F84" i="29"/>
  <c r="D84" i="29"/>
  <c r="C84" i="29"/>
  <c r="G83" i="29"/>
  <c r="G73" i="29"/>
  <c r="F73" i="29"/>
  <c r="D73" i="29"/>
  <c r="C73" i="29"/>
  <c r="G72" i="29"/>
  <c r="G62" i="29"/>
  <c r="F62" i="29"/>
  <c r="D62" i="29"/>
  <c r="C62" i="29"/>
  <c r="G54" i="29"/>
  <c r="F54" i="29"/>
  <c r="D54" i="29"/>
  <c r="C54" i="29"/>
  <c r="G41" i="29"/>
  <c r="F41" i="29"/>
  <c r="D41" i="29"/>
  <c r="C41" i="29"/>
  <c r="G28" i="29"/>
  <c r="F28" i="29"/>
  <c r="D28" i="29"/>
  <c r="C28" i="29"/>
  <c r="G18" i="29"/>
  <c r="F18" i="29"/>
  <c r="D18" i="29"/>
  <c r="C18" i="29"/>
  <c r="G8" i="29"/>
  <c r="F8" i="29"/>
  <c r="D8" i="29"/>
  <c r="C8" i="29"/>
  <c r="F7" i="28"/>
  <c r="D7" i="28"/>
  <c r="C7" i="28"/>
  <c r="G3" i="28"/>
  <c r="G7" i="28" s="1"/>
  <c r="E119" i="25" l="1"/>
  <c r="H118" i="25"/>
  <c r="H117" i="25"/>
  <c r="D117" i="25"/>
  <c r="E116" i="25"/>
  <c r="H116" i="25" s="1"/>
  <c r="H115" i="25"/>
  <c r="D115" i="25"/>
  <c r="H114" i="25"/>
  <c r="D114" i="25"/>
  <c r="H113" i="25"/>
  <c r="E113" i="25"/>
  <c r="D113" i="25"/>
  <c r="H112" i="25"/>
  <c r="H110" i="25"/>
  <c r="D110" i="25"/>
  <c r="H109" i="25"/>
  <c r="H108" i="25"/>
  <c r="H107" i="25"/>
  <c r="H105" i="25"/>
  <c r="E101" i="25"/>
  <c r="H100" i="25"/>
  <c r="D100" i="25"/>
  <c r="H99" i="25"/>
  <c r="H98" i="25"/>
  <c r="H101" i="25" s="1"/>
  <c r="D98" i="25"/>
  <c r="H97" i="25"/>
  <c r="D97" i="25"/>
  <c r="E93" i="25"/>
  <c r="H92" i="25"/>
  <c r="H91" i="25"/>
  <c r="H90" i="25"/>
  <c r="H89" i="25"/>
  <c r="E89" i="25"/>
  <c r="D89" i="25"/>
  <c r="H88" i="25"/>
  <c r="H87" i="25"/>
  <c r="D87" i="25"/>
  <c r="H86" i="25"/>
  <c r="D86" i="25"/>
  <c r="H85" i="25"/>
  <c r="H84" i="25"/>
  <c r="H83" i="25"/>
  <c r="H93" i="25" s="1"/>
  <c r="E78" i="25"/>
  <c r="H77" i="25"/>
  <c r="H76" i="25"/>
  <c r="H75" i="25"/>
  <c r="H74" i="25"/>
  <c r="E73" i="25"/>
  <c r="H73" i="25" s="1"/>
  <c r="H72" i="25"/>
  <c r="H71" i="25"/>
  <c r="H70" i="25"/>
  <c r="H69" i="25"/>
  <c r="H68" i="25"/>
  <c r="H67" i="25"/>
  <c r="H66" i="25"/>
  <c r="H61" i="25"/>
  <c r="H60" i="25"/>
  <c r="H59" i="25"/>
  <c r="H58" i="25"/>
  <c r="E58" i="25"/>
  <c r="H57" i="25"/>
  <c r="H56" i="25"/>
  <c r="E56" i="25"/>
  <c r="E55" i="25"/>
  <c r="H55" i="25" s="1"/>
  <c r="H54" i="25"/>
  <c r="H62" i="25" s="1"/>
  <c r="E49" i="25"/>
  <c r="H49" i="25" s="1"/>
  <c r="H48" i="25"/>
  <c r="H47" i="25"/>
  <c r="H46" i="25"/>
  <c r="G45" i="25"/>
  <c r="E45" i="25"/>
  <c r="E50" i="25" s="1"/>
  <c r="H44" i="25"/>
  <c r="H43" i="25"/>
  <c r="E39" i="25"/>
  <c r="E40" i="25" s="1"/>
  <c r="H38" i="25"/>
  <c r="H37" i="25"/>
  <c r="E36" i="25"/>
  <c r="H36" i="25" s="1"/>
  <c r="H35" i="25"/>
  <c r="H30" i="25"/>
  <c r="H29" i="25"/>
  <c r="H28" i="25"/>
  <c r="G27" i="25"/>
  <c r="H27" i="25" s="1"/>
  <c r="H26" i="25"/>
  <c r="G25" i="25"/>
  <c r="E25" i="25"/>
  <c r="H25" i="25" s="1"/>
  <c r="H24" i="25"/>
  <c r="H23" i="25"/>
  <c r="H22" i="25"/>
  <c r="E18" i="25"/>
  <c r="E17" i="25"/>
  <c r="H17" i="25" s="1"/>
  <c r="H16" i="25"/>
  <c r="H15" i="25"/>
  <c r="H14" i="25"/>
  <c r="H18" i="25" s="1"/>
  <c r="H13" i="25"/>
  <c r="E9" i="25"/>
  <c r="G8" i="25"/>
  <c r="E8" i="25"/>
  <c r="H8" i="25" s="1"/>
  <c r="H7" i="25"/>
  <c r="H6" i="25"/>
  <c r="G6" i="25"/>
  <c r="E6" i="25"/>
  <c r="H5" i="25"/>
  <c r="H4" i="25"/>
  <c r="H119" i="25" l="1"/>
  <c r="H9" i="25"/>
  <c r="H31" i="25"/>
  <c r="H78" i="25"/>
  <c r="H40" i="25"/>
  <c r="H39" i="25"/>
  <c r="E62" i="25"/>
  <c r="D116" i="25"/>
  <c r="E31" i="25"/>
  <c r="H45" i="25"/>
  <c r="H50" i="25" s="1"/>
  <c r="G104" i="22" l="1"/>
  <c r="E104" i="22"/>
  <c r="E98" i="22" s="1"/>
  <c r="G98" i="22"/>
  <c r="G89" i="22"/>
  <c r="E89" i="22"/>
  <c r="G80" i="22"/>
  <c r="E80" i="22"/>
  <c r="G68" i="22"/>
  <c r="E57" i="22"/>
  <c r="E68" i="22" s="1"/>
  <c r="G54" i="22"/>
  <c r="E54" i="22"/>
  <c r="G41" i="22"/>
  <c r="E41" i="22"/>
  <c r="J32" i="22"/>
  <c r="H32" i="22"/>
  <c r="J23" i="22"/>
  <c r="H23" i="22"/>
</calcChain>
</file>

<file path=xl/sharedStrings.xml><?xml version="1.0" encoding="utf-8"?>
<sst xmlns="http://schemas.openxmlformats.org/spreadsheetml/2006/main" count="1852" uniqueCount="823">
  <si>
    <t>Description of Project</t>
  </si>
  <si>
    <t>Total Estimated Project Cost</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</si>
  <si>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</si>
  <si>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</si>
  <si>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</si>
  <si>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</si>
  <si>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 Direct Appropriation From Iowa Legislature</t>
  </si>
  <si>
    <t>State Recreational Trail (SRT) Fund and county funds</t>
  </si>
  <si>
    <t>Recreational Trails - RIIF - 0017</t>
  </si>
  <si>
    <t>State Recreational Trail (SRT) Fund, county funds, Federal Transportation Enhancement Funds and MPO Transportation Enhancement Funds</t>
  </si>
  <si>
    <t>State Recreational Trail (SRT) Fund and city hotel/motel tax</t>
  </si>
  <si>
    <t>State Recreational Trail (SRT) Fund, Federal Transportation Enhancement Funds, REAP grant, county, city, and private funds</t>
  </si>
  <si>
    <t>State Recreational Trail (SRT) Fund and  All-Terrain Vehicle Registration Funds</t>
  </si>
  <si>
    <t>*</t>
  </si>
  <si>
    <t>Trail Projects in Wapello County (Wapello County) *</t>
  </si>
  <si>
    <t>Recreational Trails - RC2 - 0942</t>
  </si>
  <si>
    <t xml:space="preserve">State Recreational Trail (SRT) Fund </t>
  </si>
  <si>
    <t>Agreement signed 6/27/2007 - development in process</t>
  </si>
  <si>
    <t>Agreement signed 2/19/2007 - development in process</t>
  </si>
  <si>
    <t>Des Moines County Recreational Trail - Phase 1 Burlington to Starr's Cave (Des Moines County)</t>
  </si>
  <si>
    <t>State Recreational Trail (SRT) Fund and City of Coon Rapids/Whiterock Conservancy</t>
  </si>
  <si>
    <t>Coon Rapids Town Loop Trail (Coon Rapids)</t>
  </si>
  <si>
    <t>Agreement not signed - work not started</t>
  </si>
  <si>
    <t>State Recreational Trail (SRT) Fund and City of Clive</t>
  </si>
  <si>
    <t>Alice's Road Greenbelt Trail Improvements (Clive)</t>
  </si>
  <si>
    <t>State Recreational Trail (SRT) Fund and City of Waterloo</t>
  </si>
  <si>
    <t>18th Street to Riverview Trail Development (Waterloo)</t>
  </si>
  <si>
    <t>State Recreational Trail (SRT) Fund, Polk County Conservation, MPO, and City of Ankeny</t>
  </si>
  <si>
    <t>4-Mile Creek Greenway Trail (Polk County Conservation Board/City of Ankeny Parks and Recreation Department)</t>
  </si>
  <si>
    <t>N/A</t>
  </si>
  <si>
    <t>***</t>
  </si>
  <si>
    <t>Project was rescinded. Funding to be reprogrammed for flood damage projects.</t>
  </si>
  <si>
    <t>Mississippi River Trail Upper Scott County (Le Claire) ***</t>
  </si>
  <si>
    <t>Maquoketa River Water Trail (Jones County Conservation Board)</t>
  </si>
  <si>
    <t>Lewis &amp; Clark Trail Planning Study (Iowa DOT)</t>
  </si>
  <si>
    <t>Agreement signed 9/5/2007 - development in process</t>
  </si>
  <si>
    <t>Jewell to Ellsworth Trail (Hamilton County Conservation Board)*</t>
  </si>
  <si>
    <t>Heart of Iowa Nature Trail Phases VII &amp; VIII (Story County Conservation Board)</t>
  </si>
  <si>
    <t>Fairfield Loop Trail (Fairfield)*</t>
  </si>
  <si>
    <t>State Recreational Trail (SRT) Fund, county, city, and private funds</t>
  </si>
  <si>
    <t>Crawford County Trails (Crawford County)*</t>
  </si>
  <si>
    <t>State Recreational Trail (SRT) Fund, Land Value and Regional Enhancement</t>
  </si>
  <si>
    <t>Ankeny to Woodward Trail Corridor (Boone County Conservation Board)</t>
  </si>
  <si>
    <t xml:space="preserve">State Recreational Trail (SRT) Fund, Winneshiek County Conservation, and City of Decorah </t>
  </si>
  <si>
    <t>Trout Run Trail - Bridging the Past and the Present (City of Decorah and Winneshiek County Conservation Board)</t>
  </si>
  <si>
    <t>State Recreational Trail (SRT) Fund and city funds</t>
  </si>
  <si>
    <t>Agreement signed 3/9/2009 - development in process</t>
  </si>
  <si>
    <t>Summerset Trail (Cities of Indianola, Carlisle and Des Moines)*</t>
  </si>
  <si>
    <t>Agreement signed 10/8/2009 - development in process</t>
  </si>
  <si>
    <t>Stone State Park Trail (Woodbury County/DNR)*</t>
  </si>
  <si>
    <t>State Recreational Trail (SRT) Fund and City of Des Moines</t>
  </si>
  <si>
    <t>Principal Riverwalk (Des Moines)*</t>
  </si>
  <si>
    <t>State Recreational Trail (SRT) Fund and City of Clinton</t>
  </si>
  <si>
    <t>Agreement signed 12/3/2008 - development in process</t>
  </si>
  <si>
    <t>Mississippi River Trail - Liberty Avenue Connection (Clinton)</t>
  </si>
  <si>
    <t>Maquoketa River Water Trail (Jones County)*</t>
  </si>
  <si>
    <t>Linn Creek Trail Connection with Iowa Highway 330 Trail (Marshall County)</t>
  </si>
  <si>
    <t>State Recreational Trail (SRT) Fund, Dickinson County Conservation, MPO, and City of West Okoboji</t>
  </si>
  <si>
    <t>Crawford County Trail (Crawford County)*</t>
  </si>
  <si>
    <t>State Recreational Trail (SRT) Fund, RPA, county, city, and private funds</t>
  </si>
  <si>
    <t>American Gothic Regional Trail Project (Area 15 Regional Planning Commission)*</t>
  </si>
  <si>
    <t>State Recreational Trail (SRT) Fund and Friends of the Decorah Hatchery</t>
  </si>
  <si>
    <t>State Recreational Trail (SRT) Fund, County Foundation, Winneshiek County and Winneshiek County Bridge Grant</t>
  </si>
  <si>
    <t>Trout Run Trail - Box Culverts and Bridge Project (City of Decorah and Winneshiek County Conservation Board)</t>
  </si>
  <si>
    <t>****</t>
  </si>
  <si>
    <t>State Recreational Trail (SRT) Fund and County Budget</t>
  </si>
  <si>
    <t>State Recreational Trail (SRT) Fund,  IANWRR Donated Land and Transportation Enhancement Grant</t>
  </si>
  <si>
    <t>Railbanking Purchase of IANW Railroad (Dickinson County Trails Board and Osceola County Conservation Board)</t>
  </si>
  <si>
    <t>State Recreational Trail (SRT) fund and Local Contributions</t>
  </si>
  <si>
    <t>Principal Riverwalk Recreational Trail (city of Des Moines) *</t>
  </si>
  <si>
    <t>State Recreational Trail (SRT) Fund and Local Contributions</t>
  </si>
  <si>
    <t>Pinicon Ridge Trail (Linn County Conservation Board) *</t>
  </si>
  <si>
    <t>State Recreational Trail (SRT) Fund and City Funds</t>
  </si>
  <si>
    <t>Lewis and Clark Historic Riverfront Trail (City of Sioux City and Iowa DOT) ***</t>
  </si>
  <si>
    <t>State Recreational Trail (SRT) fund and Capital Improvement Funds</t>
  </si>
  <si>
    <t>Iowa River Corridor Trail Connection - Sand Lake (City of Iowa City) ***</t>
  </si>
  <si>
    <t>State Recreational Trail (SRT) Fund, REAP and Lake Restoration Fund</t>
  </si>
  <si>
    <t>Iowa Department of Natural Resources  (DNR) Trail Crew (Iowa DNR)</t>
  </si>
  <si>
    <t>Des Moines River Regional Trail Phase 1 (City of Des Moines) ***</t>
  </si>
  <si>
    <t>State Recreational Trail (SRT) Fund, CDBG - Jumpstart Infrastructure and FEMA-PA</t>
  </si>
  <si>
    <t>Cedar Valley Nature Trail Bridge at McFarlane Park (Black Hawk County Conservation Board)</t>
  </si>
  <si>
    <t>State Recreational Trail (SRT) Fund, Private and Local, Federal Earmark and Other State and Federal Grants</t>
  </si>
  <si>
    <t>Allamakee County Mississippi River Bike Trail (Allamakee County and Allamakee County Economic Development)</t>
  </si>
  <si>
    <t>Date of Completion / Estimated Completion</t>
  </si>
  <si>
    <t>Funds Expended</t>
  </si>
  <si>
    <t>Funds Obligated **</t>
  </si>
  <si>
    <t>Revenue Sources</t>
  </si>
  <si>
    <t>Progress of Work</t>
  </si>
  <si>
    <t>Fiscal Year</t>
  </si>
  <si>
    <t>Fund</t>
  </si>
  <si>
    <t>Rescinded</t>
  </si>
  <si>
    <t>State Recreational Trails</t>
  </si>
  <si>
    <t>Recreational Trails - RIIF - 0018</t>
  </si>
  <si>
    <t>Bluff Creek OHV Park Development Plan (Iowa DNR)</t>
  </si>
  <si>
    <t>State Recreational Trail (SRT) Fund and ATV registration funds</t>
  </si>
  <si>
    <t>Buffalo to Wild Cat Den Road MRT (City of Buffalo)</t>
  </si>
  <si>
    <t>Recreational Trails - RIIF - 0019</t>
  </si>
  <si>
    <t>State Recreational Trail (SRT) Fund and CDBG Jumpstart Infrastructure</t>
  </si>
  <si>
    <t>Recreational Trails - RIIF - 0020</t>
  </si>
  <si>
    <t>Central IA Trail Loop-Chichaqua Valley Trail to Gay Lea Wilson Trail (Polk County Conservation Board)</t>
  </si>
  <si>
    <t>Recreational Trails - RIIF - 0021</t>
  </si>
  <si>
    <t>Dickinson County Spine Trail-Henderson Woods to US71 in Arnolds Park (Arnolds Park and Dickinson County Trails Board)</t>
  </si>
  <si>
    <t>State Recreational Trail (SRT) Fund, city funds and County Trails Board</t>
  </si>
  <si>
    <t>Recreational Trails - RIIF - 0022</t>
  </si>
  <si>
    <t>Gray's Lake Neighborhood Connecting Trail &amp; SW 14th Quiet Street (City of Des Moines)</t>
  </si>
  <si>
    <t>State Recreational Trail (SRT) Fund, city CIP, Gray's Lake Neighborhood Association and land donations</t>
  </si>
  <si>
    <t>Recreational Trails - RIIF - 0023</t>
  </si>
  <si>
    <t>Gypsum City OHV Park  (WCIC and Iowa DNR)</t>
  </si>
  <si>
    <t>State Recreational Trail (SRT) Fund, Federal Recreational Trails, Webster County Conservation and ATV registration funds</t>
  </si>
  <si>
    <t>Recreational Trails - RIIF - 0024</t>
  </si>
  <si>
    <t>Iowa DNR Trails Program (Iowa DNR)</t>
  </si>
  <si>
    <t>Recreational Trails - RIIF - 0025</t>
  </si>
  <si>
    <t>NW Beaver Drive Trail (City of Johnston)</t>
  </si>
  <si>
    <t>State Recreational Trail (SRT) Fund, city G.O. bond and city park and trail improvement fund</t>
  </si>
  <si>
    <t>Recreational Trails - RIIF - 0026</t>
  </si>
  <si>
    <t>Turkey River Recreational Corridor Trail-Elkader to Motor Mill (Clayton County Conservation Board)</t>
  </si>
  <si>
    <t>State Recreational Trail (SRT) Fund, statewide TE grant and local contributions</t>
  </si>
  <si>
    <t>Recreational Trails - RIIF - 0027</t>
  </si>
  <si>
    <t>Water Trails Planning, Design and Construction Activities (Iowa DNR)</t>
  </si>
  <si>
    <t>State Recreational Trail (SRT) Fund, marine fuel tax, U.S. Coast Guard, boat registration fees and RIIF</t>
  </si>
  <si>
    <t>Agreement signed  1/4/2010 - project completed</t>
  </si>
  <si>
    <t>Agreement signed 11/5/2008 - project completed</t>
  </si>
  <si>
    <t>Agreement signed 7/8/2008 - project completed</t>
  </si>
  <si>
    <t>Agreement signed 12/3/2008 - project completed</t>
  </si>
  <si>
    <t>Agreement signed 3/16/2009 - project completed</t>
  </si>
  <si>
    <t>Agreement IDOT  - project completed</t>
  </si>
  <si>
    <t>Agreement signed 12/13/2007 - project completed</t>
  </si>
  <si>
    <t>Agreement signed 3/29/2007 - project completed</t>
  </si>
  <si>
    <t>Agreement signed 1/12/2010 - development in process</t>
  </si>
  <si>
    <t>Agreement signed 4/16/2007 - project completed</t>
  </si>
  <si>
    <t>Agreement signed 8/21/2006 - project completed</t>
  </si>
  <si>
    <t>Agreement signed 7/10/2006 - project completed</t>
  </si>
  <si>
    <t>Agreement signed 7/31/2006 - project completed</t>
  </si>
  <si>
    <t>The FY 2012 SRT appropriation was for $3,000,000.  The total amount of SRT funding for projects listed in this report is $3,000,000.</t>
  </si>
  <si>
    <t>The FY 2013 SRT appropriation was for $3,000,000.  The total amount of SRT funding for projects listed in this report is over $3,000,000 as a result of awarding additional funding from previous project underruns.</t>
  </si>
  <si>
    <t>City of Clinton Mississippi River Trail Final Connection (City of Clinton)</t>
  </si>
  <si>
    <t>Mines of Spain Trail and Trailhead (City of Dubuque and Iowa DNR)</t>
  </si>
  <si>
    <t>Musser Park to Wiggens Road Trail (City of Muscatine)</t>
  </si>
  <si>
    <t>Shaulis Road Trail Extension – Phase I (City of Waterloo)</t>
  </si>
  <si>
    <t>South Troy Park Trail (City of Robins)</t>
  </si>
  <si>
    <t>Iowa River Trail – Phase 8 of 8 (City of Iowa City)</t>
  </si>
  <si>
    <t>Agreement signed 1/5/2010 - project completed</t>
  </si>
  <si>
    <t>Agreement signed 11/25/2009 - project completed</t>
  </si>
  <si>
    <t>Agreement signed 12/6/2009 - project completed</t>
  </si>
  <si>
    <t>Agreement signed 3/10/2009 - project completed</t>
  </si>
  <si>
    <t>Agreement signed 5/15/2012 - development in process</t>
  </si>
  <si>
    <t>Agreement signed 1/29/2010 - project completed</t>
  </si>
  <si>
    <t>Agreement signed 11/3/2008 - project completed</t>
  </si>
  <si>
    <t>Agreement signed 4/16/2007 - $30,000 was awarded to city of Eldon - project completed</t>
  </si>
  <si>
    <t>Agreement signed 12/20/2011 - development in process</t>
  </si>
  <si>
    <t>Raccoon River Valley Trail Addition--Forest Park to Minburn Trail (Dallas County Conservation Board) ***</t>
  </si>
  <si>
    <t>Agreement signed 11/6/2009 - project completed</t>
  </si>
  <si>
    <t>State Recreational Trail (SRT) Fund and DNR REAP Grant Award</t>
  </si>
  <si>
    <t>State Recreational Trail (SRT) Fund and city G.O. Bonds</t>
  </si>
  <si>
    <t>State Recreational Trail (SRT) Fund, city funds and fundraising/naming opportunities</t>
  </si>
  <si>
    <t>State Recreational Trail (SRT) Fund, Federal Earmark funds and local contribution</t>
  </si>
  <si>
    <t>Agreement signed 6/8/2009 - funding rescinded</t>
  </si>
  <si>
    <t>State Recreational Trail (SRT) Fund, Upper Iowa University, city funds, County Community Foundation, Black Hills Energy, private donors, additional fundraising and DNR REAP Grant Award</t>
  </si>
  <si>
    <t>State Recreational Trail (SRT) Fund, city G.O. Bonds, Regional STP Funds, Earmark funds and Regional TE Funds</t>
  </si>
  <si>
    <t>Bee Branch Creek Trail-MRT Route (City of Dubuque)</t>
  </si>
  <si>
    <t>State Recreational Trail (SRT) Fund, Community Attraction and Tourism Program, State Enhancement Project, Central Iowa Regional Transportation Planning Alliance, Dallas County, City of Perry, City of Waukee, Guthrie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</si>
  <si>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Agreement signed 11/20/2009  - project completed</t>
  </si>
  <si>
    <t>Brushy Creek All-Weather Multi-Use Lake Trail Bridge (Iowa DNR)</t>
  </si>
  <si>
    <t>Fayette-Volga River Multi-Use Trail (Upper Iowa University and Fayette County)</t>
  </si>
  <si>
    <t>FY 2013 RIIF - General Aviation Vertical Infrastructure Program</t>
  </si>
  <si>
    <t>Airport</t>
  </si>
  <si>
    <t>State Share</t>
  </si>
  <si>
    <t>Other Revenue Sources</t>
  </si>
  <si>
    <t>State Funds Used</t>
  </si>
  <si>
    <t>Remaining Obligated</t>
  </si>
  <si>
    <t>Status of Project</t>
  </si>
  <si>
    <t>Date Completed or Estimated Completion Date</t>
  </si>
  <si>
    <t>Boone Municipal Airport</t>
  </si>
  <si>
    <t>Construct hangar</t>
  </si>
  <si>
    <t>Airport funds</t>
  </si>
  <si>
    <t>Clinton Municipal Airport</t>
  </si>
  <si>
    <t>Construct transient hangar</t>
  </si>
  <si>
    <t>Iowa Falls Municipal Airport</t>
  </si>
  <si>
    <t>Red Oak Municipal Airport</t>
  </si>
  <si>
    <t>Vinton Veterans Airpark</t>
  </si>
  <si>
    <t>Total</t>
  </si>
  <si>
    <t>FY 2012 RIIF - General Aviation Vertical Infrastructure Program</t>
  </si>
  <si>
    <t>Atlantic</t>
  </si>
  <si>
    <t>Rehabilitate hangar</t>
  </si>
  <si>
    <t>City funds, other infrastructure funds</t>
  </si>
  <si>
    <t>Completed</t>
  </si>
  <si>
    <t>Design airport terminal and transient hangar</t>
  </si>
  <si>
    <t>Fairfield Municipal Airport</t>
  </si>
  <si>
    <t>Design terminal building</t>
  </si>
  <si>
    <t>Iowa City Municipal Airport</t>
  </si>
  <si>
    <t>Rehabilitate terminal building</t>
  </si>
  <si>
    <t>Maquoketa Airport</t>
  </si>
  <si>
    <t>Replace B-Cap roof</t>
  </si>
  <si>
    <t>Monticello Municipal Airport</t>
  </si>
  <si>
    <t>Rehabilitate FBO city owned building</t>
  </si>
  <si>
    <t>Osceola Municipal Airport</t>
  </si>
  <si>
    <t>Improve terminal / office building</t>
  </si>
  <si>
    <t>Ottumwa Regional Airport</t>
  </si>
  <si>
    <t>Construct 6 unit t-hangar</t>
  </si>
  <si>
    <t>Shenandoah Airport</t>
  </si>
  <si>
    <t>Construct 4 unit t-hangar</t>
  </si>
  <si>
    <t>Rehabilitate terminal and building D roofs (FY 2013 project)</t>
  </si>
  <si>
    <t>Rehabilitate terminal roof (FY 2013 project)</t>
  </si>
  <si>
    <t>Airport funds, other infrastructure funds from other years</t>
  </si>
  <si>
    <t>Davenport</t>
  </si>
  <si>
    <t>FY 2013 RIIF - Commercial Service Vertical Infrastructure (CSVI) Projects</t>
  </si>
  <si>
    <t>Replace hangar</t>
  </si>
  <si>
    <t>Renovate terminal building lobby</t>
  </si>
  <si>
    <t>Des Moines</t>
  </si>
  <si>
    <t>Dubuque</t>
  </si>
  <si>
    <t>Construct terminal building</t>
  </si>
  <si>
    <t>Fort Dodge</t>
  </si>
  <si>
    <t>Renovate terminal operation area and former flight service station building</t>
  </si>
  <si>
    <t>Mason City</t>
  </si>
  <si>
    <t>Construct office addition</t>
  </si>
  <si>
    <t>Sioux City</t>
  </si>
  <si>
    <t>Rehabilitate hangars</t>
  </si>
  <si>
    <t>Waterloo</t>
  </si>
  <si>
    <t>Rehabilitate hangars and snow removal equipment building</t>
  </si>
  <si>
    <t>FY 2012 RIIF - Commercial Service Vertical Infrastructure (CSVI) Projects</t>
  </si>
  <si>
    <t>Construct hangars</t>
  </si>
  <si>
    <t>Renovate terminal - relocate baggage screening area</t>
  </si>
  <si>
    <t>Renovate terminal to prevent drainage issues; design renovation to flight service station; hangar A and B demolition</t>
  </si>
  <si>
    <t>TOTAL</t>
  </si>
  <si>
    <t>Renovate hangar</t>
  </si>
  <si>
    <t>GRAND TOTAL</t>
  </si>
  <si>
    <t>Local Funds</t>
  </si>
  <si>
    <t>Transit Agency Funds</t>
  </si>
  <si>
    <t>City of Coralville</t>
  </si>
  <si>
    <t>Project complete</t>
  </si>
  <si>
    <t>Western Iowa Transit System (Region 12) - Carroll</t>
  </si>
  <si>
    <t>Federal Transit Funds, Transit Agency Funds</t>
  </si>
  <si>
    <t>NA</t>
  </si>
  <si>
    <t>Ames Transit Agency (CyRide)</t>
  </si>
  <si>
    <t>Final Payment</t>
  </si>
  <si>
    <t>Remaining Balance</t>
  </si>
  <si>
    <t>State Funds Paid to Date</t>
  </si>
  <si>
    <t>Transit System</t>
  </si>
  <si>
    <t>Contract Number</t>
  </si>
  <si>
    <t>Storage barn (partial--also see supplemental funding from FY07, FY10, FY11, FY12)</t>
  </si>
  <si>
    <t>Awarded 1/2011</t>
  </si>
  <si>
    <t>Storm water rack and sanitation sewer (see FY10 and FY11)</t>
  </si>
  <si>
    <t>Administrative/operations offices (partial--also see funding from FY10, FY13)</t>
  </si>
  <si>
    <t>Awarded 12/09</t>
  </si>
  <si>
    <t>Construct satellite transit operations and vehicle storage/maintenance facility in Webster City to support MIDAS transit services in Hamilaton Co. (partial see also funding in FY10)</t>
  </si>
  <si>
    <t>MIDAS Regional Transit (Region 5) -  Ft. Dodge</t>
  </si>
  <si>
    <t>Contract awarded 7/09</t>
  </si>
  <si>
    <t>Rehabitate west wall exterior insulation finish system (EIFS) of Cy-Ride maintenance facility</t>
  </si>
  <si>
    <t>CyRide (Ames)</t>
  </si>
  <si>
    <t>Awarded 12/10</t>
  </si>
  <si>
    <t>FEMA Funds, Transit Agency Funds</t>
  </si>
  <si>
    <t>Relocate transit office/maintenance facility out of floodway</t>
  </si>
  <si>
    <t>Construct a vehicle storage addition (partial - see also supplimental funding from FY07)</t>
  </si>
  <si>
    <t>Project switched to ARRA</t>
  </si>
  <si>
    <t>0</t>
  </si>
  <si>
    <t>$491,300</t>
  </si>
  <si>
    <r>
      <t>Vehicle storage and wash bays</t>
    </r>
    <r>
      <rPr>
        <sz val="12"/>
        <rFont val="Arial"/>
        <family val="2"/>
      </rPr>
      <t xml:space="preserve"> (Moved to ARRA)</t>
    </r>
  </si>
  <si>
    <t>River Bend Transit (Region 9) - Davenport</t>
  </si>
  <si>
    <t>Construct bus wash bash and expanded parts storage, etc. for relocated transit maintenance facility  (partial -- see also supplemental funding from FY07 and FY10)</t>
  </si>
  <si>
    <t>Est. 6/30/2010</t>
  </si>
  <si>
    <t>Project Cancelled</t>
  </si>
  <si>
    <r>
      <t xml:space="preserve">Relocate transit offices </t>
    </r>
    <r>
      <rPr>
        <sz val="12"/>
        <rFont val="Arial"/>
        <family val="2"/>
      </rPr>
      <t>(Cancelled 8-9-10)</t>
    </r>
  </si>
  <si>
    <t>City of Davenport</t>
  </si>
  <si>
    <t>$640,000</t>
  </si>
  <si>
    <r>
      <rPr>
        <strike/>
        <sz val="12"/>
        <rFont val="Arial"/>
        <family val="2"/>
      </rPr>
      <t>Reconstruction of the steam cleaning area</t>
    </r>
    <r>
      <rPr>
        <sz val="12"/>
        <rFont val="Arial"/>
        <family val="2"/>
      </rPr>
      <t xml:space="preserve">  (Moved to ARRA)</t>
    </r>
  </si>
  <si>
    <t>FY 2009 - RC3 511 - Health Restricted Capital Bond Fund (Revenue Bonds Capitals)</t>
  </si>
  <si>
    <t>Storage barn (partial--also see supplemental funding from FY07, FY09, FY11, FY12)</t>
  </si>
  <si>
    <t>Storm water rack and sanitation sewer (see FY11 and supplemental funding from FY09)</t>
  </si>
  <si>
    <t>Administrative/operations offices (partial--also see funding from FY09, FY13)</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</si>
  <si>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</si>
  <si>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</si>
  <si>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</si>
  <si>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</si>
  <si>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</si>
  <si>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</si>
  <si>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</si>
  <si>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</si>
  <si>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Restoration of masonry structures and upgrade of energy management system at DART facility</t>
  </si>
  <si>
    <t>Des Moines Area Regional Transit</t>
  </si>
  <si>
    <t>Construct bus wash bash and expanded parts storage, etc. for relocated transit maintenance facility  (partial -- see also supplemental funding from FY07 and FY09)</t>
  </si>
  <si>
    <t>Locker/washroom renovations</t>
  </si>
  <si>
    <t xml:space="preserve">FY 2010 - RIIF 017 - Rebuild Iowa Infrastructure Fund </t>
  </si>
  <si>
    <t>Storage barn (partial--also see supplemental funding from FY07, FY09, FY10, FY12)</t>
  </si>
  <si>
    <t>Construct a vehicle storage facility</t>
  </si>
  <si>
    <t>Southwest Iowa Transit Agency-SWITA (Region 13)</t>
  </si>
  <si>
    <t>Wash rack rehabilitation</t>
  </si>
  <si>
    <t>Transfer facility</t>
  </si>
  <si>
    <t>Replace roof over maintenance area</t>
  </si>
  <si>
    <t>Federal Transit Funds and Local</t>
  </si>
  <si>
    <t>Construct additional bus storage/maintenance areas</t>
  </si>
  <si>
    <t>FY 2011 - I-Jobs Bonding (Revenue Bonds Capitals II)</t>
  </si>
  <si>
    <t>Passenger shelter</t>
  </si>
  <si>
    <t>Muscatine</t>
  </si>
  <si>
    <t>Roof replacement</t>
  </si>
  <si>
    <t>Sprinkler replacement</t>
  </si>
  <si>
    <t>Storage barn (partial--also see supplemental funding from FY07, FY09, FY10, FY11)</t>
  </si>
  <si>
    <t>local &amp; FEMA</t>
  </si>
  <si>
    <t>New facility to replace transit garage and admin. facility</t>
  </si>
  <si>
    <t>Cedar Rapids</t>
  </si>
  <si>
    <t xml:space="preserve">Facility renovation </t>
  </si>
  <si>
    <t>Ames</t>
  </si>
  <si>
    <t xml:space="preserve">FY 2012 - Rebuild Iowa Infrastructure Fund </t>
  </si>
  <si>
    <t>federal transit funds
 local funds</t>
  </si>
  <si>
    <t>Fuel delivery system</t>
  </si>
  <si>
    <t>Storage barn portals restoration</t>
  </si>
  <si>
    <t>Administrative/operations offices (partial--also see funding from FY09, FY10)</t>
  </si>
  <si>
    <t>Administration facility/garage</t>
  </si>
  <si>
    <t xml:space="preserve">FY 2013 - Rebuild Iowa Infrastructure Fund </t>
  </si>
  <si>
    <t>None</t>
  </si>
  <si>
    <t>Burlington</t>
  </si>
  <si>
    <t>Local</t>
  </si>
  <si>
    <t>Local funds</t>
  </si>
  <si>
    <t xml:space="preserve">FY 2011 Rail Port Program </t>
  </si>
  <si>
    <t>Project Sponsor</t>
  </si>
  <si>
    <t>Wind Energy Supply Chain Industrial Park (Iowa City)</t>
  </si>
  <si>
    <t>Construct rail siding</t>
  </si>
  <si>
    <t>Local match</t>
  </si>
  <si>
    <t>Southbridge Rail Yard (Sioux City)</t>
  </si>
  <si>
    <t>Construct lead track and drop/pull yard</t>
  </si>
  <si>
    <t>Manly Terminal Wind Rail Port (Worth County)</t>
  </si>
  <si>
    <t xml:space="preserve">Construct rail spur and loop track </t>
  </si>
  <si>
    <t>Local and private match</t>
  </si>
  <si>
    <t>Lincoln Way Rail Port (Clinton)</t>
  </si>
  <si>
    <t xml:space="preserve">Construct lead track </t>
  </si>
  <si>
    <t xml:space="preserve">FY 2013 Railroad Revolving Loan and Grant Program </t>
  </si>
  <si>
    <t>CRANDIC Iowa River Crossing North Bridge</t>
  </si>
  <si>
    <t>Consruct replacement rail bridge</t>
  </si>
  <si>
    <t>Company match</t>
  </si>
  <si>
    <t>Iowa Falls UP/CN Connector</t>
  </si>
  <si>
    <t>Upgrade rail infrastructure in industrial area</t>
  </si>
  <si>
    <t>Rail One</t>
  </si>
  <si>
    <t>Industrial Rail Spur Construction</t>
  </si>
  <si>
    <t>BJRY Rail/Truck/Barge Planning Study</t>
  </si>
  <si>
    <t>Planning Study</t>
  </si>
  <si>
    <t>Central Iowa Transloading Facility Feasibility Study</t>
  </si>
  <si>
    <t>Iowa Falls/Hardin County Rail Port Planning Study</t>
  </si>
  <si>
    <t>Mills/Pottawattamie County Rail Port Study</t>
  </si>
  <si>
    <t>North Central Ag Park Planning Study</t>
  </si>
  <si>
    <t>Sioux City Rail Study Phase II</t>
  </si>
  <si>
    <t xml:space="preserve">FY 2012 Railroad Revolving Loan and Grant Program </t>
  </si>
  <si>
    <t>Burlington Junction Railway Spur rehabilitation</t>
  </si>
  <si>
    <t>Butler Cross Dock</t>
  </si>
  <si>
    <t>Cherokee Industrial Spur</t>
  </si>
  <si>
    <t>Complete</t>
  </si>
  <si>
    <t>CRANDIC Iowa River Crossing Improvement</t>
  </si>
  <si>
    <t>Global Foods</t>
  </si>
  <si>
    <t>Rail Spur upgrade</t>
  </si>
  <si>
    <t>Iowa River Railroad</t>
  </si>
  <si>
    <t>Rail line acquisition &amp; preservation</t>
  </si>
  <si>
    <t xml:space="preserve">Project withdrawn by applicant </t>
  </si>
  <si>
    <t>Not applicable</t>
  </si>
  <si>
    <t>North Central Iowa Rail Corridor, LLC</t>
  </si>
  <si>
    <t>Valley Distribution Corporation</t>
  </si>
  <si>
    <t>$                       297, 525</t>
  </si>
  <si>
    <t>Waverly GMT Rail Spur</t>
  </si>
  <si>
    <t xml:space="preserve">FY 2011 Railroad Revolving Loan and Grant Program </t>
  </si>
  <si>
    <t>Adams County Rail</t>
  </si>
  <si>
    <t>Industrial Rail Spur Extension</t>
  </si>
  <si>
    <t xml:space="preserve">Project withdrawn </t>
  </si>
  <si>
    <t>Eastern Iowa Industrial  Center</t>
  </si>
  <si>
    <t>Construct Transloading Facility</t>
  </si>
  <si>
    <t>Federal, state and local match</t>
  </si>
  <si>
    <t>Lomont Molding Inc</t>
  </si>
  <si>
    <t>Nypro Kannaak</t>
  </si>
  <si>
    <t>Construction complete 11/14/2012</t>
  </si>
  <si>
    <t xml:space="preserve">FY 2010 Railroad Revolving Loan and Grant Program </t>
  </si>
  <si>
    <t>Burlington Junction Railway</t>
  </si>
  <si>
    <t>Upgrade rail infrastructure in industrial park</t>
  </si>
  <si>
    <t>Railroad match</t>
  </si>
  <si>
    <t>Cedar Rapids and Iowa City Railroad (CRANDIC)</t>
  </si>
  <si>
    <t xml:space="preserve">Rebuild rail bridge </t>
  </si>
  <si>
    <t>Schau Recycling</t>
  </si>
  <si>
    <t>Install industrial rail spur</t>
  </si>
  <si>
    <t>Shine Brothers Corp.</t>
  </si>
  <si>
    <t>City of Waterloo</t>
  </si>
  <si>
    <t>City match</t>
  </si>
  <si>
    <t>Webster County Board of Supervisors</t>
  </si>
  <si>
    <t>Install industrial rail spur in industrial park</t>
  </si>
  <si>
    <t>County match and company investment</t>
  </si>
  <si>
    <t>Project withdrawn</t>
  </si>
  <si>
    <t>Union Pacific Railroad and Iowa Northern Railway</t>
  </si>
  <si>
    <t xml:space="preserve">Rebuild rail bridge in Waterloo* </t>
  </si>
  <si>
    <t>Railroad match and FRA grant award</t>
  </si>
  <si>
    <t>FY 2009 Railroad Revolving Loan and Grant Program (Flood Recovery)</t>
  </si>
  <si>
    <t>Railroad</t>
  </si>
  <si>
    <t>Repair rail infrastructure damaged by flooding</t>
  </si>
  <si>
    <t>Keokuk Junction Railway Company</t>
  </si>
  <si>
    <t>Iowa, Chicago &amp; Eastern Railroad Corp.</t>
  </si>
  <si>
    <t>Iowa Interstate Railroad</t>
  </si>
  <si>
    <t>Iowa Northern Railway Co.</t>
  </si>
  <si>
    <t>FY 2008 Railroad Revolving Loan and Grant Program</t>
  </si>
  <si>
    <t>List of all revenue sources</t>
  </si>
  <si>
    <t xml:space="preserve">FY 2008 Funds used </t>
  </si>
  <si>
    <t>FY 2008 Remaining Funds Obligated</t>
  </si>
  <si>
    <t>Status of project</t>
  </si>
  <si>
    <t>Cedar Rapids Terminal (Iowa Northern Railroad)   Construct rail spur and intermodal loading facility in Palo</t>
  </si>
  <si>
    <t>State grant and loan; Private investment; local  investment</t>
  </si>
  <si>
    <t>Not Applicable</t>
  </si>
  <si>
    <t>Big River Resources Ethanol Plant industrial rail spur</t>
  </si>
  <si>
    <t>State grant; Private investment</t>
  </si>
  <si>
    <t>Lincolnway Railport Industrial Park</t>
  </si>
  <si>
    <t>Project was withdrawn by applicant. Funding has been reprogrammed to flood recovery assistance.</t>
  </si>
  <si>
    <t>Norfolk Iron and Metal Company industrial rail spur</t>
  </si>
  <si>
    <t>Oregon Trail Energy Rail spur</t>
  </si>
  <si>
    <t>Project was withdrawn. Funding has been reprogrammed to FY2012</t>
  </si>
  <si>
    <t>Prairie Creek Ethanol rail spur</t>
  </si>
  <si>
    <t>State Grant; Private investment</t>
  </si>
  <si>
    <t>Project withdrawn by applicant. Funding has been reprogrammed to flood recovery assistance.</t>
  </si>
  <si>
    <t>Raccoon Valley BioDiesel Rail spur</t>
  </si>
  <si>
    <t>Trinity Towers</t>
  </si>
  <si>
    <t>Unity Ethanol Cedar River</t>
  </si>
  <si>
    <t>State loan; Private investment</t>
  </si>
  <si>
    <t>Project withdrawn. Funding has been reprogrammed to FY12.</t>
  </si>
  <si>
    <t>Unity Ethanol Ottumwa</t>
  </si>
  <si>
    <t>State grant and loan; Private Investment</t>
  </si>
  <si>
    <t>FY 2007 Railroad Revolving Loan and Grant Program</t>
  </si>
  <si>
    <t xml:space="preserve">FY 2007 Funds used </t>
  </si>
  <si>
    <t>FY 2007 Remaining Funds Obligated</t>
  </si>
  <si>
    <t>Alternative Energy Resources Ethanol  Plant industrial rail spur</t>
  </si>
  <si>
    <t>Seimens Wind Power industrial rail spur</t>
  </si>
  <si>
    <t>Southern Bio Energy industrial rail spur</t>
  </si>
  <si>
    <t>FY 2006 Railroad Revolving Loan and Grant Program</t>
  </si>
  <si>
    <t xml:space="preserve">FY 2006 Funds used </t>
  </si>
  <si>
    <t>FY 2006 Remaining Funds Obligated</t>
  </si>
  <si>
    <t>Absolute Energy industrial rail spur</t>
  </si>
  <si>
    <t>Cascade Lumber Company industrial rail spur</t>
  </si>
  <si>
    <t>Eastern Iowa Industrial Center rail development for industrial park expansion</t>
  </si>
  <si>
    <t>State grant; Private investment; FHWA grant</t>
  </si>
  <si>
    <t xml:space="preserve">Project in progress </t>
  </si>
  <si>
    <t>Green Plains Renewable Energy</t>
  </si>
  <si>
    <t>Midwest I,LLC industrial rail spur</t>
  </si>
  <si>
    <t>Iowa Renewable Energy LLC industrial rail spur</t>
  </si>
  <si>
    <t>Lincolnway Railport Industrial park rail development</t>
  </si>
  <si>
    <t>Project was withdrawn by applicant. Funding has  been reprogrammed  for flood recovery activities.</t>
  </si>
  <si>
    <t>Marco Group International industrial rail spur switching improvements</t>
  </si>
  <si>
    <t>Metzler Automotive</t>
  </si>
  <si>
    <t>State grant</t>
  </si>
  <si>
    <t>2010 Passenger Rail Service Revolving Fund (RIIF)</t>
  </si>
  <si>
    <t>Remaining Obligated Funds</t>
  </si>
  <si>
    <t>Support in Development of Intercity Passenger Rail efforts</t>
  </si>
  <si>
    <t>Funding reserved to match FY 2009 Recovery Act award to Iowa DOT for Chicago to Omaha Planning Study</t>
  </si>
  <si>
    <t>Federal Railroad Administration FY 2009 HSIPR award</t>
  </si>
  <si>
    <t>In Progress</t>
  </si>
  <si>
    <t>Federal Railroad Administration FY 2010 HSIPR award</t>
  </si>
  <si>
    <t>2011 Passenger Rail Service Revolving Fund (funding from Underground Storage Tank Fund)</t>
  </si>
  <si>
    <t>FY 2014 RIIF - General Aviation Vertical Infrastructure Program</t>
  </si>
  <si>
    <t>Ankeny Regional</t>
  </si>
  <si>
    <t>Construct 6-unit tee hangar</t>
  </si>
  <si>
    <t>Davenport Municipal</t>
  </si>
  <si>
    <t>Rehabilitate hangar 8970</t>
  </si>
  <si>
    <t xml:space="preserve">City funds  </t>
  </si>
  <si>
    <t>Emmetsburg Municipal</t>
  </si>
  <si>
    <t>Construct 80x100 hangar</t>
  </si>
  <si>
    <t>Local funding uncertain</t>
  </si>
  <si>
    <t>Marshalltown Municipal</t>
  </si>
  <si>
    <t xml:space="preserve">Renovate hangar </t>
  </si>
  <si>
    <t>Northeast Iowa Regional</t>
  </si>
  <si>
    <t>Construct 70x120 hangar</t>
  </si>
  <si>
    <t>Ottumwa Regional</t>
  </si>
  <si>
    <t>Local airport funds</t>
  </si>
  <si>
    <t>Perry Municipal</t>
  </si>
  <si>
    <t>Construct 45x100 hangar</t>
  </si>
  <si>
    <t>City bonding</t>
  </si>
  <si>
    <t>Red Oak Municipal</t>
  </si>
  <si>
    <t xml:space="preserve">Renovate hangar door </t>
  </si>
  <si>
    <t>Webster City Municipal</t>
  </si>
  <si>
    <t>Renovate maintenance hangar</t>
  </si>
  <si>
    <t>Final punch list items.</t>
  </si>
  <si>
    <t>FY 2014 RIIF - Commercial Service Vertical Infrastructure (CSVI) Projects</t>
  </si>
  <si>
    <t>Replace roofs on four buildings</t>
  </si>
  <si>
    <t xml:space="preserve">Re-design flight service station, replace overhead doors in ARFF/Maintenance building, demolish two hangars </t>
  </si>
  <si>
    <t>Rehabilitate terminal: replace terminal cooling system, install security cameras, improve entrance soffit and ceiling</t>
  </si>
  <si>
    <t>Rehabilitate and construct new hangars</t>
  </si>
  <si>
    <t>In progress</t>
  </si>
  <si>
    <t>State Recreational Trail (SRT) Fund, city funds and county funds</t>
  </si>
  <si>
    <t>Bellevue Rivervue Trail-Phase II (City of Bellevue and Jackson County Conservation Board)</t>
  </si>
  <si>
    <t>State Recreational Trail (SRT) Fund, city funds, REAP, Regional Transportation Alternative funds and private donations</t>
  </si>
  <si>
    <t>Bridging the Gap: Phase I Dry Run Trail-Connecting Decorah's Trout Run Trail to the Prairie Farmer Recreational Trail (Winneshiek County Conservation Board and City of Decorah)</t>
  </si>
  <si>
    <t>State Recreational Trail (SRT) Fund, Statewide Transportation Enhancement grant, REAP and local public/private funds</t>
  </si>
  <si>
    <t>Farragut to Shenandoah Trail Connection (City of Farragut)</t>
  </si>
  <si>
    <t>Agreement signed 10/31/2013 - work not started</t>
  </si>
  <si>
    <t>State Recreational Trail (SRT) Fund and land value</t>
  </si>
  <si>
    <t>Iowa River Scenic Trail (Hardin County Board of Supervisors and City of Marshalltown)</t>
  </si>
  <si>
    <t>State Recreational Trail (SRT) Fund, Regional Transportation Alternative funds and land value</t>
  </si>
  <si>
    <t>Multiuse Mississippi River Trail, Riverdale Section, Phase 2 (City of Riverdale)</t>
  </si>
  <si>
    <t>State Recreational Trail (SRT) Fund, city funds, County Regional Authority Grant and National Scenic Byways Grant</t>
  </si>
  <si>
    <t>Pioneer Beach Road Trail (City of Orleans and Dickinson County Trails Board)</t>
  </si>
  <si>
    <t>State Recreational Trail (SRT) Fund, city funds and County Trails Board funds</t>
  </si>
  <si>
    <t>Raccoon River Valley Trail to High Trestle Trail Connector (Dallas County Conservation Board)</t>
  </si>
  <si>
    <t>Agreement signed 7/30/2013 - development in process</t>
  </si>
  <si>
    <t>State Recreational Trail (SRT) Fund, other grants, donations and foundations</t>
  </si>
  <si>
    <t>Agreement signed 11/13/2012 - development in process</t>
  </si>
  <si>
    <t>Agreement signed 12/12/2012 - development in process</t>
  </si>
  <si>
    <t>Agreement signed 5/05/2012 - development in process</t>
  </si>
  <si>
    <t>Agreement signed 12/20/2011 - project completed with other funding</t>
  </si>
  <si>
    <t>*****</t>
  </si>
  <si>
    <t>State Recreational Trail (SRT) Fund, Polk County Conservation and Partners</t>
  </si>
  <si>
    <t>Agreement signed 12/22/2011 - project completed</t>
  </si>
  <si>
    <t>Agreement signed 11/20/2009 - project completed</t>
  </si>
  <si>
    <t>Agreement signed 2/1/2010 - project completed</t>
  </si>
  <si>
    <t>Agreement signed 12/2/2009 - project completed</t>
  </si>
  <si>
    <t>Agreement signed 7/20/2009 - project completed</t>
  </si>
  <si>
    <t>Agreement signed 11/4/2008 - project completed</t>
  </si>
  <si>
    <t>Agreement signed 3/25/2008 - project completed</t>
  </si>
  <si>
    <t>Agreement signed 3/06/2007 - project completed</t>
  </si>
  <si>
    <t>NOTE: To avoid loss of funding, it is the Iowa Department of Transportation's policy to expend the oldest funding first when reimbursing any project costs. Thus, the FY 2006 $1,000,000 appropriation was spent, even though some of the FY 2006 projects listed don't show all their funding was utilized by the expiration date.</t>
  </si>
  <si>
    <t>** Funds obligated per Department of Transportation Commission Order.</t>
  </si>
  <si>
    <t>*** FY 2006 and FY 2008 Funding Rescinded by Local Sponsors - Funding Reallocated to SRT Projects in FY 2010</t>
  </si>
  <si>
    <t>**** The initial $87,500 is from I-Jobs and the remaining $19,771 from rescinded funds from FY 2008.</t>
  </si>
  <si>
    <t>The FY 2008 SRT appropriation was for $2,000,000.  The total amount of SRT funding for projects listed in this report is $2,000,000.</t>
  </si>
  <si>
    <t>There was no SRT appropriation for FY 2011.</t>
  </si>
  <si>
    <t>The FY 2014 SRT appropriation was for $3,000,000.  The total amount of SRT funding for projects listed in this report is over $3,000,000 as a result of awarding additional funding from previous project underruns.</t>
  </si>
  <si>
    <t xml:space="preserve">FY 2014 Railroad Revolving Loan and Grant Program </t>
  </si>
  <si>
    <t>HFCA (HF Chlor Alkali) Rail Road Project</t>
  </si>
  <si>
    <t>Construction of three miles of new (private) track for new Cargill Plant</t>
  </si>
  <si>
    <t>Iowa Corn Processors (ICP) Rail Expansion</t>
  </si>
  <si>
    <t>Construction of two spur tracks on ICP property to add capacity</t>
  </si>
  <si>
    <t>Company Match</t>
  </si>
  <si>
    <t>Carter Lake Metals Processing Building (Owen Industries)</t>
  </si>
  <si>
    <t>Construction of new rail spur to accommodate new production building</t>
  </si>
  <si>
    <t>Project in process</t>
  </si>
  <si>
    <t>Heartland Co-op Greenfield Rail Loading Elevator</t>
  </si>
  <si>
    <t xml:space="preserve">Build a 125-car load out facility </t>
  </si>
  <si>
    <t>CRANDIC - Millrace &amp; Price Creek Bridges</t>
  </si>
  <si>
    <t>Replacement of two bridges</t>
  </si>
  <si>
    <t>City of Knoxville - Red Rock Industrial Park</t>
  </si>
  <si>
    <t>Complete:  loan portion of award declined</t>
  </si>
  <si>
    <t xml:space="preserve">FY 2014 - Rebuild Iowa Infrastructure Fund </t>
  </si>
  <si>
    <t>Region 5</t>
  </si>
  <si>
    <t>Construct new vehicle and administration facility</t>
  </si>
  <si>
    <t>Awarded 8-2013</t>
  </si>
  <si>
    <t>Region 9</t>
  </si>
  <si>
    <t>Purchase and install new generator</t>
  </si>
  <si>
    <t>Region 13</t>
  </si>
  <si>
    <t>Construct wash bay addition</t>
  </si>
  <si>
    <t>Renovate operations office (partial-- see funding from FY10, FY11 and FY13)</t>
  </si>
  <si>
    <t>Rehabilitate maintenance lane</t>
  </si>
  <si>
    <t xml:space="preserve">Replace bus wash system     </t>
  </si>
  <si>
    <t>Rehabilitate roof</t>
  </si>
  <si>
    <t>Replace transit operations heating, ventilating, and air conditioning system</t>
  </si>
  <si>
    <t>Renovate operations office (partial-- see funding from FY10, FY11 and FY14)</t>
  </si>
  <si>
    <t>Renovate operations office (partial-- see funding from FY10, FY13 and FY14)</t>
  </si>
  <si>
    <t>Renovate operations office (partial-- see funding from FY11, FY13 and FY14)</t>
  </si>
  <si>
    <t xml:space="preserve">Note 1:  CRANDIC was awarded $2,000,000 from RRLG, however $386,404 of the award is from federal Rail Assistance Program (RAP) funds.  </t>
  </si>
  <si>
    <t>FY 2015 RIIF - General Aviation Vertical Infrastructure Program</t>
  </si>
  <si>
    <t>Atlantic Municipal Airport</t>
  </si>
  <si>
    <t>Construct 60' x 80' hangar</t>
  </si>
  <si>
    <t>Construct 2-unit, 45' x 80' hangar</t>
  </si>
  <si>
    <t>Decorah Municipal Airport</t>
  </si>
  <si>
    <t>Construct 3-stall rectangular hangar</t>
  </si>
  <si>
    <t>Construct new public terminal building</t>
  </si>
  <si>
    <t>Grinnell Regional Airport</t>
  </si>
  <si>
    <t>Terminal building and maintenance hangar renovation</t>
  </si>
  <si>
    <t>Construct 33' x 42' rectangular hangar</t>
  </si>
  <si>
    <t>Rock Rapids Municipal Airport</t>
  </si>
  <si>
    <t>Rehabilitate hangar roof</t>
  </si>
  <si>
    <t>Sibley Municipal Airport</t>
  </si>
  <si>
    <t xml:space="preserve">Renovate terminal building roof and addition of insulation in hangar </t>
  </si>
  <si>
    <t>Washington Municipal Airport</t>
  </si>
  <si>
    <t>Utility company loan</t>
  </si>
  <si>
    <t xml:space="preserve">Rehabilitate terminal and building roofs </t>
  </si>
  <si>
    <t>Expand four unit t-hangar and apron</t>
  </si>
  <si>
    <t>Ankeny Connector - High Trestle Trail (Polk County Conservation Board)</t>
  </si>
  <si>
    <t>State Recreational Trail (SRT) Fund, city funds, county funds, and Iowa Natural Heritage Foundation funds</t>
  </si>
  <si>
    <t>Cedar Valley Nature Trail Bridge E4 Replacement (Black Hawk County Conservation Board)</t>
  </si>
  <si>
    <t>Coon Rapids Connector Trail Underpass (City of Coon Rapids)</t>
  </si>
  <si>
    <t>Great River Road Bike Lane (Louisa County Secondary Roads)</t>
  </si>
  <si>
    <t>State Recreational Trail (SRT) Fund and Scenic Byways grant</t>
  </si>
  <si>
    <t>Hoover Trail - "The Missing Link" (Johnson County Conservation Board)</t>
  </si>
  <si>
    <t>Iowa DNR AmeriCorps Trail Crew (Iowa Department of Natural Resources)</t>
  </si>
  <si>
    <t>Iowa River Trail Phase 1 Development (City of Marshalltown and Hardin County)</t>
  </si>
  <si>
    <t>State Recreational Trail (SRT) Fund, Region 6 TAP funds and REAP</t>
  </si>
  <si>
    <t>Lake Path Trail/JewEllsworth Trail Segment (Hamilton County Conservation Board)</t>
  </si>
  <si>
    <t>State Recreational Trail (SRT) Fund, Regional TE, cash from local entities and private donations</t>
  </si>
  <si>
    <t>Mississippi River Trail - Pikes Peak Road to Guttenberg (Clayton County)</t>
  </si>
  <si>
    <t>State Recreational Trail (SRT) Fund and local option sales tax</t>
  </si>
  <si>
    <t>Pottawattamie County Trail-Phase I (Pottawattamie County Conservation Board and Pottawattamie County Trail Board)</t>
  </si>
  <si>
    <t xml:space="preserve">State Recreational Trail (SRT) Fund, Federal Recreational Trails funding, county funds and Iowa West Foundation funds </t>
  </si>
  <si>
    <t>Red Cedar Trail and Connector (Linn County Conservation Board and Linn Area Mountain Bike Association)</t>
  </si>
  <si>
    <t>State Recreational Trail (SRT) Fund, Specialized Dealer Grant, Marion Hotel/Motel and other local grants, LAMBA and other donors</t>
  </si>
  <si>
    <t>SW 5th (Jackson) Street Bridge Rehabilitation (City of Des Moines)</t>
  </si>
  <si>
    <t>State Recreational Trail (SRT) Fund,  City CIP funds, TIGER funds and private fundraising</t>
  </si>
  <si>
    <t>Ankeny Connector - High Trestle Trail (Polk County Conservation Board and Ankeny)</t>
  </si>
  <si>
    <t>Agreement signed 10/25/2013 - project completed</t>
  </si>
  <si>
    <t>Agreement signed 1/30/2014 - development in process</t>
  </si>
  <si>
    <t>Agreement signed 1/09/2014 - development in process</t>
  </si>
  <si>
    <t>Agreement signed 11/12/2013 - development in process</t>
  </si>
  <si>
    <t>Agreement signed 12/23/2013 - development in process</t>
  </si>
  <si>
    <t>Agreement signed 11/28/2012 - development in process</t>
  </si>
  <si>
    <t>Agreement signed 11/25/2014 - development in process</t>
  </si>
  <si>
    <t>Agreement signed 3/24/2014 - development in process</t>
  </si>
  <si>
    <t>Agreement signed 7/11/2013 - development in process</t>
  </si>
  <si>
    <t>Cedar Valley Nature Trail Bridge at McFarlane Park (Black Hawk County Conservation Board)*****</t>
  </si>
  <si>
    <t>Agreement signed 12/20/2011 - project completed</t>
  </si>
  <si>
    <t>Agreement signed 1/10/2012 - development in process</t>
  </si>
  <si>
    <t>Agreement signed 1/18/2012 - development in process</t>
  </si>
  <si>
    <t>Agreement signed 1/5/2010 - development in process</t>
  </si>
  <si>
    <t>Summerset Trail Flood Repairs (Warren County Conservation Board)****</t>
  </si>
  <si>
    <t>Trout Run Trail - Decorah Fish Hatchery's Interpretive Restroom Facility (Northeast Iowa Resources Conservation and Development, Inc. and Iowa DNR's Fisheries)</t>
  </si>
  <si>
    <t>Garlock Slough Recreational Trail (City of West Okoboji and Dickinson County Tails Board)*****</t>
  </si>
  <si>
    <t>Riverview Recreation Area Expansion (Trailblazers Off Road Club)*****</t>
  </si>
  <si>
    <t>Agreement signed 12/14/2007 - project completed</t>
  </si>
  <si>
    <t>Agreement signed 2/07/2007 - project completed</t>
  </si>
  <si>
    <t>Lakeview OHV Park Upgrades (Dirt Surfers Inc.)</t>
  </si>
  <si>
    <t>Phase I of the Gypsum City OHV Park (Webster County)</t>
  </si>
  <si>
    <t>Trail construction connecting the Little Sioux County Park to the city of Correctionville (Woodbury County Conservation Board)</t>
  </si>
  <si>
    <t>Phase 4 of the Clear Creek Trail from Mormon Handcart Park to the Clear Creek bridge on U.S. Highway 6 (Coralville)</t>
  </si>
  <si>
    <t>Agreement signed 8/9/2006 - Final Voucher entered 6/11/08; Remaining funds to be used on next phase of project-project completed</t>
  </si>
  <si>
    <t>Construction of trail connecting existing trails in Johnston to the Neal Smith Trail in Des Moines (Polk County Conservation Board)</t>
  </si>
  <si>
    <t>Development of a trail to fill a gap in the trail network around Clear Lake and extending to Mason City (Cerro Gordo County)</t>
  </si>
  <si>
    <t>*****Funding for 2 Projects Rescinded by Local Sponsors and a $32,543 project underrun - Funding Reallocated to SRT Projects in FY 2014</t>
  </si>
  <si>
    <t xml:space="preserve">The FY 2015 SRT appropriation was for $6,000,000 with $1,000,000 for existing historic trail bridges. The total amount of SRT funding for projects listed in this report is over $5,500,000 as a result of awarding additional funding from a previous project underrun. </t>
  </si>
  <si>
    <t xml:space="preserve">FY 2015 Railroad Revolving Loan and Grant Program </t>
  </si>
  <si>
    <t xml:space="preserve">West Charles Street Viaduct </t>
  </si>
  <si>
    <t>Reconstruction, removal and replacement of the east side of the West Charles Street Viaduct</t>
  </si>
  <si>
    <t>Local Match</t>
  </si>
  <si>
    <t>In Agreement Phase</t>
  </si>
  <si>
    <t xml:space="preserve">Five Star Coop </t>
  </si>
  <si>
    <t>Expansion of current rail siding from 3 car capacity to 35 car capacity</t>
  </si>
  <si>
    <t>Des Moines Transload Facility</t>
  </si>
  <si>
    <t>Development of a transload facility to improve the overall freight capacity in Des Moines Metro area</t>
  </si>
  <si>
    <t>Crossroads of Global Innovation</t>
  </si>
  <si>
    <t>Phase two allows for connection to the CN mailline in the ICGI certrified site</t>
  </si>
  <si>
    <t>KJRY Railnetwork Improvements</t>
  </si>
  <si>
    <t>Upgrade a mainline yard switch along with heavily traveled mainline yard tracks</t>
  </si>
  <si>
    <t>Sioux Center Rail Port Study</t>
  </si>
  <si>
    <t xml:space="preserve">A planning study to determine the potential for a rail port adjacent to a BNSF line that runs north/south through the City limits </t>
  </si>
  <si>
    <t xml:space="preserve">Local Match </t>
  </si>
  <si>
    <t>Project Complete</t>
  </si>
  <si>
    <t>Complete - Certificate of Completion Peding</t>
  </si>
  <si>
    <t>Study Complete</t>
  </si>
  <si>
    <t>Project withdrawn by applicants</t>
  </si>
  <si>
    <t xml:space="preserve"> </t>
  </si>
  <si>
    <t xml:space="preserve">FY 2015 - Rebuild Iowa Infrastructure Fund </t>
  </si>
  <si>
    <t>(#16399)</t>
  </si>
  <si>
    <t>Bus depot improvements</t>
  </si>
  <si>
    <t>Est. 7/7/2016</t>
  </si>
  <si>
    <t>(#16400)</t>
  </si>
  <si>
    <t>DART Way front office remodel</t>
  </si>
  <si>
    <t>(#16401)</t>
  </si>
  <si>
    <t>Bus storage facility</t>
  </si>
  <si>
    <t>(#16402)</t>
  </si>
  <si>
    <t>Maintenance, repairs, and improvements for MLK Center</t>
  </si>
  <si>
    <t>FY 2015 RIIF - Commercial Service Vertical Infrastructure (CSVI) Projects</t>
  </si>
  <si>
    <t xml:space="preserve">Date Completed or Expected to be Completed </t>
  </si>
  <si>
    <t>Burlington- Southeast Iowa</t>
  </si>
  <si>
    <t>Replace three hangars</t>
  </si>
  <si>
    <t>Not Started</t>
  </si>
  <si>
    <t>Cedar Rapids- Eastern Iowa</t>
  </si>
  <si>
    <t>Customs &amp; Border Protection relocation</t>
  </si>
  <si>
    <t>Construct new terminal building</t>
  </si>
  <si>
    <t>Construct new hangar</t>
  </si>
  <si>
    <t>Upgrade terminal electrical service and replace overhead door in west maintenance facility</t>
  </si>
  <si>
    <t>Rehabilitate and build hangars</t>
  </si>
  <si>
    <t>Upgrade emergency generator, replace door at bag make-up, and terminal electrical improvements</t>
  </si>
  <si>
    <t>Relocate US Customs building</t>
  </si>
  <si>
    <t>Construct parking garage bridge</t>
  </si>
  <si>
    <t>Cedar Valley Trail "Paving the Way for the American Discovery Trail" (Linn County &amp; Black Hawk County Conservation Boards)</t>
  </si>
  <si>
    <t>State Recreational Trail (SRT) Fund</t>
  </si>
  <si>
    <t>Flint River Trail: Phase I South (Burlington)</t>
  </si>
  <si>
    <t>Hoover Trail -- "The Missing Link" (Johnson County Conservation Board)</t>
  </si>
  <si>
    <t>Hospital Connector Trail Bridge (Manning)</t>
  </si>
  <si>
    <t>Agreement signed 12/21/2015 - development in process</t>
  </si>
  <si>
    <t>Mitchellville to Prairie City Rails-to-Trails Corridor Development (Jasper County Conservation Board)</t>
  </si>
  <si>
    <t>Agreement signed 11/24/2015 - development in process</t>
  </si>
  <si>
    <t>Turkey River Recreational Corridor - Elgin to Gilbertson Park and the Turkey River (Fayette County Conservation Board)</t>
  </si>
  <si>
    <t>State Recreational Trail (SRT) Fund and Regional TAP funds</t>
  </si>
  <si>
    <t>Agreement signed 12/15/2014 - project completed</t>
  </si>
  <si>
    <t>Agreement signed 2/10/2015 - development in process</t>
  </si>
  <si>
    <t>Agreement signed 6/19/2014 - development in process</t>
  </si>
  <si>
    <t>Agreement signed 12/14/2014 - development in process</t>
  </si>
  <si>
    <t>Agreement signed 12/17/2014 - development in process</t>
  </si>
  <si>
    <t>Agreement signed 3/2/2015 - development in process</t>
  </si>
  <si>
    <t>Jurgensen Bridge Refurbishment (Winterset and Winterset Municipal Utility)</t>
  </si>
  <si>
    <t>Agreement signed 9/21/2015 - development in process</t>
  </si>
  <si>
    <t>State Recreational Trail (SRT) Fund, FEMA funds, and city funds</t>
  </si>
  <si>
    <t>******</t>
  </si>
  <si>
    <t>Agreement signed 1/6/2015 - development in process</t>
  </si>
  <si>
    <t>Agreement signed 8/31/2015 -development in process</t>
  </si>
  <si>
    <t>Agreement signed 12/15/2014 -development in process</t>
  </si>
  <si>
    <t>Agreement signed 1/27/2015 - development in process</t>
  </si>
  <si>
    <t>Agreement signed 9/29/2015 - development in process</t>
  </si>
  <si>
    <t>Agreement signed 6/3/2014 - development in process</t>
  </si>
  <si>
    <t>Agreement signed 12/05/2012 - project completed</t>
  </si>
  <si>
    <t>Agreement signed 11/28/2012 - project completed</t>
  </si>
  <si>
    <t>State Recreational Trail (SRT) Fund, Regional TAP funds, and city funds</t>
  </si>
  <si>
    <t>Agreement signed 9/16/2014 - development in process</t>
  </si>
  <si>
    <t>State Recreational Trail (SRT) Fund, National Scenic Byway funds, and city funds</t>
  </si>
  <si>
    <t>State Recreational Trail (SRT) Fund, SAFETEA-LU earmark funds, and city funds</t>
  </si>
  <si>
    <t>Agreement signed 12/15/2011 - project completed</t>
  </si>
  <si>
    <t>Agreement signed 2/6/2012 - project completed</t>
  </si>
  <si>
    <t>Agreement signed 2/23/2012 - project completed</t>
  </si>
  <si>
    <t>State Recreational Trail (SRT) Fund, DNR REAP Grant Award, ICAAP funds,  and City of Des Moines Capital Funds</t>
  </si>
  <si>
    <r>
      <t xml:space="preserve">Cemar Trail - Phase 2 (Cedar Rapids) </t>
    </r>
    <r>
      <rPr>
        <sz val="10"/>
        <color rgb="FFFF0000"/>
        <rFont val="Arial"/>
        <family val="2"/>
      </rPr>
      <t xml:space="preserve"> </t>
    </r>
  </si>
  <si>
    <t>State Recreational Trail (SRT) Fund, federal earmark funds, federal Transportation Alternatives funds, and Cedar Rapids CIP Funds</t>
  </si>
  <si>
    <t>State Recreational Trail (SRT) Fund, Federal Recreational Trails, Regional TAP funds, and county funds</t>
  </si>
  <si>
    <t>******Identifies 2 Projects funded through $1 million existing historic trail bridges allocation that was part of the FY 2015 appropriation.</t>
  </si>
  <si>
    <t>The FY 2016 SRT appropriation was for $3,400,000.  The total amount of SRT funding for projects listed in this report is $3,400,000.</t>
  </si>
  <si>
    <t xml:space="preserve">FY 2016 - Rebuild Iowa Infrastructure Fund </t>
  </si>
  <si>
    <t>(#17521)</t>
  </si>
  <si>
    <t>Building improvements</t>
  </si>
  <si>
    <t>Awarded 8-2015</t>
  </si>
  <si>
    <t>Est. 8/10/2017</t>
  </si>
  <si>
    <t>(#17522)</t>
  </si>
  <si>
    <t>Rehabilitate facility</t>
  </si>
  <si>
    <t>Federal transit funds
 Local funds</t>
  </si>
  <si>
    <t>(#17523)</t>
  </si>
  <si>
    <t>Maintenance, repairs, and replacement of bus shelters (partial funding---also see FY11, FY12, FY14 )</t>
  </si>
  <si>
    <t>(#17519)</t>
  </si>
  <si>
    <t>Region 2</t>
  </si>
  <si>
    <t>Construction of indoor parking facility</t>
  </si>
  <si>
    <t>(#17520)</t>
  </si>
  <si>
    <t>Region 8</t>
  </si>
  <si>
    <t>Roof mounted solar array (partial funding--also see FY15)</t>
  </si>
  <si>
    <t>Awarded 8-2014</t>
  </si>
  <si>
    <t>Roof mounted solar array (partial funding---also see FY16)</t>
  </si>
  <si>
    <t>Est. 3/30/2016</t>
  </si>
  <si>
    <t>Maintenance, repairs, and replacement of bus shelters (partial-- see funding from FY11, FY12 and FY16)</t>
  </si>
  <si>
    <t>Maintenance, repairs, and replacement of bus shelters (partial-- see funding from FY11, FY14 and FY16)</t>
  </si>
  <si>
    <t>Maintenance, repairs, and replacement of bus shelters (partial-- see funding from FY12, FY14 and FY16)</t>
  </si>
  <si>
    <t xml:space="preserve">FY 2008 - RIIF 017 - Rebuild Iowa Infrastructure Fund </t>
  </si>
  <si>
    <t>09522</t>
  </si>
  <si>
    <t>University of Iowa (Cambus)</t>
  </si>
  <si>
    <t>Construct new vehicle storage building for CAMBUS (partial - see also supplimental funding from FY07)</t>
  </si>
  <si>
    <t>09523</t>
  </si>
  <si>
    <t>Des Moines (DART)</t>
  </si>
  <si>
    <t>Construct addition to vehicle storage building (partial - see also supplimental funding from FY07)</t>
  </si>
  <si>
    <t>09524</t>
  </si>
  <si>
    <t>Region Six Planning Commission (Region 6) - Marshalltown</t>
  </si>
  <si>
    <t>Transit portion of Joint Facility</t>
  </si>
  <si>
    <t>09525</t>
  </si>
  <si>
    <t>Delaware, Dubuque and Jackson County Regional Transit Authority (Region 8) - Dubuque</t>
  </si>
  <si>
    <t>Construct new regional transit office, storage and maintenance facility in Dubuque (partial - see also supplimental funding from FY07)</t>
  </si>
  <si>
    <t xml:space="preserve">FY 2007 -  RC2 942  - Health Restricted Capitals Fund </t>
  </si>
  <si>
    <t>09410</t>
  </si>
  <si>
    <t>Expand operations/administration area of CyRide maintenance facility-Ride Facility</t>
  </si>
  <si>
    <t>Transit Agency funds</t>
  </si>
  <si>
    <t>09409</t>
  </si>
  <si>
    <t>City of Cedar Rapids</t>
  </si>
  <si>
    <t>Construct transit portion of new downtown Intermodal facility</t>
  </si>
  <si>
    <t>Federal Transit Funds, Transit Agency funds</t>
  </si>
  <si>
    <t>Project dropped after city reorganization</t>
  </si>
  <si>
    <t>09402</t>
  </si>
  <si>
    <t>City of Davenport (CitiBus)</t>
  </si>
  <si>
    <t>Construct new transit hubs adjacent to regional shopping center and on campus of local university</t>
  </si>
  <si>
    <t>09408</t>
  </si>
  <si>
    <t>Des Moines Area Regional Transit (DART)</t>
  </si>
  <si>
    <t>Renovate maintenance area of DART facility</t>
  </si>
  <si>
    <t>09404</t>
  </si>
  <si>
    <t>City of Sioux City</t>
  </si>
  <si>
    <t>Construct new parts storage building at transit maintenance facility</t>
  </si>
  <si>
    <t>09407</t>
  </si>
  <si>
    <t>North Iowa Area Regional Transit (Region 2) - Mason City</t>
  </si>
  <si>
    <t>Construct a variety of projects to finish out recently constructed transit maintenance facility shared with City of Mason City</t>
  </si>
  <si>
    <t>09406</t>
  </si>
  <si>
    <t>RIDES/Regional Transit Authority (Region 3) - Spencer</t>
  </si>
  <si>
    <t>Construct new satellite facility in Sheldon for transit vehicle storage and maintenance</t>
  </si>
  <si>
    <t>09405</t>
  </si>
  <si>
    <t>Expand transit maintenance and storage facility in Carroll</t>
  </si>
  <si>
    <t xml:space="preserve">Partial funding for FY08 project to construct new regional transit office, storage and maintenance facility in Dubuque </t>
  </si>
  <si>
    <t>University of Iowa (Cambus) - Iowa City</t>
  </si>
  <si>
    <t>Construct new vehicle storage building for CAMBUS (partial - see also funding from FY08)</t>
  </si>
  <si>
    <t>Construct addition to vehicle storage building (partial - see also  funding from FY08)</t>
  </si>
  <si>
    <t>Partial funding for FY09 project to construct a vehicle storage addition in Carroll</t>
  </si>
  <si>
    <t>Construct bus wash bash and expanded parts storage, etc. for relocated transit maintenance facility  (partial -- see also funding from FY09 and FY10)</t>
  </si>
  <si>
    <t>Storage barn (partial--also see supplemental funding from FY09, FY10, FY11, FY12)</t>
  </si>
  <si>
    <t>Complete pending certificate of completion</t>
  </si>
  <si>
    <t>Drawing remaining funds</t>
  </si>
  <si>
    <t xml:space="preserve">FY 2016 Railroad Revolving Loan and Grant Program </t>
  </si>
  <si>
    <t>ADM "S" Curve</t>
  </si>
  <si>
    <t>Current rail spur into the Clinton facility has an "s" curve.  Project proposes to straighten the curveto allow greater rail capacity and better safety.</t>
  </si>
  <si>
    <t>A to Z Drying Rail Enhancement</t>
  </si>
  <si>
    <t>A to Z Drying is replacing and changing the location of an exisiting spur due to expansion of neighboring company.</t>
  </si>
  <si>
    <t>Boone Scenic Valley Industrial Park Line Phase I</t>
  </si>
  <si>
    <t>Construction of a 1700 ft passing track.  Includes grading ballast, and installation of rail ties.  Will also be replacing ties and adding ballast where needed to maintain 286K service.  Company also constructing 1425 feet of track extending to their facility in nearby industrial park.</t>
  </si>
  <si>
    <t>In Kind Match</t>
  </si>
  <si>
    <t>Iowa Traction Transload Project</t>
  </si>
  <si>
    <t>IATR improving their current site by constructing 950 ft siding to support currently transload operation.  Project also includes installing a 90lb switch to accommodate 286K</t>
  </si>
  <si>
    <t>KJRY Yard Enhancements II</t>
  </si>
  <si>
    <t>Project involves replacing four switches and improving tracks, ties and ballast in the yard</t>
  </si>
  <si>
    <t>Project withdrawn by applicant</t>
  </si>
  <si>
    <t xml:space="preserve">Project complete </t>
  </si>
  <si>
    <t>Complete - drawing last of funds - Certificate of completion pending</t>
  </si>
  <si>
    <t>Project in process - granted 18 mo extension</t>
  </si>
  <si>
    <t>Project complete pending certificate of completion - still drawing funds</t>
  </si>
  <si>
    <t>Complete - pending certificate of completion</t>
  </si>
  <si>
    <t>Funding reserved for PE/NEPA activities to match a federal FY 2010 High Speed and Intercity Passenger Rail (HSIPR) award to Iowa DOT for Chicago to Iowa City.  Award announced by FRA in October 2010 to Iowa.</t>
  </si>
  <si>
    <t>Funding reserved for the Iowa City-Cedar Rapids Passenger Rail Conceptual Feasibility Study - Phase 1</t>
  </si>
  <si>
    <t>CRANDIC and MPOJC</t>
  </si>
  <si>
    <t>Funding reserved for Final Design &amp; Construction to match federal FY 2010 High Speed and Intercity Passenger Rail (HSIPR) award to Iowa DOT for Chicago to Iowa City.  Award announced by FRA in October 2010 to Iowa.</t>
  </si>
  <si>
    <t>TBD</t>
  </si>
  <si>
    <t>FY 2016 RIIF - General Aviation Vertical Infrastructure Program</t>
  </si>
  <si>
    <t>Ames Municipal Airport</t>
  </si>
  <si>
    <t>Site improvements for future terminal building</t>
  </si>
  <si>
    <t>Under Construction</t>
  </si>
  <si>
    <t>Council Bluffs Municipal Airport</t>
  </si>
  <si>
    <t>T-hangar Improvements</t>
  </si>
  <si>
    <t>Cresco Municipal Airport</t>
  </si>
  <si>
    <t>Rehabilitate hangar and construct pilot lounge</t>
  </si>
  <si>
    <t>Lamoni Municipal Airport</t>
  </si>
  <si>
    <t>Marshalltown Municipal Airport</t>
  </si>
  <si>
    <t>Pave hangar floor</t>
  </si>
  <si>
    <t>Project on Hold</t>
  </si>
  <si>
    <t>Perry Municipal Airport</t>
  </si>
  <si>
    <t>Repair hangar roof</t>
  </si>
  <si>
    <t>Under Contract</t>
  </si>
  <si>
    <t>Sioux County Regional Airport</t>
  </si>
  <si>
    <t>Construct maintenance and electrical vault buildings</t>
  </si>
  <si>
    <t>In Design</t>
  </si>
  <si>
    <t>Spencer Municipal Airport</t>
  </si>
  <si>
    <t>Rehabilate hangar floor</t>
  </si>
  <si>
    <t>Preliminary Design</t>
  </si>
  <si>
    <t>4/31/2016</t>
  </si>
  <si>
    <t>FY 2016 RIIF - Commercial Service Vertical Infrastructure (CSVI) Projects</t>
  </si>
  <si>
    <t>Replace Hangars</t>
  </si>
  <si>
    <t>Design Phase</t>
  </si>
  <si>
    <t>Rehabilitate Terminal Building</t>
  </si>
  <si>
    <t>General Aviation Improvements</t>
  </si>
  <si>
    <t>Storage Hangar Design</t>
  </si>
  <si>
    <t>Construct Hangar and Flight Service Station redesign</t>
  </si>
  <si>
    <t>Replace Overhead Garage Doors and Perform Terminal Systems Study</t>
  </si>
  <si>
    <t>Rehabilitate and Build Hangars</t>
  </si>
  <si>
    <t>Hangar rehabilitation and baggage area renovation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</si>
</sst>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409]* #,##0_);_([$$-409]* \(#,##0\);_([$$-409]* &quot;-&quot;??_);_(@_)"/>
    <numFmt numFmtId="168" formatCode="[$$-409]#,##0_);\([$$-409]#,##0\)"/>
    <numFmt numFmtId="169" formatCode="_(&quot;$&quot;* #,##0.00_);_(&quot;$&quot;* \(#,##0.00\);_(&quot;$&quot;* &quot;-&quot;_);_(@_)"/>
    <numFmt numFmtId="170" formatCode="_(* #,##0_);_(* \(#,##0\);_(* &quot;-&quot;??_);_(@_)"/>
  </numFmts>
  <fonts count="20" x14ac:knownFonts="1">
    <font>
      <sz val="10"/>
      <name val="Arial"/>
    </font>
    <font>
      <sz val="10"/>
      <name val="Arial"/>
      <family val="2"/>
    </font>
    <font>
      <b/>
      <sz val="10"/>
      <name val="Arial"/>
      <family val="2"/>
    </font>
    <font>
      <sz val="11"/>
      <color indexed="8"/>
      <name val="Calibri"/>
      <family val="2"/>
    </font>
    <font>
      <sz val="10"/>
      <name val="Arial"/>
    </font>
    <font>
      <b/>
      <sz val="10"/>
      <color indexed="8"/>
      <name val="Arial"/>
      <family val="2"/>
    </font>
    <font>
      <b/>
      <sz val="18"/>
      <name val="Arial"/>
      <family val="2"/>
    </font>
    <font>
      <b/>
      <sz val="12"/>
      <name val="Arial"/>
      <family val="2"/>
    </font>
    <font>
      <sz val="12"/>
      <name val="Arial"/>
      <family val="2"/>
    </font>
    <font>
      <sz val="10"/>
      <color indexed="8"/>
      <name val="Arial"/>
      <family val="2"/>
    </font>
    <font>
      <sz val="10"/>
      <color rgb="FF000000"/>
      <name val="Arial"/>
      <family val="2"/>
    </font>
    <font>
      <b/>
      <sz val="16"/>
      <name val="Arial"/>
      <family val="2"/>
    </font>
    <font>
      <strike/>
      <sz val="12"/>
      <name val="Arial"/>
      <family val="2"/>
    </font>
    <font>
      <b/>
      <sz val="14"/>
      <name val="Arial"/>
      <family val="2"/>
    </font>
    <font>
      <sz val="12"/>
      <name val="Arial"/>
    </font>
    <font>
      <b/>
      <sz val="11"/>
      <color theme="1"/>
      <name val="Calibri"/>
      <family val="2"/>
      <scheme val="minor"/>
    </font>
    <font>
      <sz val="18"/>
      <name val="Arial"/>
      <family val="2"/>
    </font>
    <font>
      <sz val="10"/>
      <color rgb="FFFF0000"/>
      <name val="Arial"/>
      <family val="2"/>
    </font>
    <font>
      <b/>
      <sz val="12"/>
      <color rgb="FF00B050"/>
      <name val="Arial"/>
      <family val="2"/>
    </font>
    <font>
      <sz val="12"/>
      <color rgb="FF00B050"/>
      <name val="Arial"/>
      <family val="2"/>
    </font>
  </fonts>
  <fills count="15">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rgb="FF92D05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5">
    <xf numFmtId="0" fontId="0" fillId="0" borderId="0"/>
    <xf numFmtId="44" fontId="4" fillId="0" borderId="0" applyFont="0" applyFill="0" applyBorder="0" applyAlignment="0" applyProtection="0"/>
    <xf numFmtId="0" fontId="1" fillId="0" borderId="0"/>
    <xf numFmtId="0" fontId="3" fillId="0" borderId="0"/>
    <xf numFmtId="0" fontId="1" fillId="0" borderId="0"/>
    <xf numFmtId="0" fontId="1" fillId="0" borderId="0" applyBorder="0"/>
    <xf numFmtId="0" fontId="9" fillId="0" borderId="0"/>
    <xf numFmtId="44" fontId="1" fillId="0" borderId="0" applyFont="0" applyFill="0" applyBorder="0" applyAlignment="0" applyProtection="0"/>
    <xf numFmtId="0" fontId="8" fillId="0" borderId="0"/>
    <xf numFmtId="44" fontId="4" fillId="0" borderId="0" applyFont="0" applyFill="0" applyBorder="0" applyAlignment="0" applyProtection="0"/>
    <xf numFmtId="0" fontId="1" fillId="0" borderId="0" applyBorder="0"/>
    <xf numFmtId="43" fontId="4" fillId="0" borderId="0" applyFont="0" applyFill="0" applyBorder="0" applyAlignment="0" applyProtection="0"/>
    <xf numFmtId="0" fontId="1" fillId="0" borderId="0"/>
    <xf numFmtId="0" fontId="14" fillId="0" borderId="0"/>
    <xf numFmtId="44" fontId="1" fillId="0" borderId="0" applyFont="0" applyFill="0" applyBorder="0" applyAlignment="0" applyProtection="0"/>
  </cellStyleXfs>
  <cellXfs count="532">
    <xf numFmtId="0" fontId="0" fillId="0" borderId="0" xfId="0"/>
    <xf numFmtId="0" fontId="0" fillId="0" borderId="0" xfId="0" applyAlignment="1">
      <alignment wrapText="1"/>
    </xf>
    <xf numFmtId="0" fontId="0" fillId="0" borderId="1" xfId="0" applyBorder="1" applyAlignment="1">
      <alignment wrapText="1"/>
    </xf>
    <xf numFmtId="0" fontId="0" fillId="0" borderId="0" xfId="0" applyFill="1"/>
    <xf numFmtId="0" fontId="2" fillId="0" borderId="0" xfId="0" applyFont="1" applyAlignment="1">
      <alignment horizontal="right" wrapText="1"/>
    </xf>
    <xf numFmtId="165" fontId="2" fillId="0" borderId="0" xfId="0" applyNumberFormat="1" applyFont="1" applyAlignment="1">
      <alignment horizontal="left" wrapText="1"/>
    </xf>
    <xf numFmtId="165" fontId="2" fillId="0" borderId="0" xfId="0" applyNumberFormat="1" applyFont="1" applyAlignment="1">
      <alignment horizontal="right" wrapText="1"/>
    </xf>
    <xf numFmtId="164" fontId="2" fillId="3" borderId="3" xfId="0" applyNumberFormat="1" applyFont="1" applyFill="1" applyBorder="1" applyAlignment="1">
      <alignment horizontal="left" wrapText="1"/>
    </xf>
    <xf numFmtId="164" fontId="2" fillId="3" borderId="2" xfId="0" applyNumberFormat="1" applyFont="1" applyFill="1" applyBorder="1" applyAlignment="1">
      <alignment horizontal="right" wrapText="1"/>
    </xf>
    <xf numFmtId="164" fontId="2" fillId="3" borderId="1" xfId="0" applyNumberFormat="1" applyFont="1" applyFill="1" applyBorder="1" applyAlignment="1">
      <alignment horizontal="right" wrapText="1"/>
    </xf>
    <xf numFmtId="0" fontId="0" fillId="0" borderId="1" xfId="0" applyFill="1" applyBorder="1" applyAlignment="1">
      <alignment wrapText="1"/>
    </xf>
    <xf numFmtId="0" fontId="1" fillId="0" borderId="1" xfId="0" applyFont="1" applyBorder="1" applyAlignment="1">
      <alignment wrapText="1"/>
    </xf>
    <xf numFmtId="14" fontId="1" fillId="3" borderId="1" xfId="0" applyNumberFormat="1" applyFont="1" applyFill="1" applyBorder="1" applyAlignment="1">
      <alignment horizontal="center" wrapText="1"/>
    </xf>
    <xf numFmtId="0" fontId="1" fillId="0" borderId="1" xfId="0" applyFont="1" applyFill="1" applyBorder="1" applyAlignment="1">
      <alignment wrapText="1"/>
    </xf>
    <xf numFmtId="0" fontId="5" fillId="2" borderId="1" xfId="3" applyFont="1" applyFill="1" applyBorder="1" applyAlignment="1">
      <alignment horizontal="center" wrapText="1"/>
    </xf>
    <xf numFmtId="0" fontId="6" fillId="0" borderId="0" xfId="0" applyFont="1" applyAlignment="1">
      <alignment vertical="center"/>
    </xf>
    <xf numFmtId="0" fontId="1" fillId="2" borderId="1" xfId="5" applyFont="1" applyFill="1" applyBorder="1" applyAlignment="1">
      <alignment horizontal="left" vertical="center"/>
    </xf>
    <xf numFmtId="0" fontId="1" fillId="2" borderId="1" xfId="5" applyFont="1" applyFill="1" applyBorder="1" applyAlignment="1">
      <alignment horizontal="left" vertical="center" wrapText="1"/>
    </xf>
    <xf numFmtId="164" fontId="1" fillId="2" borderId="1" xfId="5" applyNumberFormat="1" applyFont="1" applyFill="1" applyBorder="1" applyAlignment="1">
      <alignment horizontal="center" vertical="center" wrapText="1"/>
    </xf>
    <xf numFmtId="44" fontId="1" fillId="2" borderId="1" xfId="5" applyNumberFormat="1" applyFont="1" applyFill="1" applyBorder="1" applyAlignment="1">
      <alignment horizontal="center" vertical="center" wrapText="1"/>
    </xf>
    <xf numFmtId="0" fontId="8" fillId="0" borderId="0" xfId="5" applyFont="1" applyAlignment="1">
      <alignment horizontal="center" vertical="center"/>
    </xf>
    <xf numFmtId="0" fontId="9" fillId="0" borderId="5" xfId="6" applyFont="1" applyFill="1" applyBorder="1" applyAlignment="1">
      <alignment horizontal="left" vertical="center" wrapText="1"/>
    </xf>
    <xf numFmtId="0" fontId="1" fillId="0" borderId="5" xfId="0" applyFont="1" applyFill="1" applyBorder="1" applyAlignment="1">
      <alignment horizontal="left" vertical="center" wrapText="1"/>
    </xf>
    <xf numFmtId="164" fontId="1" fillId="0" borderId="1" xfId="7" applyNumberFormat="1" applyFont="1" applyFill="1" applyBorder="1" applyAlignment="1">
      <alignment horizontal="center" vertical="center"/>
    </xf>
    <xf numFmtId="164" fontId="1" fillId="0" borderId="1" xfId="7"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4" fontId="1" fillId="0" borderId="1" xfId="0" applyNumberFormat="1" applyFont="1" applyBorder="1" applyAlignment="1">
      <alignment horizontal="center" vertical="center"/>
    </xf>
    <xf numFmtId="0" fontId="8" fillId="0" borderId="0" xfId="0" applyFont="1" applyAlignment="1">
      <alignment vertical="center"/>
    </xf>
    <xf numFmtId="0" fontId="9" fillId="0" borderId="1" xfId="6" applyFont="1" applyFill="1" applyBorder="1" applyAlignment="1">
      <alignment horizontal="left" vertical="center" wrapText="1"/>
    </xf>
    <xf numFmtId="0" fontId="1" fillId="0" borderId="1" xfId="0" applyFont="1" applyFill="1" applyBorder="1" applyAlignment="1">
      <alignment horizontal="left" vertical="center" wrapText="1"/>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9" fillId="0" borderId="6" xfId="6"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right" vertical="center" wrapText="1"/>
    </xf>
    <xf numFmtId="164" fontId="1" fillId="2" borderId="1" xfId="0" applyNumberFormat="1" applyFont="1" applyFill="1" applyBorder="1" applyAlignment="1">
      <alignment horizontal="center" vertical="center"/>
    </xf>
    <xf numFmtId="164" fontId="1" fillId="2" borderId="1" xfId="7"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9" fontId="1" fillId="0" borderId="7"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0" xfId="5" applyFont="1" applyAlignment="1">
      <alignment horizontal="left" vertical="center"/>
    </xf>
    <xf numFmtId="0" fontId="1" fillId="0" borderId="0" xfId="5" applyFont="1" applyAlignment="1">
      <alignment horizontal="left" vertical="center" wrapText="1"/>
    </xf>
    <xf numFmtId="164" fontId="1" fillId="0" borderId="0" xfId="5" applyNumberFormat="1" applyFont="1" applyAlignment="1">
      <alignment horizontal="center" vertical="center"/>
    </xf>
    <xf numFmtId="164" fontId="1" fillId="0" borderId="0" xfId="5" applyNumberFormat="1" applyFont="1" applyAlignment="1">
      <alignment horizontal="center" vertical="center" wrapText="1"/>
    </xf>
    <xf numFmtId="44" fontId="1" fillId="0" borderId="0" xfId="5" applyNumberFormat="1" applyFont="1" applyAlignment="1">
      <alignment horizontal="center" vertical="center" wrapText="1"/>
    </xf>
    <xf numFmtId="0" fontId="1" fillId="0" borderId="0" xfId="5" applyFont="1" applyAlignment="1">
      <alignment horizontal="center" vertical="center"/>
    </xf>
    <xf numFmtId="0" fontId="1" fillId="0" borderId="1" xfId="0" applyFont="1" applyFill="1" applyBorder="1" applyAlignment="1">
      <alignment vertical="center" wrapText="1"/>
    </xf>
    <xf numFmtId="44" fontId="1" fillId="0" borderId="1" xfId="0" applyNumberFormat="1" applyFont="1" applyBorder="1" applyAlignment="1">
      <alignment horizontal="center" vertical="center" wrapText="1"/>
    </xf>
    <xf numFmtId="0" fontId="1" fillId="2" borderId="1" xfId="5" applyFont="1" applyFill="1" applyBorder="1" applyAlignment="1">
      <alignment horizontal="center" vertical="center"/>
    </xf>
    <xf numFmtId="164" fontId="1" fillId="0" borderId="1" xfId="0" applyNumberFormat="1" applyFont="1" applyBorder="1" applyAlignment="1">
      <alignment horizontal="center" vertical="center" wrapText="1"/>
    </xf>
    <xf numFmtId="164" fontId="1" fillId="2" borderId="1" xfId="5" applyNumberFormat="1" applyFont="1" applyFill="1" applyBorder="1" applyAlignment="1">
      <alignment horizontal="center" vertical="center"/>
    </xf>
    <xf numFmtId="164" fontId="1" fillId="2" borderId="1" xfId="5" applyNumberFormat="1" applyFont="1" applyFill="1" applyBorder="1" applyAlignment="1">
      <alignment horizontal="right" vertical="center"/>
    </xf>
    <xf numFmtId="44" fontId="1" fillId="2" borderId="1" xfId="5" applyNumberFormat="1" applyFont="1" applyFill="1" applyBorder="1" applyAlignment="1">
      <alignment horizontal="left" vertical="center" wrapText="1"/>
    </xf>
    <xf numFmtId="164" fontId="8" fillId="2" borderId="1" xfId="5" applyNumberFormat="1" applyFont="1" applyFill="1" applyBorder="1" applyAlignment="1">
      <alignment horizontal="center" vertical="center" wrapText="1"/>
    </xf>
    <xf numFmtId="44" fontId="8" fillId="2" borderId="1" xfId="5"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164"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0" xfId="5" applyFont="1" applyAlignment="1">
      <alignment horizontal="center" vertical="center" wrapText="1"/>
    </xf>
    <xf numFmtId="0" fontId="8" fillId="0" borderId="1" xfId="0" applyFont="1" applyFill="1" applyBorder="1" applyAlignment="1">
      <alignment horizontal="left" vertical="center" wrapText="1"/>
    </xf>
    <xf numFmtId="0" fontId="8" fillId="0" borderId="1" xfId="5"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64" fontId="7" fillId="0" borderId="1" xfId="0" applyNumberFormat="1" applyFont="1" applyBorder="1" applyAlignment="1">
      <alignment vertical="center"/>
    </xf>
    <xf numFmtId="164" fontId="8" fillId="0" borderId="1" xfId="0" applyNumberFormat="1" applyFont="1" applyBorder="1" applyAlignment="1">
      <alignment vertical="center"/>
    </xf>
    <xf numFmtId="0" fontId="7"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xf>
    <xf numFmtId="164" fontId="8" fillId="0" borderId="1" xfId="2" applyNumberFormat="1" applyFont="1" applyBorder="1" applyAlignment="1">
      <alignment vertical="center"/>
    </xf>
    <xf numFmtId="6" fontId="8" fillId="0" borderId="1" xfId="0" applyNumberFormat="1" applyFont="1" applyFill="1" applyBorder="1" applyAlignment="1">
      <alignment horizontal="center" vertical="center" wrapText="1"/>
    </xf>
    <xf numFmtId="6" fontId="8" fillId="0" borderId="1" xfId="2" applyNumberFormat="1" applyFont="1" applyBorder="1" applyAlignment="1">
      <alignment vertical="center"/>
    </xf>
    <xf numFmtId="0" fontId="8" fillId="0" borderId="1" xfId="2" applyFont="1" applyBorder="1" applyAlignment="1">
      <alignment vertical="center" wrapText="1"/>
    </xf>
    <xf numFmtId="6" fontId="8" fillId="0" borderId="1" xfId="0" applyNumberFormat="1" applyFont="1" applyBorder="1" applyAlignment="1">
      <alignment vertical="center"/>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vertical="center"/>
    </xf>
    <xf numFmtId="0" fontId="8" fillId="0" borderId="1" xfId="0" applyFont="1" applyFill="1" applyBorder="1" applyAlignment="1">
      <alignment vertical="center"/>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6" xfId="0" applyFont="1" applyBorder="1" applyAlignment="1">
      <alignment vertical="center" wrapText="1"/>
    </xf>
    <xf numFmtId="6"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164" fontId="8" fillId="6" borderId="0" xfId="0" applyNumberFormat="1" applyFont="1" applyFill="1" applyAlignment="1">
      <alignment vertical="center"/>
    </xf>
    <xf numFmtId="0" fontId="8" fillId="6" borderId="1" xfId="0" applyFont="1" applyFill="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164" fontId="8" fillId="0" borderId="0" xfId="0" applyNumberFormat="1" applyFont="1" applyBorder="1" applyAlignment="1">
      <alignment vertical="center"/>
    </xf>
    <xf numFmtId="164" fontId="8" fillId="0" borderId="0" xfId="0" applyNumberFormat="1" applyFont="1" applyBorder="1"/>
    <xf numFmtId="0" fontId="8" fillId="0" borderId="0" xfId="0" applyFont="1" applyBorder="1" applyAlignment="1">
      <alignment horizontal="center" wrapText="1"/>
    </xf>
    <xf numFmtId="0" fontId="8" fillId="0" borderId="0" xfId="0" applyFont="1" applyBorder="1" applyAlignment="1">
      <alignment wrapText="1"/>
    </xf>
    <xf numFmtId="0" fontId="8" fillId="0" borderId="0" xfId="0" applyFont="1" applyBorder="1" applyAlignment="1">
      <alignment horizontal="left" vertical="center"/>
    </xf>
    <xf numFmtId="164" fontId="8" fillId="0" borderId="1" xfId="0" applyNumberFormat="1" applyFont="1" applyBorder="1"/>
    <xf numFmtId="0" fontId="8" fillId="0" borderId="1" xfId="0" applyFont="1" applyBorder="1" applyAlignment="1">
      <alignment horizontal="center" wrapText="1"/>
    </xf>
    <xf numFmtId="0" fontId="7" fillId="0" borderId="1" xfId="0" applyFont="1" applyBorder="1" applyAlignment="1">
      <alignment vertical="center" wrapText="1"/>
    </xf>
    <xf numFmtId="0" fontId="8" fillId="0" borderId="1" xfId="0" applyFont="1" applyBorder="1" applyAlignment="1">
      <alignment wrapText="1"/>
    </xf>
    <xf numFmtId="0" fontId="8" fillId="0" borderId="5" xfId="0" applyFont="1" applyBorder="1" applyAlignment="1">
      <alignment horizontal="center" vertical="center" wrapText="1"/>
    </xf>
    <xf numFmtId="14" fontId="8" fillId="0" borderId="5" xfId="0" applyNumberFormat="1" applyFont="1" applyFill="1" applyBorder="1" applyAlignment="1">
      <alignment horizontal="right" vertical="center"/>
    </xf>
    <xf numFmtId="6" fontId="8" fillId="0" borderId="5" xfId="0" applyNumberFormat="1" applyFont="1" applyFill="1" applyBorder="1" applyAlignment="1">
      <alignment horizontal="center" vertical="center" wrapText="1"/>
    </xf>
    <xf numFmtId="164" fontId="8" fillId="0" borderId="5" xfId="0" applyNumberFormat="1" applyFont="1" applyFill="1" applyBorder="1" applyAlignment="1">
      <alignment vertical="center"/>
    </xf>
    <xf numFmtId="0" fontId="8" fillId="0" borderId="1" xfId="8" applyFont="1" applyFill="1" applyBorder="1" applyAlignment="1">
      <alignment vertical="center" wrapText="1"/>
    </xf>
    <xf numFmtId="0" fontId="8" fillId="0" borderId="1" xfId="8"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14" fontId="8" fillId="0" borderId="1" xfId="0" applyNumberFormat="1" applyFont="1" applyFill="1" applyBorder="1" applyAlignment="1">
      <alignment horizontal="right" vertical="center" wrapText="1"/>
    </xf>
    <xf numFmtId="14" fontId="8" fillId="0" borderId="1" xfId="0" applyNumberFormat="1" applyFont="1" applyFill="1" applyBorder="1" applyAlignment="1">
      <alignment horizontal="right" vertical="center"/>
    </xf>
    <xf numFmtId="6" fontId="8" fillId="0" borderId="1" xfId="0" applyNumberFormat="1" applyFont="1" applyFill="1" applyBorder="1" applyAlignment="1">
      <alignment vertical="center"/>
    </xf>
    <xf numFmtId="0" fontId="8" fillId="0" borderId="1" xfId="0" applyFont="1" applyFill="1" applyBorder="1" applyAlignment="1">
      <alignment horizontal="right" vertical="center" wrapText="1"/>
    </xf>
    <xf numFmtId="49" fontId="12" fillId="0" borderId="1" xfId="0" applyNumberFormat="1" applyFont="1" applyFill="1" applyBorder="1" applyAlignment="1">
      <alignment horizontal="right" vertical="center"/>
    </xf>
    <xf numFmtId="0" fontId="12" fillId="0" borderId="1" xfId="0" applyFont="1" applyFill="1" applyBorder="1" applyAlignment="1">
      <alignment vertical="center"/>
    </xf>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164" fontId="7" fillId="6" borderId="0" xfId="0" applyNumberFormat="1" applyFont="1" applyFill="1" applyAlignment="1">
      <alignment horizontal="center" vertical="center" wrapText="1"/>
    </xf>
    <xf numFmtId="14" fontId="8" fillId="0" borderId="0" xfId="0" applyNumberFormat="1" applyFont="1" applyFill="1" applyBorder="1" applyAlignment="1">
      <alignment horizontal="center" vertical="center"/>
    </xf>
    <xf numFmtId="6" fontId="8" fillId="0" borderId="0" xfId="0" applyNumberFormat="1" applyFont="1" applyFill="1" applyBorder="1" applyAlignment="1">
      <alignment horizontal="center" vertical="center" wrapText="1"/>
    </xf>
    <xf numFmtId="6" fontId="8" fillId="0" borderId="0" xfId="0" applyNumberFormat="1" applyFont="1" applyBorder="1" applyAlignment="1">
      <alignment vertical="center"/>
    </xf>
    <xf numFmtId="0" fontId="8" fillId="0" borderId="0" xfId="0" applyFont="1" applyBorder="1" applyAlignment="1">
      <alignment vertical="center" wrapText="1"/>
    </xf>
    <xf numFmtId="6" fontId="7" fillId="0" borderId="1" xfId="0" applyNumberFormat="1" applyFont="1" applyBorder="1" applyAlignment="1">
      <alignment vertical="center"/>
    </xf>
    <xf numFmtId="0" fontId="8" fillId="0" borderId="5" xfId="0" applyFont="1" applyFill="1" applyBorder="1" applyAlignment="1">
      <alignment vertical="center" wrapText="1"/>
    </xf>
    <xf numFmtId="0" fontId="8" fillId="0" borderId="5" xfId="0" applyFont="1" applyFill="1" applyBorder="1" applyAlignment="1">
      <alignment horizontal="left" vertical="center"/>
    </xf>
    <xf numFmtId="6" fontId="8" fillId="0" borderId="5" xfId="0" applyNumberFormat="1" applyFont="1" applyFill="1" applyBorder="1" applyAlignment="1">
      <alignment vertical="center"/>
    </xf>
    <xf numFmtId="0" fontId="8" fillId="0" borderId="0" xfId="8" applyFont="1" applyFill="1" applyAlignment="1">
      <alignment vertical="center" wrapText="1"/>
    </xf>
    <xf numFmtId="14" fontId="8" fillId="0" borderId="5" xfId="0" applyNumberFormat="1"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horizontal="left" vertical="center"/>
    </xf>
    <xf numFmtId="164" fontId="8" fillId="6" borderId="0" xfId="0" applyNumberFormat="1" applyFont="1" applyFill="1"/>
    <xf numFmtId="164" fontId="8" fillId="0" borderId="1" xfId="0" applyNumberFormat="1" applyFont="1" applyBorder="1" applyAlignment="1">
      <alignment horizontal="right" vertical="center"/>
    </xf>
    <xf numFmtId="0" fontId="8" fillId="6" borderId="6" xfId="0" applyFont="1" applyFill="1" applyBorder="1" applyAlignment="1">
      <alignment horizontal="center" vertical="center" wrapText="1"/>
    </xf>
    <xf numFmtId="0" fontId="8" fillId="6" borderId="6" xfId="0" applyFont="1" applyFill="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64" fontId="7" fillId="0" borderId="1" xfId="0" applyNumberFormat="1" applyFont="1" applyBorder="1" applyAlignment="1">
      <alignment horizontal="center"/>
    </xf>
    <xf numFmtId="0" fontId="7" fillId="0" borderId="1" xfId="0" applyFont="1" applyBorder="1"/>
    <xf numFmtId="0" fontId="7" fillId="0" borderId="1" xfId="0" applyFont="1" applyBorder="1" applyAlignment="1">
      <alignment horizontal="center" wrapText="1"/>
    </xf>
    <xf numFmtId="6" fontId="8" fillId="0" borderId="1" xfId="0" applyNumberFormat="1" applyFont="1" applyFill="1" applyBorder="1" applyAlignment="1">
      <alignment horizontal="center" wrapText="1"/>
    </xf>
    <xf numFmtId="0" fontId="7" fillId="5" borderId="1" xfId="0" applyFont="1" applyFill="1" applyBorder="1" applyAlignment="1">
      <alignment horizontal="center" wrapText="1"/>
    </xf>
    <xf numFmtId="164" fontId="8" fillId="0" borderId="1" xfId="8" applyNumberFormat="1" applyFont="1" applyFill="1" applyBorder="1" applyAlignment="1">
      <alignment horizontal="right" vertical="center"/>
    </xf>
    <xf numFmtId="6" fontId="8" fillId="0" borderId="1" xfId="2" applyNumberFormat="1" applyFont="1" applyFill="1" applyBorder="1" applyAlignment="1">
      <alignment horizontal="right" vertical="center"/>
    </xf>
    <xf numFmtId="6" fontId="1" fillId="0" borderId="1" xfId="0" applyNumberFormat="1" applyFont="1" applyFill="1" applyBorder="1" applyAlignment="1">
      <alignment horizontal="center" wrapText="1"/>
    </xf>
    <xf numFmtId="6" fontId="1" fillId="0" borderId="1" xfId="0" applyNumberFormat="1" applyFont="1" applyFill="1" applyBorder="1" applyAlignment="1">
      <alignment horizontal="center" vertical="center" wrapText="1"/>
    </xf>
    <xf numFmtId="0" fontId="8" fillId="0" borderId="1" xfId="8" applyFont="1" applyFill="1" applyBorder="1" applyAlignment="1">
      <alignment vertical="center"/>
    </xf>
    <xf numFmtId="0" fontId="0" fillId="0" borderId="4" xfId="0" applyBorder="1"/>
    <xf numFmtId="0" fontId="8" fillId="2" borderId="6" xfId="5" applyFont="1" applyFill="1" applyBorder="1" applyAlignment="1">
      <alignment horizontal="center" vertical="center"/>
    </xf>
    <xf numFmtId="0" fontId="8" fillId="2" borderId="6" xfId="5" applyFont="1" applyFill="1" applyBorder="1" applyAlignment="1">
      <alignment horizontal="center" vertical="center" wrapText="1"/>
    </xf>
    <xf numFmtId="164" fontId="8" fillId="2" borderId="6" xfId="5" applyNumberFormat="1" applyFont="1" applyFill="1" applyBorder="1" applyAlignment="1">
      <alignment horizontal="center" vertical="center" wrapText="1"/>
    </xf>
    <xf numFmtId="44" fontId="8" fillId="2" borderId="6" xfId="5" applyNumberFormat="1" applyFont="1" applyFill="1" applyBorder="1" applyAlignment="1">
      <alignment horizontal="center" vertical="center" wrapText="1"/>
    </xf>
    <xf numFmtId="167" fontId="0" fillId="0" borderId="1" xfId="9" applyNumberFormat="1" applyFont="1" applyBorder="1"/>
    <xf numFmtId="0" fontId="0" fillId="0" borderId="1" xfId="0" applyBorder="1"/>
    <xf numFmtId="6" fontId="0" fillId="0" borderId="1" xfId="0" applyNumberFormat="1" applyBorder="1"/>
    <xf numFmtId="165" fontId="0" fillId="0" borderId="1" xfId="9" applyNumberFormat="1" applyFont="1" applyBorder="1"/>
    <xf numFmtId="14" fontId="0" fillId="0" borderId="1" xfId="0" applyNumberFormat="1" applyBorder="1"/>
    <xf numFmtId="0" fontId="0" fillId="7" borderId="1" xfId="0" applyFill="1" applyBorder="1"/>
    <xf numFmtId="165" fontId="0" fillId="7" borderId="1" xfId="0" applyNumberFormat="1" applyFill="1" applyBorder="1"/>
    <xf numFmtId="165" fontId="1" fillId="7" borderId="1" xfId="9" applyNumberFormat="1" applyFont="1" applyFill="1" applyBorder="1"/>
    <xf numFmtId="0" fontId="1" fillId="0" borderId="0" xfId="0" applyFont="1"/>
    <xf numFmtId="0" fontId="0" fillId="0" borderId="0" xfId="0" applyAlignment="1">
      <alignment horizontal="center"/>
    </xf>
    <xf numFmtId="0" fontId="0" fillId="0" borderId="0" xfId="0" applyAlignment="1">
      <alignment horizontal="center" vertical="center"/>
    </xf>
    <xf numFmtId="0" fontId="8" fillId="2" borderId="1" xfId="5" applyFont="1" applyFill="1" applyBorder="1" applyAlignment="1">
      <alignment horizontal="center" vertical="center" wrapText="1"/>
    </xf>
    <xf numFmtId="166" fontId="0" fillId="0" borderId="1" xfId="7" applyNumberFormat="1" applyFont="1" applyBorder="1"/>
    <xf numFmtId="166" fontId="1" fillId="0" borderId="1" xfId="7" applyNumberFormat="1" applyFont="1" applyBorder="1"/>
    <xf numFmtId="14" fontId="0" fillId="0" borderId="1" xfId="0" applyNumberFormat="1" applyBorder="1" applyAlignment="1">
      <alignment horizontal="center"/>
    </xf>
    <xf numFmtId="14" fontId="1" fillId="0" borderId="1" xfId="0" applyNumberFormat="1" applyFont="1" applyBorder="1" applyAlignment="1">
      <alignment horizontal="center"/>
    </xf>
    <xf numFmtId="0" fontId="0" fillId="7" borderId="1" xfId="0" applyFill="1" applyBorder="1" applyAlignment="1">
      <alignment wrapText="1"/>
    </xf>
    <xf numFmtId="166" fontId="0" fillId="7" borderId="1" xfId="0" applyNumberFormat="1" applyFill="1" applyBorder="1"/>
    <xf numFmtId="164" fontId="0" fillId="0" borderId="1" xfId="7" applyNumberFormat="1" applyFont="1" applyBorder="1"/>
    <xf numFmtId="165" fontId="0" fillId="0" borderId="1" xfId="7" applyNumberFormat="1" applyFont="1" applyBorder="1"/>
    <xf numFmtId="167" fontId="0" fillId="0" borderId="1" xfId="7" applyNumberFormat="1" applyFont="1" applyBorder="1"/>
    <xf numFmtId="164" fontId="0" fillId="0" borderId="0" xfId="0" applyNumberFormat="1"/>
    <xf numFmtId="164" fontId="1" fillId="0" borderId="1" xfId="7" applyNumberFormat="1" applyFont="1" applyBorder="1"/>
    <xf numFmtId="164" fontId="0" fillId="7" borderId="1" xfId="0" applyNumberFormat="1" applyFill="1" applyBorder="1"/>
    <xf numFmtId="5" fontId="0" fillId="0" borderId="1" xfId="7" applyNumberFormat="1" applyFont="1" applyBorder="1"/>
    <xf numFmtId="6" fontId="1" fillId="0" borderId="1" xfId="0" applyNumberFormat="1" applyFont="1" applyBorder="1"/>
    <xf numFmtId="165" fontId="1" fillId="7" borderId="1" xfId="7" applyNumberFormat="1" applyFont="1" applyFill="1" applyBorder="1"/>
    <xf numFmtId="0" fontId="8" fillId="2" borderId="1" xfId="5" applyFont="1" applyFill="1" applyBorder="1" applyAlignment="1">
      <alignment horizontal="center" vertical="center"/>
    </xf>
    <xf numFmtId="164" fontId="8" fillId="0" borderId="1" xfId="7" applyNumberFormat="1" applyFont="1" applyFill="1" applyBorder="1" applyAlignment="1">
      <alignment vertical="center"/>
    </xf>
    <xf numFmtId="164" fontId="8" fillId="0" borderId="1" xfId="7" applyNumberFormat="1" applyFont="1" applyBorder="1" applyAlignment="1">
      <alignment horizontal="right" vertical="center" wrapText="1"/>
    </xf>
    <xf numFmtId="164" fontId="8" fillId="0" borderId="1" xfId="0" applyNumberFormat="1" applyFont="1" applyBorder="1" applyAlignment="1">
      <alignment horizontal="right" vertical="center" wrapText="1"/>
    </xf>
    <xf numFmtId="164" fontId="8" fillId="0" borderId="0" xfId="5" applyNumberFormat="1" applyFont="1" applyAlignment="1">
      <alignment horizontal="center" vertical="center" wrapText="1"/>
    </xf>
    <xf numFmtId="0" fontId="8" fillId="2" borderId="0" xfId="5" applyFont="1" applyFill="1" applyAlignment="1">
      <alignment horizontal="center" vertical="center"/>
    </xf>
    <xf numFmtId="164" fontId="8" fillId="2" borderId="1" xfId="5" applyNumberFormat="1" applyFont="1" applyFill="1" applyBorder="1" applyAlignment="1">
      <alignment vertical="center"/>
    </xf>
    <xf numFmtId="164" fontId="8" fillId="2" borderId="1" xfId="5" applyNumberFormat="1" applyFont="1" applyFill="1" applyBorder="1" applyAlignment="1">
      <alignment horizontal="right" vertical="center"/>
    </xf>
    <xf numFmtId="44" fontId="8" fillId="2" borderId="1" xfId="5" applyNumberFormat="1" applyFont="1" applyFill="1" applyBorder="1" applyAlignment="1">
      <alignment horizontal="left" vertical="center" wrapText="1"/>
    </xf>
    <xf numFmtId="164" fontId="8" fillId="2" borderId="1" xfId="5" applyNumberFormat="1" applyFont="1" applyFill="1" applyBorder="1" applyAlignment="1">
      <alignment vertical="center" wrapText="1"/>
    </xf>
    <xf numFmtId="164" fontId="1" fillId="0" borderId="0" xfId="5" applyNumberFormat="1" applyFont="1" applyAlignment="1">
      <alignment vertical="center"/>
    </xf>
    <xf numFmtId="164" fontId="1" fillId="0" borderId="0" xfId="5" applyNumberFormat="1" applyFont="1" applyAlignment="1">
      <alignment horizontal="right" vertical="center"/>
    </xf>
    <xf numFmtId="44" fontId="1" fillId="0" borderId="0" xfId="5" applyNumberFormat="1" applyFont="1" applyAlignment="1">
      <alignment horizontal="left" vertical="center" wrapText="1"/>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1" xfId="0"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wrapText="1"/>
    </xf>
    <xf numFmtId="164" fontId="1" fillId="0" borderId="1" xfId="0" applyNumberFormat="1" applyFont="1" applyBorder="1" applyAlignment="1">
      <alignment vertical="center"/>
    </xf>
    <xf numFmtId="0" fontId="1" fillId="0" borderId="1" xfId="0" applyFont="1" applyFill="1" applyBorder="1" applyAlignment="1">
      <alignment vertical="center"/>
    </xf>
    <xf numFmtId="164" fontId="1" fillId="0" borderId="1" xfId="0" applyNumberFormat="1" applyFont="1" applyFill="1" applyBorder="1" applyAlignment="1">
      <alignment horizontal="right" vertical="center" wrapText="1"/>
    </xf>
    <xf numFmtId="164" fontId="0" fillId="0" borderId="1" xfId="0" applyNumberFormat="1" applyFill="1" applyBorder="1" applyAlignment="1">
      <alignment vertical="center"/>
    </xf>
    <xf numFmtId="164" fontId="1" fillId="2" borderId="1" xfId="5" applyNumberFormat="1" applyFont="1" applyFill="1" applyBorder="1" applyAlignment="1">
      <alignment vertical="center"/>
    </xf>
    <xf numFmtId="164" fontId="0" fillId="0" borderId="0" xfId="0" applyNumberFormat="1" applyAlignment="1">
      <alignment horizontal="center" wrapText="1"/>
    </xf>
    <xf numFmtId="14" fontId="0" fillId="0" borderId="0" xfId="0" applyNumberFormat="1"/>
    <xf numFmtId="14" fontId="0" fillId="0" borderId="10" xfId="0" applyNumberFormat="1" applyBorder="1" applyAlignment="1">
      <alignment horizontal="center" vertical="center"/>
    </xf>
    <xf numFmtId="0" fontId="0" fillId="2" borderId="1" xfId="0" applyFill="1" applyBorder="1" applyAlignment="1">
      <alignment vertical="center" wrapText="1"/>
    </xf>
    <xf numFmtId="16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14" fontId="0" fillId="2" borderId="1" xfId="0" applyNumberFormat="1" applyFill="1" applyBorder="1" applyAlignment="1">
      <alignment vertical="center"/>
    </xf>
    <xf numFmtId="0" fontId="8" fillId="2" borderId="1" xfId="10" applyFont="1" applyFill="1" applyBorder="1" applyAlignment="1">
      <alignment horizontal="center" vertical="center" wrapText="1"/>
    </xf>
    <xf numFmtId="164" fontId="8" fillId="2" borderId="1" xfId="10" applyNumberFormat="1" applyFont="1" applyFill="1" applyBorder="1" applyAlignment="1">
      <alignment horizontal="center" vertical="center" wrapText="1"/>
    </xf>
    <xf numFmtId="44" fontId="8" fillId="2" borderId="1" xfId="10" applyNumberFormat="1" applyFont="1" applyFill="1" applyBorder="1" applyAlignment="1">
      <alignment horizontal="center" vertical="center" wrapText="1"/>
    </xf>
    <xf numFmtId="42" fontId="8" fillId="4" borderId="1" xfId="1" applyNumberFormat="1" applyFont="1" applyFill="1" applyBorder="1" applyAlignment="1">
      <alignment horizontal="right" vertical="center"/>
    </xf>
    <xf numFmtId="0" fontId="8" fillId="2" borderId="1" xfId="10" applyFont="1" applyFill="1" applyBorder="1" applyAlignment="1">
      <alignment horizontal="center" vertical="center"/>
    </xf>
    <xf numFmtId="42" fontId="8" fillId="2" borderId="1" xfId="10" applyNumberFormat="1" applyFont="1" applyFill="1" applyBorder="1" applyAlignment="1">
      <alignment vertical="center"/>
    </xf>
    <xf numFmtId="42" fontId="8" fillId="2" borderId="1" xfId="10" applyNumberFormat="1" applyFont="1" applyFill="1" applyBorder="1" applyAlignment="1">
      <alignment horizontal="right" vertical="center"/>
    </xf>
    <xf numFmtId="44" fontId="8" fillId="2" borderId="1" xfId="10" applyNumberFormat="1" applyFont="1" applyFill="1" applyBorder="1" applyAlignment="1">
      <alignment horizontal="left" vertical="center" wrapText="1"/>
    </xf>
    <xf numFmtId="0" fontId="8" fillId="4" borderId="4" xfId="10" applyFont="1" applyFill="1" applyBorder="1" applyAlignment="1">
      <alignment horizontal="center" vertical="center"/>
    </xf>
    <xf numFmtId="42" fontId="8" fillId="4" borderId="4" xfId="10" applyNumberFormat="1" applyFont="1" applyFill="1" applyBorder="1" applyAlignment="1">
      <alignment vertical="center"/>
    </xf>
    <xf numFmtId="164" fontId="8" fillId="4" borderId="4" xfId="10" applyNumberFormat="1" applyFont="1" applyFill="1" applyBorder="1" applyAlignment="1">
      <alignment horizontal="center" vertical="center" wrapText="1"/>
    </xf>
    <xf numFmtId="42" fontId="8" fillId="4" borderId="4" xfId="10" applyNumberFormat="1" applyFont="1" applyFill="1" applyBorder="1" applyAlignment="1">
      <alignment horizontal="right" vertical="center"/>
    </xf>
    <xf numFmtId="44" fontId="8" fillId="4" borderId="4" xfId="10" applyNumberFormat="1" applyFont="1" applyFill="1" applyBorder="1" applyAlignment="1">
      <alignment horizontal="left" vertical="center" wrapText="1"/>
    </xf>
    <xf numFmtId="44" fontId="8" fillId="4" borderId="4" xfId="10" applyNumberFormat="1" applyFont="1" applyFill="1" applyBorder="1" applyAlignment="1">
      <alignment horizontal="center" vertical="center" wrapText="1"/>
    </xf>
    <xf numFmtId="42" fontId="8" fillId="0" borderId="1" xfId="1" applyNumberFormat="1" applyFont="1" applyFill="1" applyBorder="1" applyAlignment="1">
      <alignment horizontal="right" vertical="center"/>
    </xf>
    <xf numFmtId="42" fontId="8" fillId="0" borderId="1" xfId="1" applyNumberFormat="1" applyFont="1" applyBorder="1" applyAlignment="1">
      <alignment horizontal="right" vertical="center" wrapText="1"/>
    </xf>
    <xf numFmtId="0" fontId="9" fillId="8" borderId="1" xfId="2" applyFont="1" applyFill="1" applyBorder="1" applyAlignment="1">
      <alignment horizontal="left"/>
    </xf>
    <xf numFmtId="0" fontId="1" fillId="0" borderId="3" xfId="2" applyFont="1" applyFill="1" applyBorder="1" applyAlignment="1">
      <alignment wrapText="1"/>
    </xf>
    <xf numFmtId="168" fontId="1" fillId="0" borderId="1" xfId="7" applyNumberFormat="1" applyFont="1" applyFill="1" applyBorder="1" applyAlignment="1">
      <alignment horizontal="center" vertical="center"/>
    </xf>
    <xf numFmtId="164" fontId="1" fillId="0" borderId="1" xfId="2" applyNumberFormat="1"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9" fillId="0" borderId="1" xfId="2" applyFont="1" applyFill="1" applyBorder="1" applyAlignment="1">
      <alignment horizontal="left"/>
    </xf>
    <xf numFmtId="0" fontId="1" fillId="0" borderId="1" xfId="2" applyFont="1" applyFill="1" applyBorder="1"/>
    <xf numFmtId="3" fontId="1" fillId="0" borderId="1" xfId="2" applyNumberFormat="1" applyFont="1" applyFill="1" applyBorder="1" applyAlignment="1">
      <alignment horizontal="center" vertical="center"/>
    </xf>
    <xf numFmtId="3" fontId="1" fillId="0" borderId="1" xfId="2" applyNumberFormat="1" applyFont="1" applyFill="1" applyBorder="1" applyAlignment="1">
      <alignment horizontal="center" vertical="center" wrapText="1"/>
    </xf>
    <xf numFmtId="0" fontId="1" fillId="0" borderId="1" xfId="2" applyFont="1" applyFill="1" applyBorder="1" applyAlignment="1">
      <alignment wrapText="1"/>
    </xf>
    <xf numFmtId="0" fontId="1" fillId="0" borderId="0" xfId="0" applyFont="1" applyFill="1" applyAlignment="1">
      <alignment horizontal="center" vertical="center" wrapText="1"/>
    </xf>
    <xf numFmtId="0" fontId="9" fillId="0" borderId="1" xfId="11" applyNumberFormat="1" applyFont="1" applyFill="1" applyBorder="1" applyAlignment="1">
      <alignment horizontal="left"/>
    </xf>
    <xf numFmtId="0" fontId="1" fillId="0" borderId="1" xfId="11" applyNumberFormat="1" applyFont="1" applyFill="1" applyBorder="1" applyAlignment="1">
      <alignment wrapText="1"/>
    </xf>
    <xf numFmtId="37" fontId="1" fillId="0" borderId="1" xfId="11" applyNumberFormat="1" applyFont="1" applyFill="1" applyBorder="1" applyAlignment="1">
      <alignment horizontal="center" vertical="center"/>
    </xf>
    <xf numFmtId="37" fontId="1" fillId="0" borderId="1" xfId="11" applyNumberFormat="1"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6" xfId="0" applyFont="1" applyFill="1" applyBorder="1" applyAlignment="1">
      <alignment horizontal="right" vertical="center" wrapText="1"/>
    </xf>
    <xf numFmtId="164" fontId="1" fillId="2" borderId="6" xfId="0" applyNumberFormat="1" applyFont="1" applyFill="1" applyBorder="1" applyAlignment="1">
      <alignment horizontal="center" vertical="center"/>
    </xf>
    <xf numFmtId="9" fontId="1" fillId="0" borderId="5"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4" fontId="10" fillId="0" borderId="6" xfId="0" applyNumberFormat="1" applyFont="1" applyFill="1" applyBorder="1" applyAlignment="1">
      <alignment horizontal="center" vertical="center"/>
    </xf>
    <xf numFmtId="0" fontId="1" fillId="0" borderId="3"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0" fontId="1" fillId="0" borderId="0" xfId="0" applyFont="1" applyAlignment="1">
      <alignment horizontal="left"/>
    </xf>
    <xf numFmtId="164" fontId="8" fillId="7" borderId="1" xfId="5" applyNumberFormat="1" applyFont="1" applyFill="1" applyBorder="1" applyAlignment="1">
      <alignment horizontal="center" vertical="center" wrapText="1"/>
    </xf>
    <xf numFmtId="44" fontId="8" fillId="7" borderId="1" xfId="5" applyNumberFormat="1" applyFont="1" applyFill="1" applyBorder="1" applyAlignment="1">
      <alignment horizontal="center" vertical="center" wrapText="1"/>
    </xf>
    <xf numFmtId="0" fontId="0" fillId="0" borderId="1" xfId="0" applyFill="1" applyBorder="1"/>
    <xf numFmtId="14" fontId="0" fillId="0" borderId="1" xfId="0" applyNumberFormat="1" applyFill="1" applyBorder="1"/>
    <xf numFmtId="0" fontId="1" fillId="0" borderId="1" xfId="0" applyFont="1" applyFill="1" applyBorder="1"/>
    <xf numFmtId="14" fontId="1" fillId="0" borderId="1" xfId="0" applyNumberFormat="1" applyFont="1" applyFill="1" applyBorder="1"/>
    <xf numFmtId="14" fontId="1" fillId="0" borderId="1" xfId="0" applyNumberFormat="1" applyFont="1" applyBorder="1"/>
    <xf numFmtId="164" fontId="8" fillId="0" borderId="1" xfId="0" applyNumberFormat="1" applyFont="1" applyFill="1" applyBorder="1" applyAlignment="1">
      <alignment horizontal="right" vertical="center" wrapText="1"/>
    </xf>
    <xf numFmtId="16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8" applyFont="1" applyFill="1" applyBorder="1" applyAlignment="1">
      <alignment horizontal="left" vertical="center" wrapText="1"/>
    </xf>
    <xf numFmtId="164" fontId="8" fillId="0" borderId="1" xfId="0" applyNumberFormat="1" applyFont="1" applyBorder="1" applyAlignment="1">
      <alignment horizontal="center" wrapText="1"/>
    </xf>
    <xf numFmtId="6" fontId="7" fillId="0" borderId="1" xfId="0" applyNumberFormat="1" applyFont="1" applyBorder="1" applyAlignment="1"/>
    <xf numFmtId="14" fontId="8" fillId="0" borderId="1" xfId="2" applyNumberFormat="1" applyFont="1" applyFill="1" applyBorder="1" applyAlignment="1">
      <alignment horizontal="right" vertical="center" wrapText="1"/>
    </xf>
    <xf numFmtId="164" fontId="8" fillId="0" borderId="1" xfId="0" applyNumberFormat="1" applyFont="1" applyFill="1" applyBorder="1" applyAlignment="1">
      <alignment horizontal="right" vertical="center"/>
    </xf>
    <xf numFmtId="164" fontId="8" fillId="0" borderId="6" xfId="0" applyNumberFormat="1" applyFont="1" applyFill="1" applyBorder="1" applyAlignment="1">
      <alignment horizontal="right" vertical="center"/>
    </xf>
    <xf numFmtId="164" fontId="8" fillId="0" borderId="0" xfId="0" applyNumberFormat="1" applyFont="1" applyFill="1" applyAlignment="1">
      <alignment horizontal="right"/>
    </xf>
    <xf numFmtId="164" fontId="8" fillId="0" borderId="1" xfId="2" applyNumberFormat="1" applyFont="1" applyFill="1" applyBorder="1" applyAlignment="1">
      <alignment vertical="center"/>
    </xf>
    <xf numFmtId="0" fontId="1" fillId="0" borderId="3" xfId="0" applyFont="1" applyFill="1" applyBorder="1" applyAlignment="1">
      <alignment wrapText="1"/>
    </xf>
    <xf numFmtId="164" fontId="1" fillId="0" borderId="1" xfId="11" applyNumberFormat="1" applyFont="1" applyFill="1" applyBorder="1" applyAlignment="1">
      <alignment horizontal="center"/>
    </xf>
    <xf numFmtId="164" fontId="1" fillId="0" borderId="1" xfId="11" applyNumberFormat="1" applyFont="1" applyFill="1" applyBorder="1" applyAlignment="1">
      <alignment horizontal="center" wrapText="1"/>
    </xf>
    <xf numFmtId="164" fontId="1" fillId="0" borderId="1" xfId="11" applyNumberFormat="1" applyFont="1" applyFill="1" applyBorder="1" applyAlignment="1">
      <alignment horizontal="center" vertical="center" wrapText="1"/>
    </xf>
    <xf numFmtId="164" fontId="1" fillId="0" borderId="1" xfId="11" applyNumberFormat="1" applyFont="1" applyFill="1" applyBorder="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vertical="center"/>
    </xf>
    <xf numFmtId="164" fontId="1" fillId="0" borderId="1" xfId="7" applyNumberFormat="1" applyFont="1" applyFill="1" applyBorder="1"/>
    <xf numFmtId="164" fontId="0" fillId="0" borderId="1" xfId="7" applyNumberFormat="1" applyFont="1" applyFill="1" applyBorder="1"/>
    <xf numFmtId="6" fontId="0" fillId="0" borderId="1" xfId="0" applyNumberFormat="1" applyFill="1" applyBorder="1"/>
    <xf numFmtId="14" fontId="1" fillId="0" borderId="1" xfId="0" applyNumberFormat="1" applyFont="1" applyFill="1" applyBorder="1" applyAlignment="1">
      <alignment horizontal="right"/>
    </xf>
    <xf numFmtId="14" fontId="1" fillId="0" borderId="1" xfId="0" applyNumberFormat="1" applyFont="1" applyBorder="1" applyAlignment="1">
      <alignment horizontal="right"/>
    </xf>
    <xf numFmtId="165" fontId="0" fillId="0" borderId="1" xfId="7" applyNumberFormat="1" applyFont="1" applyFill="1" applyBorder="1"/>
    <xf numFmtId="14" fontId="0" fillId="0" borderId="1" xfId="0" applyNumberFormat="1" applyFill="1" applyBorder="1" applyAlignment="1">
      <alignment horizontal="center"/>
    </xf>
    <xf numFmtId="167" fontId="0" fillId="0" borderId="1" xfId="7" applyNumberFormat="1" applyFont="1" applyFill="1" applyBorder="1"/>
    <xf numFmtId="167" fontId="1" fillId="0" borderId="1" xfId="7" applyNumberFormat="1" applyFont="1" applyFill="1" applyBorder="1"/>
    <xf numFmtId="42" fontId="0" fillId="0" borderId="1" xfId="7" applyNumberFormat="1" applyFont="1" applyBorder="1"/>
    <xf numFmtId="14" fontId="0" fillId="0" borderId="1" xfId="0" applyNumberFormat="1" applyFill="1" applyBorder="1" applyAlignment="1">
      <alignment horizontal="center" vertical="center"/>
    </xf>
    <xf numFmtId="42" fontId="0" fillId="0" borderId="1" xfId="9" applyNumberFormat="1" applyFont="1" applyBorder="1"/>
    <xf numFmtId="0" fontId="8" fillId="4" borderId="1" xfId="12" applyFont="1" applyFill="1" applyBorder="1" applyAlignment="1">
      <alignment horizontal="left" vertical="center" wrapText="1"/>
    </xf>
    <xf numFmtId="166" fontId="8" fillId="4" borderId="1" xfId="12" applyNumberFormat="1" applyFont="1" applyFill="1" applyBorder="1" applyAlignment="1">
      <alignment vertical="center"/>
    </xf>
    <xf numFmtId="164" fontId="8" fillId="4" borderId="1" xfId="12" applyNumberFormat="1" applyFont="1" applyFill="1" applyBorder="1" applyAlignment="1">
      <alignment horizontal="center" vertical="center" wrapText="1"/>
    </xf>
    <xf numFmtId="169" fontId="8" fillId="4" borderId="1" xfId="1" applyNumberFormat="1" applyFont="1" applyFill="1" applyBorder="1" applyAlignment="1">
      <alignment horizontal="right" vertical="center" wrapText="1"/>
    </xf>
    <xf numFmtId="42" fontId="8" fillId="4" borderId="1" xfId="12" applyNumberFormat="1" applyFont="1" applyFill="1" applyBorder="1" applyAlignment="1">
      <alignment horizontal="right" vertical="center" wrapText="1"/>
    </xf>
    <xf numFmtId="44" fontId="8" fillId="4" borderId="1" xfId="12" applyNumberFormat="1" applyFont="1" applyFill="1" applyBorder="1" applyAlignment="1">
      <alignment horizontal="center" vertical="center" wrapText="1"/>
    </xf>
    <xf numFmtId="14" fontId="8" fillId="4" borderId="1" xfId="12" applyNumberFormat="1" applyFont="1" applyFill="1" applyBorder="1" applyAlignment="1">
      <alignment horizontal="center" vertical="center" wrapText="1"/>
    </xf>
    <xf numFmtId="169" fontId="8" fillId="4" borderId="1" xfId="12" applyNumberFormat="1" applyFont="1" applyFill="1" applyBorder="1" applyAlignment="1">
      <alignment horizontal="right" vertical="center" wrapText="1"/>
    </xf>
    <xf numFmtId="169" fontId="8" fillId="2" borderId="1" xfId="10" applyNumberFormat="1" applyFont="1" applyFill="1" applyBorder="1" applyAlignment="1">
      <alignment horizontal="right" vertical="center"/>
    </xf>
    <xf numFmtId="0" fontId="8" fillId="0" borderId="1" xfId="12" applyFont="1" applyFill="1" applyBorder="1" applyAlignment="1">
      <alignment horizontal="left" vertical="center" wrapText="1"/>
    </xf>
    <xf numFmtId="42" fontId="8" fillId="0" borderId="1" xfId="12" applyNumberFormat="1" applyFont="1" applyBorder="1" applyAlignment="1">
      <alignment vertical="center"/>
    </xf>
    <xf numFmtId="164" fontId="8" fillId="0" borderId="1" xfId="12" applyNumberFormat="1" applyFont="1" applyBorder="1" applyAlignment="1">
      <alignment horizontal="center" vertical="center" wrapText="1"/>
    </xf>
    <xf numFmtId="42" fontId="8" fillId="0" borderId="1" xfId="12" applyNumberFormat="1" applyFont="1" applyBorder="1" applyAlignment="1">
      <alignment horizontal="right" vertical="center" wrapText="1"/>
    </xf>
    <xf numFmtId="44" fontId="8" fillId="0" borderId="1" xfId="12" applyNumberFormat="1" applyFont="1" applyBorder="1" applyAlignment="1">
      <alignment horizontal="center" vertical="center" wrapText="1"/>
    </xf>
    <xf numFmtId="14" fontId="8" fillId="0" borderId="1" xfId="12" applyNumberFormat="1" applyFont="1" applyBorder="1" applyAlignment="1">
      <alignment horizontal="center" vertical="center" wrapText="1"/>
    </xf>
    <xf numFmtId="0" fontId="8" fillId="0" borderId="1" xfId="13" applyFont="1" applyFill="1" applyBorder="1" applyAlignment="1">
      <alignment vertical="center"/>
    </xf>
    <xf numFmtId="0" fontId="8" fillId="0" borderId="1" xfId="13" applyFont="1" applyFill="1" applyBorder="1" applyAlignment="1">
      <alignment vertical="center" wrapText="1"/>
    </xf>
    <xf numFmtId="164" fontId="8" fillId="0" borderId="1" xfId="13" applyNumberFormat="1" applyFont="1" applyFill="1" applyBorder="1" applyAlignment="1">
      <alignment vertical="center"/>
    </xf>
    <xf numFmtId="164" fontId="8" fillId="0" borderId="1" xfId="0" applyNumberFormat="1" applyFont="1" applyFill="1" applyBorder="1" applyAlignment="1">
      <alignment horizontal="center" vertical="center" wrapText="1"/>
    </xf>
    <xf numFmtId="0" fontId="0" fillId="0" borderId="0" xfId="0" applyBorder="1"/>
    <xf numFmtId="0" fontId="1" fillId="0" borderId="0" xfId="0" applyFont="1" applyAlignment="1">
      <alignment horizontal="left" wrapText="1"/>
    </xf>
    <xf numFmtId="0" fontId="15" fillId="0" borderId="0" xfId="0" applyFont="1"/>
    <xf numFmtId="0" fontId="15" fillId="7" borderId="1" xfId="0" applyFont="1" applyFill="1" applyBorder="1" applyAlignment="1">
      <alignment vertical="center"/>
    </xf>
    <xf numFmtId="0" fontId="15" fillId="7" borderId="1" xfId="0" applyFont="1" applyFill="1" applyBorder="1" applyAlignment="1">
      <alignment horizontal="center" vertical="center" wrapText="1"/>
    </xf>
    <xf numFmtId="0" fontId="15" fillId="0" borderId="0" xfId="0" applyFont="1" applyFill="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15" fillId="7" borderId="1" xfId="0" applyFont="1" applyFill="1" applyBorder="1" applyAlignment="1">
      <alignment horizontal="right"/>
    </xf>
    <xf numFmtId="164" fontId="0" fillId="7" borderId="1" xfId="0" applyNumberFormat="1" applyFill="1" applyBorder="1" applyAlignment="1">
      <alignment horizontal="center"/>
    </xf>
    <xf numFmtId="164" fontId="0" fillId="0" borderId="1" xfId="0" applyNumberFormat="1" applyBorder="1" applyAlignment="1">
      <alignment horizontal="center" vertical="center"/>
    </xf>
    <xf numFmtId="164" fontId="0" fillId="0" borderId="1" xfId="11" applyNumberFormat="1" applyFont="1" applyBorder="1" applyAlignment="1">
      <alignment horizontal="center" vertical="center"/>
    </xf>
    <xf numFmtId="0" fontId="0" fillId="0" borderId="1" xfId="0" applyBorder="1" applyAlignment="1">
      <alignment vertical="center"/>
    </xf>
    <xf numFmtId="164" fontId="0" fillId="7" borderId="1" xfId="11" applyNumberFormat="1" applyFont="1" applyFill="1" applyBorder="1" applyAlignment="1">
      <alignment horizontal="center"/>
    </xf>
    <xf numFmtId="0" fontId="0" fillId="0" borderId="0" xfId="0" applyFill="1" applyBorder="1"/>
    <xf numFmtId="0" fontId="15" fillId="0" borderId="0" xfId="0" applyFont="1" applyFill="1" applyBorder="1" applyAlignment="1">
      <alignment horizontal="right"/>
    </xf>
    <xf numFmtId="164" fontId="0" fillId="0" borderId="0" xfId="11" applyNumberFormat="1" applyFont="1" applyFill="1" applyBorder="1"/>
    <xf numFmtId="164" fontId="0" fillId="0" borderId="0" xfId="0" applyNumberFormat="1" applyFill="1" applyBorder="1"/>
    <xf numFmtId="170" fontId="0" fillId="0" borderId="0" xfId="11" applyNumberFormat="1" applyFont="1" applyFill="1" applyBorder="1"/>
    <xf numFmtId="164" fontId="1" fillId="0" borderId="1" xfId="11" applyNumberFormat="1" applyFont="1" applyBorder="1" applyAlignment="1">
      <alignment horizontal="center" vertical="center"/>
    </xf>
    <xf numFmtId="0" fontId="1" fillId="0" borderId="8" xfId="0" applyFont="1" applyFill="1" applyBorder="1" applyAlignment="1">
      <alignment wrapText="1"/>
    </xf>
    <xf numFmtId="164" fontId="1" fillId="0" borderId="1" xfId="0" applyNumberFormat="1" applyFont="1" applyFill="1" applyBorder="1" applyAlignment="1">
      <alignment horizontal="center"/>
    </xf>
    <xf numFmtId="164" fontId="1" fillId="0" borderId="1" xfId="0" applyNumberFormat="1" applyFont="1" applyFill="1" applyBorder="1" applyAlignment="1">
      <alignment horizontal="center" wrapText="1"/>
    </xf>
    <xf numFmtId="164" fontId="0" fillId="0" borderId="1" xfId="0" applyNumberFormat="1" applyBorder="1" applyAlignment="1">
      <alignment horizontal="center"/>
    </xf>
    <xf numFmtId="0" fontId="16" fillId="0" borderId="0" xfId="0" applyFont="1" applyAlignment="1">
      <alignment wrapText="1"/>
    </xf>
    <xf numFmtId="0" fontId="5" fillId="2" borderId="3" xfId="3" applyFont="1" applyFill="1" applyBorder="1" applyAlignment="1">
      <alignment horizontal="center" wrapText="1"/>
    </xf>
    <xf numFmtId="0" fontId="9" fillId="2" borderId="1" xfId="3" applyFont="1" applyFill="1" applyBorder="1" applyAlignment="1">
      <alignment horizontal="center" wrapText="1"/>
    </xf>
    <xf numFmtId="0" fontId="1" fillId="0" borderId="0" xfId="0" applyFont="1" applyAlignment="1">
      <alignment wrapText="1"/>
    </xf>
    <xf numFmtId="0" fontId="9" fillId="0" borderId="3" xfId="3" applyFont="1" applyFill="1" applyBorder="1" applyAlignment="1">
      <alignment horizontal="left" vertical="top" wrapText="1"/>
    </xf>
    <xf numFmtId="0" fontId="9" fillId="0" borderId="1" xfId="3" applyFont="1" applyFill="1" applyBorder="1" applyAlignment="1">
      <alignment horizontal="center" vertical="top" wrapText="1"/>
    </xf>
    <xf numFmtId="0" fontId="9" fillId="0" borderId="1" xfId="3" applyFont="1" applyFill="1" applyBorder="1" applyAlignment="1">
      <alignment horizontal="left" vertical="top" wrapText="1"/>
    </xf>
    <xf numFmtId="14" fontId="1" fillId="0" borderId="1" xfId="0" applyNumberFormat="1" applyFont="1" applyFill="1" applyBorder="1" applyAlignment="1">
      <alignment horizontal="left" vertical="top" wrapText="1"/>
    </xf>
    <xf numFmtId="5" fontId="1" fillId="0" borderId="1" xfId="1" applyNumberFormat="1" applyFont="1" applyFill="1" applyBorder="1" applyAlignment="1">
      <alignment horizontal="right" vertical="top" wrapText="1"/>
    </xf>
    <xf numFmtId="0" fontId="1" fillId="0" borderId="1" xfId="0" applyFont="1" applyFill="1" applyBorder="1" applyAlignment="1">
      <alignment vertical="top" wrapText="1"/>
    </xf>
    <xf numFmtId="5" fontId="1" fillId="0" borderId="2" xfId="1" applyNumberFormat="1" applyFont="1" applyFill="1" applyBorder="1" applyAlignment="1">
      <alignment horizontal="right" vertical="top" wrapText="1"/>
    </xf>
    <xf numFmtId="0" fontId="9" fillId="0" borderId="3" xfId="3" applyFont="1" applyFill="1" applyBorder="1" applyAlignment="1">
      <alignment horizontal="center" vertical="top" wrapText="1"/>
    </xf>
    <xf numFmtId="5" fontId="1" fillId="0" borderId="1" xfId="1" applyNumberFormat="1" applyFont="1" applyFill="1" applyBorder="1" applyAlignment="1">
      <alignment vertical="top" wrapText="1"/>
    </xf>
    <xf numFmtId="14" fontId="9" fillId="0" borderId="1" xfId="3" applyNumberFormat="1" applyFont="1" applyFill="1" applyBorder="1" applyAlignment="1">
      <alignment horizontal="center" vertical="top" wrapText="1"/>
    </xf>
    <xf numFmtId="0" fontId="1" fillId="0" borderId="0" xfId="0" applyFont="1" applyAlignment="1">
      <alignment vertical="top" wrapText="1"/>
    </xf>
    <xf numFmtId="0" fontId="5" fillId="3" borderId="3" xfId="3" applyFont="1" applyFill="1" applyBorder="1" applyAlignment="1">
      <alignment horizontal="center" vertical="top" wrapText="1"/>
    </xf>
    <xf numFmtId="0" fontId="5" fillId="3" borderId="1" xfId="3" applyFont="1" applyFill="1" applyBorder="1" applyAlignment="1">
      <alignment horizontal="center" vertical="top" wrapText="1"/>
    </xf>
    <xf numFmtId="0" fontId="9" fillId="3" borderId="1" xfId="3" applyFont="1" applyFill="1" applyBorder="1" applyAlignment="1">
      <alignment horizontal="center" vertical="top" wrapText="1"/>
    </xf>
    <xf numFmtId="0" fontId="9" fillId="3" borderId="2" xfId="3" applyFont="1" applyFill="1" applyBorder="1" applyAlignment="1">
      <alignment horizontal="center" vertical="top" wrapText="1"/>
    </xf>
    <xf numFmtId="0" fontId="9" fillId="3" borderId="3" xfId="3" applyFont="1" applyFill="1" applyBorder="1" applyAlignment="1">
      <alignment horizontal="center" vertical="top" wrapText="1"/>
    </xf>
    <xf numFmtId="0" fontId="1" fillId="0" borderId="3" xfId="0" applyFont="1" applyFill="1" applyBorder="1" applyAlignment="1">
      <alignment vertical="top" wrapText="1"/>
    </xf>
    <xf numFmtId="14" fontId="1" fillId="0" borderId="1" xfId="0" quotePrefix="1" applyNumberFormat="1" applyFont="1" applyFill="1" applyBorder="1" applyAlignment="1">
      <alignment horizontal="center" vertical="top" wrapText="1"/>
    </xf>
    <xf numFmtId="0" fontId="1" fillId="0" borderId="0" xfId="0" applyFont="1" applyFill="1" applyAlignment="1">
      <alignment vertical="top" wrapText="1"/>
    </xf>
    <xf numFmtId="0" fontId="9" fillId="3" borderId="1" xfId="3" applyFont="1" applyFill="1" applyBorder="1" applyAlignment="1">
      <alignment horizontal="right" vertical="top" wrapText="1"/>
    </xf>
    <xf numFmtId="0" fontId="1" fillId="3" borderId="0" xfId="0" applyFont="1" applyFill="1" applyAlignment="1">
      <alignment vertical="top" wrapText="1"/>
    </xf>
    <xf numFmtId="165" fontId="2" fillId="3" borderId="0" xfId="0" applyNumberFormat="1" applyFont="1" applyFill="1" applyAlignment="1">
      <alignment horizontal="right" vertical="top" wrapText="1"/>
    </xf>
    <xf numFmtId="0" fontId="1" fillId="9" borderId="0" xfId="0" applyFont="1" applyFill="1" applyAlignment="1">
      <alignment vertical="top" wrapText="1"/>
    </xf>
    <xf numFmtId="165" fontId="2" fillId="0" borderId="0" xfId="0" applyNumberFormat="1" applyFont="1" applyFill="1" applyAlignment="1">
      <alignment horizontal="left" vertical="top" wrapText="1"/>
    </xf>
    <xf numFmtId="0" fontId="1" fillId="0" borderId="3" xfId="0" applyFont="1" applyFill="1" applyBorder="1" applyAlignment="1">
      <alignment horizontal="left" vertical="top" wrapText="1"/>
    </xf>
    <xf numFmtId="0" fontId="9" fillId="0" borderId="0" xfId="3" applyFont="1" applyFill="1" applyAlignment="1">
      <alignment horizontal="center" vertical="top" wrapText="1"/>
    </xf>
    <xf numFmtId="0" fontId="9" fillId="0" borderId="0" xfId="3" applyFont="1" applyFill="1" applyAlignment="1">
      <alignment vertical="top" wrapText="1"/>
    </xf>
    <xf numFmtId="0" fontId="1" fillId="0" borderId="1" xfId="0" applyFont="1" applyFill="1" applyBorder="1" applyAlignment="1">
      <alignment horizontal="center" vertical="top" wrapText="1"/>
    </xf>
    <xf numFmtId="165" fontId="1" fillId="0" borderId="3" xfId="1" applyNumberFormat="1" applyFont="1" applyFill="1" applyBorder="1" applyAlignment="1">
      <alignment horizontal="left" vertical="top" wrapText="1"/>
    </xf>
    <xf numFmtId="165" fontId="2" fillId="3" borderId="0" xfId="0" applyNumberFormat="1" applyFont="1" applyFill="1" applyAlignment="1">
      <alignment horizontal="left" vertical="top" wrapText="1"/>
    </xf>
    <xf numFmtId="0" fontId="1" fillId="0" borderId="1" xfId="4" applyFont="1" applyFill="1" applyBorder="1" applyAlignment="1">
      <alignment vertical="top" wrapText="1"/>
    </xf>
    <xf numFmtId="164" fontId="1" fillId="0" borderId="1" xfId="4" applyNumberFormat="1" applyFont="1" applyFill="1" applyBorder="1" applyAlignment="1">
      <alignment vertical="top"/>
    </xf>
    <xf numFmtId="164" fontId="1" fillId="0" borderId="2" xfId="4" applyNumberFormat="1" applyFont="1" applyFill="1" applyBorder="1" applyAlignment="1">
      <alignment horizontal="right" vertical="top"/>
    </xf>
    <xf numFmtId="0" fontId="1" fillId="0" borderId="0" xfId="3" applyFont="1" applyFill="1" applyAlignment="1">
      <alignment vertical="top" wrapText="1"/>
    </xf>
    <xf numFmtId="165" fontId="2" fillId="3" borderId="0" xfId="0" applyNumberFormat="1" applyFont="1" applyFill="1" applyAlignment="1">
      <alignment horizontal="center" vertical="top" wrapText="1"/>
    </xf>
    <xf numFmtId="164" fontId="1" fillId="0" borderId="1" xfId="0" applyNumberFormat="1" applyFont="1" applyFill="1" applyBorder="1" applyAlignment="1">
      <alignment horizontal="right" vertical="top" wrapText="1"/>
    </xf>
    <xf numFmtId="14" fontId="1" fillId="0" borderId="1" xfId="0" applyNumberFormat="1" applyFont="1" applyFill="1" applyBorder="1" applyAlignment="1">
      <alignment horizontal="center" vertical="top" wrapText="1"/>
    </xf>
    <xf numFmtId="0" fontId="1" fillId="3" borderId="3" xfId="0" applyFont="1" applyFill="1" applyBorder="1" applyAlignment="1">
      <alignment vertical="top" wrapText="1"/>
    </xf>
    <xf numFmtId="0" fontId="1" fillId="3" borderId="1" xfId="0" applyFont="1" applyFill="1" applyBorder="1" applyAlignment="1">
      <alignment vertical="top" wrapText="1"/>
    </xf>
    <xf numFmtId="14" fontId="1" fillId="3" borderId="1" xfId="0" applyNumberFormat="1" applyFont="1" applyFill="1" applyBorder="1" applyAlignment="1">
      <alignment horizontal="left" vertical="top" wrapText="1"/>
    </xf>
    <xf numFmtId="164" fontId="2" fillId="3" borderId="1" xfId="0" applyNumberFormat="1" applyFont="1" applyFill="1" applyBorder="1" applyAlignment="1">
      <alignment horizontal="center" vertical="top" wrapText="1"/>
    </xf>
    <xf numFmtId="164" fontId="2" fillId="3" borderId="2" xfId="0" applyNumberFormat="1" applyFont="1" applyFill="1" applyBorder="1" applyAlignment="1">
      <alignment horizontal="right" vertical="top" wrapText="1"/>
    </xf>
    <xf numFmtId="164" fontId="2" fillId="3" borderId="3" xfId="0" applyNumberFormat="1" applyFont="1" applyFill="1" applyBorder="1" applyAlignment="1">
      <alignment horizontal="left" vertical="top" wrapText="1"/>
    </xf>
    <xf numFmtId="164" fontId="1" fillId="3" borderId="1" xfId="0" applyNumberFormat="1" applyFont="1" applyFill="1" applyBorder="1" applyAlignment="1">
      <alignment horizontal="center" vertical="top" wrapText="1"/>
    </xf>
    <xf numFmtId="14" fontId="1" fillId="3" borderId="1" xfId="0" applyNumberFormat="1" applyFont="1" applyFill="1" applyBorder="1" applyAlignment="1">
      <alignment horizontal="center" vertical="top" wrapText="1"/>
    </xf>
    <xf numFmtId="165" fontId="1" fillId="3" borderId="1" xfId="1" applyNumberFormat="1" applyFont="1" applyFill="1" applyBorder="1" applyAlignment="1">
      <alignment vertical="top" wrapText="1"/>
    </xf>
    <xf numFmtId="0" fontId="1" fillId="3" borderId="1" xfId="0" applyFont="1" applyFill="1" applyBorder="1" applyAlignment="1">
      <alignment wrapText="1"/>
    </xf>
    <xf numFmtId="14" fontId="1" fillId="3" borderId="1" xfId="0" applyNumberFormat="1" applyFont="1" applyFill="1" applyBorder="1" applyAlignment="1">
      <alignment horizontal="left" wrapText="1"/>
    </xf>
    <xf numFmtId="164" fontId="1" fillId="3" borderId="1" xfId="0" applyNumberFormat="1" applyFont="1" applyFill="1" applyBorder="1" applyAlignment="1">
      <alignment horizontal="center" wrapText="1"/>
    </xf>
    <xf numFmtId="0" fontId="1" fillId="0" borderId="0" xfId="0" applyFont="1" applyAlignment="1">
      <alignment horizontal="right" wrapText="1"/>
    </xf>
    <xf numFmtId="0" fontId="8" fillId="0" borderId="0" xfId="0" applyFont="1" applyAlignment="1">
      <alignment horizontal="left" vertical="center"/>
    </xf>
    <xf numFmtId="0" fontId="8" fillId="0" borderId="0" xfId="0" applyFont="1" applyAlignment="1">
      <alignment wrapText="1"/>
    </xf>
    <xf numFmtId="0" fontId="8" fillId="0" borderId="0" xfId="0" applyFont="1"/>
    <xf numFmtId="164" fontId="8" fillId="0" borderId="0" xfId="0" applyNumberFormat="1" applyFont="1"/>
    <xf numFmtId="0" fontId="8"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Fill="1" applyBorder="1" applyAlignment="1">
      <alignment horizontal="center" vertical="center"/>
    </xf>
    <xf numFmtId="164" fontId="7" fillId="0" borderId="1" xfId="0" applyNumberFormat="1" applyFont="1" applyFill="1" applyBorder="1" applyAlignment="1">
      <alignment horizont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18" fillId="0" borderId="0" xfId="0" applyFont="1" applyAlignment="1">
      <alignment horizontal="left" vertical="center"/>
    </xf>
    <xf numFmtId="0" fontId="19" fillId="0" borderId="0" xfId="0" applyFont="1" applyAlignment="1">
      <alignment wrapText="1"/>
    </xf>
    <xf numFmtId="0" fontId="8" fillId="10" borderId="1" xfId="0" applyFont="1" applyFill="1" applyBorder="1" applyAlignment="1">
      <alignment horizontal="left" vertical="center" wrapText="1"/>
    </xf>
    <xf numFmtId="0" fontId="8" fillId="11" borderId="1" xfId="0" applyFont="1" applyFill="1" applyBorder="1" applyAlignment="1">
      <alignment horizontal="left" vertical="center" wrapText="1"/>
    </xf>
    <xf numFmtId="0" fontId="8" fillId="10" borderId="1" xfId="8" applyFont="1" applyFill="1" applyBorder="1" applyAlignment="1">
      <alignment horizontal="left" vertical="center"/>
    </xf>
    <xf numFmtId="0" fontId="8" fillId="9" borderId="1" xfId="13" applyFont="1" applyFill="1" applyBorder="1" applyAlignment="1">
      <alignment horizontal="left" vertical="center"/>
    </xf>
    <xf numFmtId="0" fontId="8" fillId="9" borderId="1" xfId="0" applyFont="1" applyFill="1" applyBorder="1" applyAlignment="1">
      <alignment horizontal="left" vertical="center" wrapText="1"/>
    </xf>
    <xf numFmtId="0" fontId="8" fillId="12" borderId="1" xfId="0" applyFont="1" applyFill="1" applyBorder="1" applyAlignment="1">
      <alignment horizontal="left" vertical="center" wrapText="1"/>
    </xf>
    <xf numFmtId="0" fontId="8" fillId="0" borderId="1" xfId="0" applyFont="1" applyFill="1" applyBorder="1" applyAlignment="1">
      <alignment wrapText="1"/>
    </xf>
    <xf numFmtId="6" fontId="8" fillId="0" borderId="1" xfId="2" applyNumberFormat="1" applyFont="1" applyFill="1" applyBorder="1" applyAlignment="1">
      <alignment vertical="center"/>
    </xf>
    <xf numFmtId="0" fontId="8" fillId="13" borderId="1" xfId="0" applyFont="1" applyFill="1" applyBorder="1" applyAlignment="1">
      <alignment horizontal="left" vertical="center"/>
    </xf>
    <xf numFmtId="0" fontId="8" fillId="0" borderId="1" xfId="2" applyFont="1" applyFill="1" applyBorder="1" applyAlignment="1">
      <alignment vertical="center" wrapText="1"/>
    </xf>
    <xf numFmtId="0" fontId="8" fillId="14" borderId="1" xfId="0" applyFont="1" applyFill="1" applyBorder="1" applyAlignment="1">
      <alignment horizontal="left" vertical="center"/>
    </xf>
    <xf numFmtId="0" fontId="8" fillId="4" borderId="0" xfId="0" applyFont="1" applyFill="1" applyBorder="1"/>
    <xf numFmtId="0" fontId="8" fillId="4" borderId="0" xfId="0" applyFont="1" applyFill="1" applyBorder="1" applyAlignment="1">
      <alignment vertical="center" wrapText="1"/>
    </xf>
    <xf numFmtId="0" fontId="7" fillId="4" borderId="0" xfId="0" applyFont="1" applyFill="1" applyBorder="1" applyAlignment="1">
      <alignment vertical="center"/>
    </xf>
    <xf numFmtId="6" fontId="8" fillId="4" borderId="0" xfId="0" applyNumberFormat="1" applyFont="1" applyFill="1" applyBorder="1" applyAlignment="1">
      <alignment vertical="center"/>
    </xf>
    <xf numFmtId="164" fontId="8" fillId="4" borderId="0" xfId="0" applyNumberFormat="1" applyFont="1" applyFill="1" applyBorder="1" applyAlignment="1">
      <alignment vertical="center"/>
    </xf>
    <xf numFmtId="0" fontId="8" fillId="4" borderId="0" xfId="0" applyFont="1" applyFill="1" applyBorder="1" applyAlignment="1">
      <alignment horizontal="center" wrapText="1"/>
    </xf>
    <xf numFmtId="164" fontId="8" fillId="4" borderId="0" xfId="0" applyNumberFormat="1" applyFont="1" applyFill="1" applyBorder="1" applyAlignment="1">
      <alignment horizontal="center"/>
    </xf>
    <xf numFmtId="0" fontId="8" fillId="4" borderId="0" xfId="0" applyFont="1" applyFill="1" applyBorder="1" applyAlignment="1">
      <alignment horizontal="left" vertical="center" wrapText="1"/>
    </xf>
    <xf numFmtId="0" fontId="8" fillId="4" borderId="0" xfId="0" applyFont="1" applyFill="1" applyBorder="1" applyAlignment="1">
      <alignment horizontal="center" vertical="center"/>
    </xf>
    <xf numFmtId="6" fontId="8" fillId="0" borderId="1" xfId="0" applyNumberFormat="1" applyFont="1" applyFill="1" applyBorder="1" applyAlignment="1">
      <alignment horizontal="right" vertical="center"/>
    </xf>
    <xf numFmtId="0" fontId="8" fillId="0" borderId="6" xfId="0" applyFont="1" applyFill="1" applyBorder="1" applyAlignment="1">
      <alignment vertical="center" wrapText="1"/>
    </xf>
    <xf numFmtId="164" fontId="8" fillId="0" borderId="1" xfId="0" applyNumberFormat="1" applyFont="1" applyFill="1" applyBorder="1" applyAlignment="1">
      <alignment horizontal="right"/>
    </xf>
    <xf numFmtId="0" fontId="8" fillId="0" borderId="0" xfId="0" applyFont="1" applyFill="1"/>
    <xf numFmtId="6" fontId="7" fillId="0" borderId="6" xfId="0" applyNumberFormat="1" applyFont="1" applyBorder="1" applyAlignment="1">
      <alignment vertical="center"/>
    </xf>
    <xf numFmtId="0" fontId="7" fillId="0" borderId="0" xfId="0" applyFont="1"/>
    <xf numFmtId="6" fontId="8" fillId="0" borderId="4" xfId="0" applyNumberFormat="1" applyFont="1" applyBorder="1" applyAlignment="1">
      <alignment vertical="center"/>
    </xf>
    <xf numFmtId="0" fontId="8" fillId="0" borderId="0" xfId="0" applyFont="1" applyFill="1" applyAlignment="1">
      <alignment vertical="center" wrapText="1"/>
    </xf>
    <xf numFmtId="0" fontId="8" fillId="13" borderId="0" xfId="8" applyFont="1" applyFill="1" applyAlignment="1">
      <alignment horizontal="left" vertical="center"/>
    </xf>
    <xf numFmtId="0" fontId="8" fillId="13" borderId="1" xfId="2" applyFont="1" applyFill="1" applyBorder="1" applyAlignment="1">
      <alignment horizontal="left" vertical="center"/>
    </xf>
    <xf numFmtId="164" fontId="12" fillId="0" borderId="1" xfId="0" applyNumberFormat="1" applyFont="1" applyFill="1" applyBorder="1" applyAlignment="1">
      <alignment vertical="center"/>
    </xf>
    <xf numFmtId="6" fontId="12" fillId="0" borderId="1" xfId="0" applyNumberFormat="1" applyFont="1" applyFill="1" applyBorder="1" applyAlignment="1">
      <alignment vertical="center"/>
    </xf>
    <xf numFmtId="0" fontId="8" fillId="0" borderId="0" xfId="0" applyFont="1" applyBorder="1"/>
    <xf numFmtId="164" fontId="8" fillId="6" borderId="0" xfId="0" applyNumberFormat="1" applyFont="1" applyFill="1" applyBorder="1" applyAlignment="1">
      <alignment vertical="center"/>
    </xf>
    <xf numFmtId="0" fontId="8" fillId="6" borderId="0" xfId="0" applyFont="1" applyFill="1" applyBorder="1" applyAlignment="1">
      <alignment horizontal="center" vertical="center" wrapText="1"/>
    </xf>
    <xf numFmtId="0" fontId="8" fillId="0" borderId="1" xfId="0" quotePrefix="1" applyFont="1" applyFill="1" applyBorder="1" applyAlignment="1">
      <alignment horizontal="left" vertical="center"/>
    </xf>
    <xf numFmtId="164" fontId="8" fillId="0" borderId="1" xfId="0" applyNumberFormat="1" applyFont="1" applyFill="1" applyBorder="1" applyAlignment="1">
      <alignment vertical="center" wrapText="1"/>
    </xf>
    <xf numFmtId="0" fontId="8" fillId="0" borderId="1" xfId="0" quotePrefix="1" applyFont="1" applyBorder="1" applyAlignment="1">
      <alignment horizontal="left" vertical="center"/>
    </xf>
    <xf numFmtId="164" fontId="7" fillId="0" borderId="1" xfId="0" applyNumberFormat="1" applyFont="1" applyFill="1" applyBorder="1" applyAlignment="1">
      <alignment vertical="center"/>
    </xf>
    <xf numFmtId="0" fontId="8" fillId="0" borderId="0" xfId="0" applyFont="1" applyFill="1" applyAlignment="1">
      <alignment horizontal="left" vertical="center"/>
    </xf>
    <xf numFmtId="6" fontId="8" fillId="0" borderId="0" xfId="0" applyNumberFormat="1" applyFont="1" applyFill="1" applyAlignment="1">
      <alignment vertical="center" wrapText="1"/>
    </xf>
    <xf numFmtId="0" fontId="8" fillId="0" borderId="0" xfId="0" applyFont="1" applyFill="1" applyAlignment="1">
      <alignment vertical="center"/>
    </xf>
    <xf numFmtId="164" fontId="8" fillId="0" borderId="0" xfId="0" applyNumberFormat="1" applyFont="1" applyFill="1" applyAlignment="1">
      <alignment vertical="center"/>
    </xf>
    <xf numFmtId="6" fontId="8"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2" fillId="0" borderId="1" xfId="0" quotePrefix="1" applyFont="1" applyFill="1" applyBorder="1" applyAlignment="1">
      <alignment horizontal="left" vertical="center"/>
    </xf>
    <xf numFmtId="0" fontId="12" fillId="0" borderId="1" xfId="0" applyFont="1" applyFill="1" applyBorder="1" applyAlignment="1">
      <alignment vertical="center" wrapText="1"/>
    </xf>
    <xf numFmtId="0" fontId="8" fillId="0" borderId="6" xfId="0" quotePrefix="1" applyFont="1" applyBorder="1" applyAlignment="1">
      <alignment horizontal="left" vertical="center"/>
    </xf>
    <xf numFmtId="0" fontId="8" fillId="0" borderId="6" xfId="0" applyFont="1" applyBorder="1" applyAlignment="1">
      <alignment horizontal="left" vertical="center" wrapText="1"/>
    </xf>
    <xf numFmtId="164" fontId="8" fillId="0" borderId="6" xfId="0" applyNumberFormat="1" applyFont="1" applyBorder="1" applyAlignment="1">
      <alignment vertical="center"/>
    </xf>
    <xf numFmtId="6" fontId="8" fillId="0" borderId="6"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14" fontId="8" fillId="0" borderId="6" xfId="0" applyNumberFormat="1" applyFont="1" applyBorder="1" applyAlignment="1">
      <alignment horizontal="center" vertical="center"/>
    </xf>
    <xf numFmtId="14" fontId="8" fillId="0" borderId="6" xfId="0" applyNumberFormat="1" applyFont="1" applyBorder="1" applyAlignment="1">
      <alignment horizontal="center" vertical="center" wrapText="1"/>
    </xf>
    <xf numFmtId="0" fontId="1" fillId="0" borderId="1" xfId="0" applyFont="1" applyBorder="1"/>
    <xf numFmtId="0" fontId="0" fillId="0" borderId="0" xfId="0" applyFill="1" applyBorder="1" applyAlignment="1">
      <alignment wrapText="1"/>
    </xf>
    <xf numFmtId="166" fontId="0" fillId="0" borderId="0" xfId="0" applyNumberFormat="1" applyFill="1" applyBorder="1"/>
    <xf numFmtId="0" fontId="0" fillId="0" borderId="9" xfId="0" applyFill="1" applyBorder="1" applyAlignment="1">
      <alignment wrapText="1"/>
    </xf>
    <xf numFmtId="164" fontId="0" fillId="0" borderId="9" xfId="0" applyNumberFormat="1" applyFill="1" applyBorder="1"/>
    <xf numFmtId="166" fontId="0" fillId="0" borderId="9" xfId="0" applyNumberFormat="1" applyFill="1" applyBorder="1"/>
    <xf numFmtId="0" fontId="1" fillId="0" borderId="0" xfId="0" applyFont="1" applyFill="1"/>
    <xf numFmtId="166" fontId="8" fillId="4" borderId="1" xfId="12" applyNumberFormat="1" applyFont="1" applyFill="1" applyBorder="1" applyAlignment="1">
      <alignment horizontal="right" vertical="center" wrapText="1"/>
    </xf>
    <xf numFmtId="44" fontId="0" fillId="0" borderId="0" xfId="0" applyNumberFormat="1"/>
    <xf numFmtId="44" fontId="8" fillId="4" borderId="1" xfId="9" applyFont="1" applyFill="1" applyBorder="1" applyAlignment="1">
      <alignment horizontal="right" vertical="center" wrapText="1"/>
    </xf>
    <xf numFmtId="166" fontId="8" fillId="2" borderId="1" xfId="10" applyNumberFormat="1" applyFont="1" applyFill="1" applyBorder="1" applyAlignment="1">
      <alignment vertical="center"/>
    </xf>
    <xf numFmtId="164" fontId="0" fillId="0" borderId="1" xfId="0" applyNumberFormat="1" applyFill="1" applyBorder="1" applyAlignment="1">
      <alignment horizontal="center"/>
    </xf>
    <xf numFmtId="0" fontId="1" fillId="0" borderId="0" xfId="5" applyFont="1" applyFill="1" applyAlignment="1">
      <alignment horizontal="center" vertical="center"/>
    </xf>
    <xf numFmtId="0" fontId="0" fillId="4" borderId="1" xfId="0" applyFill="1" applyBorder="1"/>
    <xf numFmtId="0" fontId="0" fillId="4" borderId="1" xfId="0" applyFill="1" applyBorder="1" applyAlignment="1">
      <alignment wrapText="1"/>
    </xf>
    <xf numFmtId="164" fontId="0" fillId="4" borderId="1" xfId="0" applyNumberFormat="1" applyFill="1" applyBorder="1" applyAlignment="1">
      <alignment horizontal="center"/>
    </xf>
    <xf numFmtId="164" fontId="1" fillId="4" borderId="1" xfId="7" applyNumberFormat="1" applyFont="1" applyFill="1" applyBorder="1" applyAlignment="1">
      <alignment horizontal="center" vertical="center" wrapText="1"/>
    </xf>
    <xf numFmtId="164" fontId="1" fillId="4" borderId="1" xfId="0" applyNumberFormat="1" applyFont="1" applyFill="1" applyBorder="1" applyAlignment="1">
      <alignment horizontal="center"/>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xf>
    <xf numFmtId="0" fontId="1" fillId="4" borderId="0" xfId="5" applyFont="1" applyFill="1" applyAlignment="1">
      <alignment horizontal="center" vertical="center"/>
    </xf>
    <xf numFmtId="0" fontId="0" fillId="0" borderId="2" xfId="0" applyFill="1" applyBorder="1" applyAlignment="1">
      <alignment wrapText="1"/>
    </xf>
    <xf numFmtId="0" fontId="9" fillId="8" borderId="6" xfId="2" applyFont="1" applyFill="1" applyBorder="1" applyAlignment="1">
      <alignment horizontal="left"/>
    </xf>
    <xf numFmtId="0" fontId="1" fillId="0" borderId="11" xfId="0" applyFont="1" applyFill="1" applyBorder="1" applyAlignment="1">
      <alignment wrapText="1"/>
    </xf>
    <xf numFmtId="164" fontId="1" fillId="0" borderId="6" xfId="11" applyNumberFormat="1" applyFont="1" applyFill="1" applyBorder="1" applyAlignment="1">
      <alignment horizontal="center"/>
    </xf>
    <xf numFmtId="0" fontId="9" fillId="4" borderId="1" xfId="2" applyFont="1" applyFill="1" applyBorder="1" applyAlignment="1">
      <alignment horizontal="left"/>
    </xf>
    <xf numFmtId="0" fontId="1" fillId="4" borderId="1" xfId="0" applyFont="1" applyFill="1" applyBorder="1"/>
    <xf numFmtId="164" fontId="1" fillId="4" borderId="1" xfId="11" applyNumberFormat="1" applyFont="1" applyFill="1" applyBorder="1" applyAlignment="1">
      <alignment horizontal="center"/>
    </xf>
    <xf numFmtId="164" fontId="1" fillId="4" borderId="1" xfId="11" applyNumberFormat="1" applyFont="1" applyFill="1" applyBorder="1" applyAlignment="1">
      <alignment horizontal="center" wrapText="1"/>
    </xf>
    <xf numFmtId="164" fontId="1" fillId="4" borderId="1" xfId="11" applyNumberFormat="1" applyFont="1" applyFill="1" applyBorder="1" applyAlignment="1">
      <alignment horizontal="center" vertical="center" wrapText="1"/>
    </xf>
    <xf numFmtId="0" fontId="1" fillId="4" borderId="3" xfId="0" applyFont="1" applyFill="1" applyBorder="1" applyAlignment="1">
      <alignment wrapText="1"/>
    </xf>
    <xf numFmtId="164" fontId="1" fillId="4" borderId="1" xfId="7" applyNumberFormat="1" applyFont="1" applyFill="1" applyBorder="1" applyAlignment="1">
      <alignment horizontal="center" vertical="center"/>
    </xf>
    <xf numFmtId="0" fontId="1" fillId="0" borderId="1" xfId="0" applyFont="1" applyBorder="1" applyAlignment="1">
      <alignment horizontal="left" vertical="center" wrapText="1"/>
    </xf>
    <xf numFmtId="164" fontId="1" fillId="0" borderId="1" xfId="2" applyNumberFormat="1" applyFont="1" applyBorder="1" applyAlignment="1">
      <alignment horizontal="center"/>
    </xf>
    <xf numFmtId="164" fontId="1" fillId="0" borderId="1" xfId="14" applyNumberFormat="1"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164" fontId="1" fillId="0" borderId="1" xfId="14" applyNumberFormat="1" applyFont="1" applyBorder="1" applyAlignment="1">
      <alignment horizontal="center" vertical="center"/>
    </xf>
    <xf numFmtId="164" fontId="1" fillId="0" borderId="5" xfId="14" applyNumberFormat="1" applyFont="1" applyBorder="1" applyAlignment="1">
      <alignment horizontal="center" vertical="center"/>
    </xf>
    <xf numFmtId="164" fontId="0" fillId="7" borderId="1" xfId="14" applyNumberFormat="1" applyFont="1" applyFill="1" applyBorder="1" applyAlignment="1">
      <alignment horizontal="center"/>
    </xf>
    <xf numFmtId="164" fontId="1" fillId="0" borderId="1" xfId="14" applyNumberFormat="1" applyFont="1" applyFill="1" applyBorder="1" applyAlignment="1">
      <alignment horizontal="center" vertical="center"/>
    </xf>
    <xf numFmtId="164" fontId="1" fillId="0" borderId="1" xfId="14" applyNumberFormat="1" applyFont="1" applyFill="1" applyBorder="1" applyAlignment="1">
      <alignment horizontal="center" vertical="center" wrapText="1"/>
    </xf>
    <xf numFmtId="164" fontId="0" fillId="7" borderId="1" xfId="14" applyNumberFormat="1" applyFont="1" applyFill="1" applyBorder="1" applyAlignment="1">
      <alignment horizontal="center" vertical="center"/>
    </xf>
    <xf numFmtId="164" fontId="1" fillId="0" borderId="1" xfId="14" applyNumberFormat="1" applyFont="1" applyFill="1" applyBorder="1" applyAlignment="1">
      <alignment horizontal="center" wrapText="1"/>
    </xf>
    <xf numFmtId="0" fontId="7" fillId="0" borderId="4" xfId="0" applyFont="1" applyBorder="1" applyAlignment="1">
      <alignment horizontal="center" vertical="center"/>
    </xf>
    <xf numFmtId="0" fontId="1" fillId="0" borderId="0" xfId="0" applyFont="1" applyAlignment="1">
      <alignment horizontal="left" wrapText="1"/>
    </xf>
    <xf numFmtId="0" fontId="1" fillId="0" borderId="0" xfId="0" applyFont="1" applyFill="1" applyBorder="1" applyAlignment="1">
      <alignment horizontal="left" wrapText="1"/>
    </xf>
    <xf numFmtId="0" fontId="6" fillId="0" borderId="4" xfId="0" applyFont="1" applyFill="1" applyBorder="1" applyAlignment="1">
      <alignment horizontal="center" wrapText="1"/>
    </xf>
    <xf numFmtId="0" fontId="9" fillId="2" borderId="2" xfId="3" applyFont="1" applyFill="1" applyBorder="1" applyAlignment="1">
      <alignment horizontal="center" wrapText="1"/>
    </xf>
    <xf numFmtId="0" fontId="9" fillId="2" borderId="3" xfId="3" applyFont="1" applyFill="1" applyBorder="1" applyAlignment="1">
      <alignment horizontal="center" wrapText="1"/>
    </xf>
    <xf numFmtId="0" fontId="11" fillId="0" borderId="4" xfId="0" applyFont="1" applyBorder="1" applyAlignment="1">
      <alignment horizontal="center" wrapText="1"/>
    </xf>
    <xf numFmtId="0" fontId="11" fillId="0" borderId="4" xfId="0" applyFont="1" applyBorder="1" applyAlignment="1">
      <alignment horizontal="center"/>
    </xf>
    <xf numFmtId="0" fontId="7"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13" fillId="0" borderId="4" xfId="0" applyFont="1" applyBorder="1" applyAlignment="1">
      <alignment horizontal="center"/>
    </xf>
    <xf numFmtId="0" fontId="11" fillId="0" borderId="4" xfId="5" applyFont="1" applyBorder="1" applyAlignment="1">
      <alignment horizontal="center" vertical="center" wrapText="1"/>
    </xf>
    <xf numFmtId="0" fontId="2" fillId="0" borderId="4" xfId="0" applyFont="1" applyBorder="1" applyAlignment="1">
      <alignment horizontal="center" vertical="center" wrapText="1"/>
    </xf>
    <xf numFmtId="0" fontId="13" fillId="0" borderId="4" xfId="12" applyFont="1" applyBorder="1" applyAlignment="1">
      <alignment horizontal="center" vertical="center" wrapText="1"/>
    </xf>
    <xf numFmtId="0" fontId="7" fillId="6" borderId="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6" borderId="9" xfId="0" applyFont="1" applyFill="1" applyBorder="1" applyAlignment="1">
      <alignment vertical="center" wrapText="1"/>
    </xf>
    <xf numFmtId="0" fontId="8" fillId="6" borderId="3" xfId="0" applyFont="1" applyFill="1" applyBorder="1" applyAlignment="1">
      <alignment vertical="center" wrapText="1"/>
    </xf>
    <xf numFmtId="0" fontId="7" fillId="6" borderId="1" xfId="0" applyFont="1" applyFill="1" applyBorder="1" applyAlignment="1">
      <alignment horizontal="center" vertical="center" wrapText="1"/>
    </xf>
    <xf numFmtId="0" fontId="7" fillId="6" borderId="6" xfId="0" applyFont="1" applyFill="1" applyBorder="1" applyAlignment="1">
      <alignment horizontal="center" vertical="center" wrapText="1"/>
    </xf>
  </cellXfs>
  <cellStyles count="15">
    <cellStyle name="Comma" xfId="11" builtinId="3"/>
    <cellStyle name="Currency" xfId="9" builtinId="4"/>
    <cellStyle name="Currency 2" xfId="1"/>
    <cellStyle name="Currency 2 2" xfId="14"/>
    <cellStyle name="Currency 3" xfId="7"/>
    <cellStyle name="Normal" xfId="0" builtinId="0"/>
    <cellStyle name="Normal 2" xfId="2"/>
    <cellStyle name="Normal 3" xfId="8"/>
    <cellStyle name="Normal 4" xfId="12"/>
    <cellStyle name="Normal 7" xfId="13"/>
    <cellStyle name="Normal_FY 2002 Project Summary" xfId="5"/>
    <cellStyle name="Normal_FY 2002 Project Summary 2" xfId="10"/>
    <cellStyle name="Normal_Sheet1" xfId="6"/>
    <cellStyle name="Normal_Sheet1 2" xfId="3"/>
    <cellStyle name="Normal_Sheet1_SR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workbookViewId="0">
      <selection sqref="A1:I1"/>
    </sheetView>
  </sheetViews>
  <sheetFormatPr defaultRowHeight="12.75" x14ac:dyDescent="0.2"/>
  <cols>
    <col min="1" max="1" width="26.5703125" style="51" bestFit="1" customWidth="1"/>
    <col min="2" max="2" width="32.140625" style="52" customWidth="1"/>
    <col min="3" max="3" width="14.7109375" style="53" customWidth="1"/>
    <col min="4" max="4" width="14.28515625" style="53" customWidth="1"/>
    <col min="5" max="5" width="22.7109375" style="54" customWidth="1"/>
    <col min="6" max="6" width="12.5703125" style="53" customWidth="1"/>
    <col min="7" max="7" width="15" style="53" customWidth="1"/>
    <col min="8" max="8" width="24" style="55" customWidth="1"/>
    <col min="9" max="9" width="17.28515625" style="55" customWidth="1"/>
    <col min="10" max="10" width="10.85546875" style="56" bestFit="1" customWidth="1"/>
    <col min="11" max="256" width="9.140625" style="56"/>
    <col min="257" max="257" width="18.28515625" style="56" customWidth="1"/>
    <col min="258" max="258" width="48.5703125" style="56" customWidth="1"/>
    <col min="259" max="259" width="14.7109375" style="56" customWidth="1"/>
    <col min="260" max="260" width="14.28515625" style="56" customWidth="1"/>
    <col min="261" max="261" width="30.7109375" style="56" customWidth="1"/>
    <col min="262" max="262" width="12.5703125" style="56" customWidth="1"/>
    <col min="263" max="263" width="15" style="56" customWidth="1"/>
    <col min="264" max="264" width="17.85546875" style="56" customWidth="1"/>
    <col min="265" max="265" width="17.28515625" style="56" customWidth="1"/>
    <col min="266" max="266" width="10.85546875" style="56" bestFit="1" customWidth="1"/>
    <col min="267" max="512" width="9.140625" style="56"/>
    <col min="513" max="513" width="18.28515625" style="56" customWidth="1"/>
    <col min="514" max="514" width="48.5703125" style="56" customWidth="1"/>
    <col min="515" max="515" width="14.7109375" style="56" customWidth="1"/>
    <col min="516" max="516" width="14.28515625" style="56" customWidth="1"/>
    <col min="517" max="517" width="30.7109375" style="56" customWidth="1"/>
    <col min="518" max="518" width="12.5703125" style="56" customWidth="1"/>
    <col min="519" max="519" width="15" style="56" customWidth="1"/>
    <col min="520" max="520" width="17.85546875" style="56" customWidth="1"/>
    <col min="521" max="521" width="17.28515625" style="56" customWidth="1"/>
    <col min="522" max="522" width="10.85546875" style="56" bestFit="1" customWidth="1"/>
    <col min="523" max="768" width="9.140625" style="56"/>
    <col min="769" max="769" width="18.28515625" style="56" customWidth="1"/>
    <col min="770" max="770" width="48.5703125" style="56" customWidth="1"/>
    <col min="771" max="771" width="14.7109375" style="56" customWidth="1"/>
    <col min="772" max="772" width="14.28515625" style="56" customWidth="1"/>
    <col min="773" max="773" width="30.7109375" style="56" customWidth="1"/>
    <col min="774" max="774" width="12.5703125" style="56" customWidth="1"/>
    <col min="775" max="775" width="15" style="56" customWidth="1"/>
    <col min="776" max="776" width="17.85546875" style="56" customWidth="1"/>
    <col min="777" max="777" width="17.28515625" style="56" customWidth="1"/>
    <col min="778" max="778" width="10.85546875" style="56" bestFit="1" customWidth="1"/>
    <col min="779" max="1024" width="9.140625" style="56"/>
    <col min="1025" max="1025" width="18.28515625" style="56" customWidth="1"/>
    <col min="1026" max="1026" width="48.5703125" style="56" customWidth="1"/>
    <col min="1027" max="1027" width="14.7109375" style="56" customWidth="1"/>
    <col min="1028" max="1028" width="14.28515625" style="56" customWidth="1"/>
    <col min="1029" max="1029" width="30.7109375" style="56" customWidth="1"/>
    <col min="1030" max="1030" width="12.5703125" style="56" customWidth="1"/>
    <col min="1031" max="1031" width="15" style="56" customWidth="1"/>
    <col min="1032" max="1032" width="17.85546875" style="56" customWidth="1"/>
    <col min="1033" max="1033" width="17.28515625" style="56" customWidth="1"/>
    <col min="1034" max="1034" width="10.85546875" style="56" bestFit="1" customWidth="1"/>
    <col min="1035" max="1280" width="9.140625" style="56"/>
    <col min="1281" max="1281" width="18.28515625" style="56" customWidth="1"/>
    <col min="1282" max="1282" width="48.5703125" style="56" customWidth="1"/>
    <col min="1283" max="1283" width="14.7109375" style="56" customWidth="1"/>
    <col min="1284" max="1284" width="14.28515625" style="56" customWidth="1"/>
    <col min="1285" max="1285" width="30.7109375" style="56" customWidth="1"/>
    <col min="1286" max="1286" width="12.5703125" style="56" customWidth="1"/>
    <col min="1287" max="1287" width="15" style="56" customWidth="1"/>
    <col min="1288" max="1288" width="17.85546875" style="56" customWidth="1"/>
    <col min="1289" max="1289" width="17.28515625" style="56" customWidth="1"/>
    <col min="1290" max="1290" width="10.85546875" style="56" bestFit="1" customWidth="1"/>
    <col min="1291" max="1536" width="9.140625" style="56"/>
    <col min="1537" max="1537" width="18.28515625" style="56" customWidth="1"/>
    <col min="1538" max="1538" width="48.5703125" style="56" customWidth="1"/>
    <col min="1539" max="1539" width="14.7109375" style="56" customWidth="1"/>
    <col min="1540" max="1540" width="14.28515625" style="56" customWidth="1"/>
    <col min="1541" max="1541" width="30.7109375" style="56" customWidth="1"/>
    <col min="1542" max="1542" width="12.5703125" style="56" customWidth="1"/>
    <col min="1543" max="1543" width="15" style="56" customWidth="1"/>
    <col min="1544" max="1544" width="17.85546875" style="56" customWidth="1"/>
    <col min="1545" max="1545" width="17.28515625" style="56" customWidth="1"/>
    <col min="1546" max="1546" width="10.85546875" style="56" bestFit="1" customWidth="1"/>
    <col min="1547" max="1792" width="9.140625" style="56"/>
    <col min="1793" max="1793" width="18.28515625" style="56" customWidth="1"/>
    <col min="1794" max="1794" width="48.5703125" style="56" customWidth="1"/>
    <col min="1795" max="1795" width="14.7109375" style="56" customWidth="1"/>
    <col min="1796" max="1796" width="14.28515625" style="56" customWidth="1"/>
    <col min="1797" max="1797" width="30.7109375" style="56" customWidth="1"/>
    <col min="1798" max="1798" width="12.5703125" style="56" customWidth="1"/>
    <col min="1799" max="1799" width="15" style="56" customWidth="1"/>
    <col min="1800" max="1800" width="17.85546875" style="56" customWidth="1"/>
    <col min="1801" max="1801" width="17.28515625" style="56" customWidth="1"/>
    <col min="1802" max="1802" width="10.85546875" style="56" bestFit="1" customWidth="1"/>
    <col min="1803" max="2048" width="9.140625" style="56"/>
    <col min="2049" max="2049" width="18.28515625" style="56" customWidth="1"/>
    <col min="2050" max="2050" width="48.5703125" style="56" customWidth="1"/>
    <col min="2051" max="2051" width="14.7109375" style="56" customWidth="1"/>
    <col min="2052" max="2052" width="14.28515625" style="56" customWidth="1"/>
    <col min="2053" max="2053" width="30.7109375" style="56" customWidth="1"/>
    <col min="2054" max="2054" width="12.5703125" style="56" customWidth="1"/>
    <col min="2055" max="2055" width="15" style="56" customWidth="1"/>
    <col min="2056" max="2056" width="17.85546875" style="56" customWidth="1"/>
    <col min="2057" max="2057" width="17.28515625" style="56" customWidth="1"/>
    <col min="2058" max="2058" width="10.85546875" style="56" bestFit="1" customWidth="1"/>
    <col min="2059" max="2304" width="9.140625" style="56"/>
    <col min="2305" max="2305" width="18.28515625" style="56" customWidth="1"/>
    <col min="2306" max="2306" width="48.5703125" style="56" customWidth="1"/>
    <col min="2307" max="2307" width="14.7109375" style="56" customWidth="1"/>
    <col min="2308" max="2308" width="14.28515625" style="56" customWidth="1"/>
    <col min="2309" max="2309" width="30.7109375" style="56" customWidth="1"/>
    <col min="2310" max="2310" width="12.5703125" style="56" customWidth="1"/>
    <col min="2311" max="2311" width="15" style="56" customWidth="1"/>
    <col min="2312" max="2312" width="17.85546875" style="56" customWidth="1"/>
    <col min="2313" max="2313" width="17.28515625" style="56" customWidth="1"/>
    <col min="2314" max="2314" width="10.85546875" style="56" bestFit="1" customWidth="1"/>
    <col min="2315" max="2560" width="9.140625" style="56"/>
    <col min="2561" max="2561" width="18.28515625" style="56" customWidth="1"/>
    <col min="2562" max="2562" width="48.5703125" style="56" customWidth="1"/>
    <col min="2563" max="2563" width="14.7109375" style="56" customWidth="1"/>
    <col min="2564" max="2564" width="14.28515625" style="56" customWidth="1"/>
    <col min="2565" max="2565" width="30.7109375" style="56" customWidth="1"/>
    <col min="2566" max="2566" width="12.5703125" style="56" customWidth="1"/>
    <col min="2567" max="2567" width="15" style="56" customWidth="1"/>
    <col min="2568" max="2568" width="17.85546875" style="56" customWidth="1"/>
    <col min="2569" max="2569" width="17.28515625" style="56" customWidth="1"/>
    <col min="2570" max="2570" width="10.85546875" style="56" bestFit="1" customWidth="1"/>
    <col min="2571" max="2816" width="9.140625" style="56"/>
    <col min="2817" max="2817" width="18.28515625" style="56" customWidth="1"/>
    <col min="2818" max="2818" width="48.5703125" style="56" customWidth="1"/>
    <col min="2819" max="2819" width="14.7109375" style="56" customWidth="1"/>
    <col min="2820" max="2820" width="14.28515625" style="56" customWidth="1"/>
    <col min="2821" max="2821" width="30.7109375" style="56" customWidth="1"/>
    <col min="2822" max="2822" width="12.5703125" style="56" customWidth="1"/>
    <col min="2823" max="2823" width="15" style="56" customWidth="1"/>
    <col min="2824" max="2824" width="17.85546875" style="56" customWidth="1"/>
    <col min="2825" max="2825" width="17.28515625" style="56" customWidth="1"/>
    <col min="2826" max="2826" width="10.85546875" style="56" bestFit="1" customWidth="1"/>
    <col min="2827" max="3072" width="9.140625" style="56"/>
    <col min="3073" max="3073" width="18.28515625" style="56" customWidth="1"/>
    <col min="3074" max="3074" width="48.5703125" style="56" customWidth="1"/>
    <col min="3075" max="3075" width="14.7109375" style="56" customWidth="1"/>
    <col min="3076" max="3076" width="14.28515625" style="56" customWidth="1"/>
    <col min="3077" max="3077" width="30.7109375" style="56" customWidth="1"/>
    <col min="3078" max="3078" width="12.5703125" style="56" customWidth="1"/>
    <col min="3079" max="3079" width="15" style="56" customWidth="1"/>
    <col min="3080" max="3080" width="17.85546875" style="56" customWidth="1"/>
    <col min="3081" max="3081" width="17.28515625" style="56" customWidth="1"/>
    <col min="3082" max="3082" width="10.85546875" style="56" bestFit="1" customWidth="1"/>
    <col min="3083" max="3328" width="9.140625" style="56"/>
    <col min="3329" max="3329" width="18.28515625" style="56" customWidth="1"/>
    <col min="3330" max="3330" width="48.5703125" style="56" customWidth="1"/>
    <col min="3331" max="3331" width="14.7109375" style="56" customWidth="1"/>
    <col min="3332" max="3332" width="14.28515625" style="56" customWidth="1"/>
    <col min="3333" max="3333" width="30.7109375" style="56" customWidth="1"/>
    <col min="3334" max="3334" width="12.5703125" style="56" customWidth="1"/>
    <col min="3335" max="3335" width="15" style="56" customWidth="1"/>
    <col min="3336" max="3336" width="17.85546875" style="56" customWidth="1"/>
    <col min="3337" max="3337" width="17.28515625" style="56" customWidth="1"/>
    <col min="3338" max="3338" width="10.85546875" style="56" bestFit="1" customWidth="1"/>
    <col min="3339" max="3584" width="9.140625" style="56"/>
    <col min="3585" max="3585" width="18.28515625" style="56" customWidth="1"/>
    <col min="3586" max="3586" width="48.5703125" style="56" customWidth="1"/>
    <col min="3587" max="3587" width="14.7109375" style="56" customWidth="1"/>
    <col min="3588" max="3588" width="14.28515625" style="56" customWidth="1"/>
    <col min="3589" max="3589" width="30.7109375" style="56" customWidth="1"/>
    <col min="3590" max="3590" width="12.5703125" style="56" customWidth="1"/>
    <col min="3591" max="3591" width="15" style="56" customWidth="1"/>
    <col min="3592" max="3592" width="17.85546875" style="56" customWidth="1"/>
    <col min="3593" max="3593" width="17.28515625" style="56" customWidth="1"/>
    <col min="3594" max="3594" width="10.85546875" style="56" bestFit="1" customWidth="1"/>
    <col min="3595" max="3840" width="9.140625" style="56"/>
    <col min="3841" max="3841" width="18.28515625" style="56" customWidth="1"/>
    <col min="3842" max="3842" width="48.5703125" style="56" customWidth="1"/>
    <col min="3843" max="3843" width="14.7109375" style="56" customWidth="1"/>
    <col min="3844" max="3844" width="14.28515625" style="56" customWidth="1"/>
    <col min="3845" max="3845" width="30.7109375" style="56" customWidth="1"/>
    <col min="3846" max="3846" width="12.5703125" style="56" customWidth="1"/>
    <col min="3847" max="3847" width="15" style="56" customWidth="1"/>
    <col min="3848" max="3848" width="17.85546875" style="56" customWidth="1"/>
    <col min="3849" max="3849" width="17.28515625" style="56" customWidth="1"/>
    <col min="3850" max="3850" width="10.85546875" style="56" bestFit="1" customWidth="1"/>
    <col min="3851" max="4096" width="9.140625" style="56"/>
    <col min="4097" max="4097" width="18.28515625" style="56" customWidth="1"/>
    <col min="4098" max="4098" width="48.5703125" style="56" customWidth="1"/>
    <col min="4099" max="4099" width="14.7109375" style="56" customWidth="1"/>
    <col min="4100" max="4100" width="14.28515625" style="56" customWidth="1"/>
    <col min="4101" max="4101" width="30.7109375" style="56" customWidth="1"/>
    <col min="4102" max="4102" width="12.5703125" style="56" customWidth="1"/>
    <col min="4103" max="4103" width="15" style="56" customWidth="1"/>
    <col min="4104" max="4104" width="17.85546875" style="56" customWidth="1"/>
    <col min="4105" max="4105" width="17.28515625" style="56" customWidth="1"/>
    <col min="4106" max="4106" width="10.85546875" style="56" bestFit="1" customWidth="1"/>
    <col min="4107" max="4352" width="9.140625" style="56"/>
    <col min="4353" max="4353" width="18.28515625" style="56" customWidth="1"/>
    <col min="4354" max="4354" width="48.5703125" style="56" customWidth="1"/>
    <col min="4355" max="4355" width="14.7109375" style="56" customWidth="1"/>
    <col min="4356" max="4356" width="14.28515625" style="56" customWidth="1"/>
    <col min="4357" max="4357" width="30.7109375" style="56" customWidth="1"/>
    <col min="4358" max="4358" width="12.5703125" style="56" customWidth="1"/>
    <col min="4359" max="4359" width="15" style="56" customWidth="1"/>
    <col min="4360" max="4360" width="17.85546875" style="56" customWidth="1"/>
    <col min="4361" max="4361" width="17.28515625" style="56" customWidth="1"/>
    <col min="4362" max="4362" width="10.85546875" style="56" bestFit="1" customWidth="1"/>
    <col min="4363" max="4608" width="9.140625" style="56"/>
    <col min="4609" max="4609" width="18.28515625" style="56" customWidth="1"/>
    <col min="4610" max="4610" width="48.5703125" style="56" customWidth="1"/>
    <col min="4611" max="4611" width="14.7109375" style="56" customWidth="1"/>
    <col min="4612" max="4612" width="14.28515625" style="56" customWidth="1"/>
    <col min="4613" max="4613" width="30.7109375" style="56" customWidth="1"/>
    <col min="4614" max="4614" width="12.5703125" style="56" customWidth="1"/>
    <col min="4615" max="4615" width="15" style="56" customWidth="1"/>
    <col min="4616" max="4616" width="17.85546875" style="56" customWidth="1"/>
    <col min="4617" max="4617" width="17.28515625" style="56" customWidth="1"/>
    <col min="4618" max="4618" width="10.85546875" style="56" bestFit="1" customWidth="1"/>
    <col min="4619" max="4864" width="9.140625" style="56"/>
    <col min="4865" max="4865" width="18.28515625" style="56" customWidth="1"/>
    <col min="4866" max="4866" width="48.5703125" style="56" customWidth="1"/>
    <col min="4867" max="4867" width="14.7109375" style="56" customWidth="1"/>
    <col min="4868" max="4868" width="14.28515625" style="56" customWidth="1"/>
    <col min="4869" max="4869" width="30.7109375" style="56" customWidth="1"/>
    <col min="4870" max="4870" width="12.5703125" style="56" customWidth="1"/>
    <col min="4871" max="4871" width="15" style="56" customWidth="1"/>
    <col min="4872" max="4872" width="17.85546875" style="56" customWidth="1"/>
    <col min="4873" max="4873" width="17.28515625" style="56" customWidth="1"/>
    <col min="4874" max="4874" width="10.85546875" style="56" bestFit="1" customWidth="1"/>
    <col min="4875" max="5120" width="9.140625" style="56"/>
    <col min="5121" max="5121" width="18.28515625" style="56" customWidth="1"/>
    <col min="5122" max="5122" width="48.5703125" style="56" customWidth="1"/>
    <col min="5123" max="5123" width="14.7109375" style="56" customWidth="1"/>
    <col min="5124" max="5124" width="14.28515625" style="56" customWidth="1"/>
    <col min="5125" max="5125" width="30.7109375" style="56" customWidth="1"/>
    <col min="5126" max="5126" width="12.5703125" style="56" customWidth="1"/>
    <col min="5127" max="5127" width="15" style="56" customWidth="1"/>
    <col min="5128" max="5128" width="17.85546875" style="56" customWidth="1"/>
    <col min="5129" max="5129" width="17.28515625" style="56" customWidth="1"/>
    <col min="5130" max="5130" width="10.85546875" style="56" bestFit="1" customWidth="1"/>
    <col min="5131" max="5376" width="9.140625" style="56"/>
    <col min="5377" max="5377" width="18.28515625" style="56" customWidth="1"/>
    <col min="5378" max="5378" width="48.5703125" style="56" customWidth="1"/>
    <col min="5379" max="5379" width="14.7109375" style="56" customWidth="1"/>
    <col min="5380" max="5380" width="14.28515625" style="56" customWidth="1"/>
    <col min="5381" max="5381" width="30.7109375" style="56" customWidth="1"/>
    <col min="5382" max="5382" width="12.5703125" style="56" customWidth="1"/>
    <col min="5383" max="5383" width="15" style="56" customWidth="1"/>
    <col min="5384" max="5384" width="17.85546875" style="56" customWidth="1"/>
    <col min="5385" max="5385" width="17.28515625" style="56" customWidth="1"/>
    <col min="5386" max="5386" width="10.85546875" style="56" bestFit="1" customWidth="1"/>
    <col min="5387" max="5632" width="9.140625" style="56"/>
    <col min="5633" max="5633" width="18.28515625" style="56" customWidth="1"/>
    <col min="5634" max="5634" width="48.5703125" style="56" customWidth="1"/>
    <col min="5635" max="5635" width="14.7109375" style="56" customWidth="1"/>
    <col min="5636" max="5636" width="14.28515625" style="56" customWidth="1"/>
    <col min="5637" max="5637" width="30.7109375" style="56" customWidth="1"/>
    <col min="5638" max="5638" width="12.5703125" style="56" customWidth="1"/>
    <col min="5639" max="5639" width="15" style="56" customWidth="1"/>
    <col min="5640" max="5640" width="17.85546875" style="56" customWidth="1"/>
    <col min="5641" max="5641" width="17.28515625" style="56" customWidth="1"/>
    <col min="5642" max="5642" width="10.85546875" style="56" bestFit="1" customWidth="1"/>
    <col min="5643" max="5888" width="9.140625" style="56"/>
    <col min="5889" max="5889" width="18.28515625" style="56" customWidth="1"/>
    <col min="5890" max="5890" width="48.5703125" style="56" customWidth="1"/>
    <col min="5891" max="5891" width="14.7109375" style="56" customWidth="1"/>
    <col min="5892" max="5892" width="14.28515625" style="56" customWidth="1"/>
    <col min="5893" max="5893" width="30.7109375" style="56" customWidth="1"/>
    <col min="5894" max="5894" width="12.5703125" style="56" customWidth="1"/>
    <col min="5895" max="5895" width="15" style="56" customWidth="1"/>
    <col min="5896" max="5896" width="17.85546875" style="56" customWidth="1"/>
    <col min="5897" max="5897" width="17.28515625" style="56" customWidth="1"/>
    <col min="5898" max="5898" width="10.85546875" style="56" bestFit="1" customWidth="1"/>
    <col min="5899" max="6144" width="9.140625" style="56"/>
    <col min="6145" max="6145" width="18.28515625" style="56" customWidth="1"/>
    <col min="6146" max="6146" width="48.5703125" style="56" customWidth="1"/>
    <col min="6147" max="6147" width="14.7109375" style="56" customWidth="1"/>
    <col min="6148" max="6148" width="14.28515625" style="56" customWidth="1"/>
    <col min="6149" max="6149" width="30.7109375" style="56" customWidth="1"/>
    <col min="6150" max="6150" width="12.5703125" style="56" customWidth="1"/>
    <col min="6151" max="6151" width="15" style="56" customWidth="1"/>
    <col min="6152" max="6152" width="17.85546875" style="56" customWidth="1"/>
    <col min="6153" max="6153" width="17.28515625" style="56" customWidth="1"/>
    <col min="6154" max="6154" width="10.85546875" style="56" bestFit="1" customWidth="1"/>
    <col min="6155" max="6400" width="9.140625" style="56"/>
    <col min="6401" max="6401" width="18.28515625" style="56" customWidth="1"/>
    <col min="6402" max="6402" width="48.5703125" style="56" customWidth="1"/>
    <col min="6403" max="6403" width="14.7109375" style="56" customWidth="1"/>
    <col min="6404" max="6404" width="14.28515625" style="56" customWidth="1"/>
    <col min="6405" max="6405" width="30.7109375" style="56" customWidth="1"/>
    <col min="6406" max="6406" width="12.5703125" style="56" customWidth="1"/>
    <col min="6407" max="6407" width="15" style="56" customWidth="1"/>
    <col min="6408" max="6408" width="17.85546875" style="56" customWidth="1"/>
    <col min="6409" max="6409" width="17.28515625" style="56" customWidth="1"/>
    <col min="6410" max="6410" width="10.85546875" style="56" bestFit="1" customWidth="1"/>
    <col min="6411" max="6656" width="9.140625" style="56"/>
    <col min="6657" max="6657" width="18.28515625" style="56" customWidth="1"/>
    <col min="6658" max="6658" width="48.5703125" style="56" customWidth="1"/>
    <col min="6659" max="6659" width="14.7109375" style="56" customWidth="1"/>
    <col min="6660" max="6660" width="14.28515625" style="56" customWidth="1"/>
    <col min="6661" max="6661" width="30.7109375" style="56" customWidth="1"/>
    <col min="6662" max="6662" width="12.5703125" style="56" customWidth="1"/>
    <col min="6663" max="6663" width="15" style="56" customWidth="1"/>
    <col min="6664" max="6664" width="17.85546875" style="56" customWidth="1"/>
    <col min="6665" max="6665" width="17.28515625" style="56" customWidth="1"/>
    <col min="6666" max="6666" width="10.85546875" style="56" bestFit="1" customWidth="1"/>
    <col min="6667" max="6912" width="9.140625" style="56"/>
    <col min="6913" max="6913" width="18.28515625" style="56" customWidth="1"/>
    <col min="6914" max="6914" width="48.5703125" style="56" customWidth="1"/>
    <col min="6915" max="6915" width="14.7109375" style="56" customWidth="1"/>
    <col min="6916" max="6916" width="14.28515625" style="56" customWidth="1"/>
    <col min="6917" max="6917" width="30.7109375" style="56" customWidth="1"/>
    <col min="6918" max="6918" width="12.5703125" style="56" customWidth="1"/>
    <col min="6919" max="6919" width="15" style="56" customWidth="1"/>
    <col min="6920" max="6920" width="17.85546875" style="56" customWidth="1"/>
    <col min="6921" max="6921" width="17.28515625" style="56" customWidth="1"/>
    <col min="6922" max="6922" width="10.85546875" style="56" bestFit="1" customWidth="1"/>
    <col min="6923" max="7168" width="9.140625" style="56"/>
    <col min="7169" max="7169" width="18.28515625" style="56" customWidth="1"/>
    <col min="7170" max="7170" width="48.5703125" style="56" customWidth="1"/>
    <col min="7171" max="7171" width="14.7109375" style="56" customWidth="1"/>
    <col min="7172" max="7172" width="14.28515625" style="56" customWidth="1"/>
    <col min="7173" max="7173" width="30.7109375" style="56" customWidth="1"/>
    <col min="7174" max="7174" width="12.5703125" style="56" customWidth="1"/>
    <col min="7175" max="7175" width="15" style="56" customWidth="1"/>
    <col min="7176" max="7176" width="17.85546875" style="56" customWidth="1"/>
    <col min="7177" max="7177" width="17.28515625" style="56" customWidth="1"/>
    <col min="7178" max="7178" width="10.85546875" style="56" bestFit="1" customWidth="1"/>
    <col min="7179" max="7424" width="9.140625" style="56"/>
    <col min="7425" max="7425" width="18.28515625" style="56" customWidth="1"/>
    <col min="7426" max="7426" width="48.5703125" style="56" customWidth="1"/>
    <col min="7427" max="7427" width="14.7109375" style="56" customWidth="1"/>
    <col min="7428" max="7428" width="14.28515625" style="56" customWidth="1"/>
    <col min="7429" max="7429" width="30.7109375" style="56" customWidth="1"/>
    <col min="7430" max="7430" width="12.5703125" style="56" customWidth="1"/>
    <col min="7431" max="7431" width="15" style="56" customWidth="1"/>
    <col min="7432" max="7432" width="17.85546875" style="56" customWidth="1"/>
    <col min="7433" max="7433" width="17.28515625" style="56" customWidth="1"/>
    <col min="7434" max="7434" width="10.85546875" style="56" bestFit="1" customWidth="1"/>
    <col min="7435" max="7680" width="9.140625" style="56"/>
    <col min="7681" max="7681" width="18.28515625" style="56" customWidth="1"/>
    <col min="7682" max="7682" width="48.5703125" style="56" customWidth="1"/>
    <col min="7683" max="7683" width="14.7109375" style="56" customWidth="1"/>
    <col min="7684" max="7684" width="14.28515625" style="56" customWidth="1"/>
    <col min="7685" max="7685" width="30.7109375" style="56" customWidth="1"/>
    <col min="7686" max="7686" width="12.5703125" style="56" customWidth="1"/>
    <col min="7687" max="7687" width="15" style="56" customWidth="1"/>
    <col min="7688" max="7688" width="17.85546875" style="56" customWidth="1"/>
    <col min="7689" max="7689" width="17.28515625" style="56" customWidth="1"/>
    <col min="7690" max="7690" width="10.85546875" style="56" bestFit="1" customWidth="1"/>
    <col min="7691" max="7936" width="9.140625" style="56"/>
    <col min="7937" max="7937" width="18.28515625" style="56" customWidth="1"/>
    <col min="7938" max="7938" width="48.5703125" style="56" customWidth="1"/>
    <col min="7939" max="7939" width="14.7109375" style="56" customWidth="1"/>
    <col min="7940" max="7940" width="14.28515625" style="56" customWidth="1"/>
    <col min="7941" max="7941" width="30.7109375" style="56" customWidth="1"/>
    <col min="7942" max="7942" width="12.5703125" style="56" customWidth="1"/>
    <col min="7943" max="7943" width="15" style="56" customWidth="1"/>
    <col min="7944" max="7944" width="17.85546875" style="56" customWidth="1"/>
    <col min="7945" max="7945" width="17.28515625" style="56" customWidth="1"/>
    <col min="7946" max="7946" width="10.85546875" style="56" bestFit="1" customWidth="1"/>
    <col min="7947" max="8192" width="9.140625" style="56"/>
    <col min="8193" max="8193" width="18.28515625" style="56" customWidth="1"/>
    <col min="8194" max="8194" width="48.5703125" style="56" customWidth="1"/>
    <col min="8195" max="8195" width="14.7109375" style="56" customWidth="1"/>
    <col min="8196" max="8196" width="14.28515625" style="56" customWidth="1"/>
    <col min="8197" max="8197" width="30.7109375" style="56" customWidth="1"/>
    <col min="8198" max="8198" width="12.5703125" style="56" customWidth="1"/>
    <col min="8199" max="8199" width="15" style="56" customWidth="1"/>
    <col min="8200" max="8200" width="17.85546875" style="56" customWidth="1"/>
    <col min="8201" max="8201" width="17.28515625" style="56" customWidth="1"/>
    <col min="8202" max="8202" width="10.85546875" style="56" bestFit="1" customWidth="1"/>
    <col min="8203" max="8448" width="9.140625" style="56"/>
    <col min="8449" max="8449" width="18.28515625" style="56" customWidth="1"/>
    <col min="8450" max="8450" width="48.5703125" style="56" customWidth="1"/>
    <col min="8451" max="8451" width="14.7109375" style="56" customWidth="1"/>
    <col min="8452" max="8452" width="14.28515625" style="56" customWidth="1"/>
    <col min="8453" max="8453" width="30.7109375" style="56" customWidth="1"/>
    <col min="8454" max="8454" width="12.5703125" style="56" customWidth="1"/>
    <col min="8455" max="8455" width="15" style="56" customWidth="1"/>
    <col min="8456" max="8456" width="17.85546875" style="56" customWidth="1"/>
    <col min="8457" max="8457" width="17.28515625" style="56" customWidth="1"/>
    <col min="8458" max="8458" width="10.85546875" style="56" bestFit="1" customWidth="1"/>
    <col min="8459" max="8704" width="9.140625" style="56"/>
    <col min="8705" max="8705" width="18.28515625" style="56" customWidth="1"/>
    <col min="8706" max="8706" width="48.5703125" style="56" customWidth="1"/>
    <col min="8707" max="8707" width="14.7109375" style="56" customWidth="1"/>
    <col min="8708" max="8708" width="14.28515625" style="56" customWidth="1"/>
    <col min="8709" max="8709" width="30.7109375" style="56" customWidth="1"/>
    <col min="8710" max="8710" width="12.5703125" style="56" customWidth="1"/>
    <col min="8711" max="8711" width="15" style="56" customWidth="1"/>
    <col min="8712" max="8712" width="17.85546875" style="56" customWidth="1"/>
    <col min="8713" max="8713" width="17.28515625" style="56" customWidth="1"/>
    <col min="8714" max="8714" width="10.85546875" style="56" bestFit="1" customWidth="1"/>
    <col min="8715" max="8960" width="9.140625" style="56"/>
    <col min="8961" max="8961" width="18.28515625" style="56" customWidth="1"/>
    <col min="8962" max="8962" width="48.5703125" style="56" customWidth="1"/>
    <col min="8963" max="8963" width="14.7109375" style="56" customWidth="1"/>
    <col min="8964" max="8964" width="14.28515625" style="56" customWidth="1"/>
    <col min="8965" max="8965" width="30.7109375" style="56" customWidth="1"/>
    <col min="8966" max="8966" width="12.5703125" style="56" customWidth="1"/>
    <col min="8967" max="8967" width="15" style="56" customWidth="1"/>
    <col min="8968" max="8968" width="17.85546875" style="56" customWidth="1"/>
    <col min="8969" max="8969" width="17.28515625" style="56" customWidth="1"/>
    <col min="8970" max="8970" width="10.85546875" style="56" bestFit="1" customWidth="1"/>
    <col min="8971" max="9216" width="9.140625" style="56"/>
    <col min="9217" max="9217" width="18.28515625" style="56" customWidth="1"/>
    <col min="9218" max="9218" width="48.5703125" style="56" customWidth="1"/>
    <col min="9219" max="9219" width="14.7109375" style="56" customWidth="1"/>
    <col min="9220" max="9220" width="14.28515625" style="56" customWidth="1"/>
    <col min="9221" max="9221" width="30.7109375" style="56" customWidth="1"/>
    <col min="9222" max="9222" width="12.5703125" style="56" customWidth="1"/>
    <col min="9223" max="9223" width="15" style="56" customWidth="1"/>
    <col min="9224" max="9224" width="17.85546875" style="56" customWidth="1"/>
    <col min="9225" max="9225" width="17.28515625" style="56" customWidth="1"/>
    <col min="9226" max="9226" width="10.85546875" style="56" bestFit="1" customWidth="1"/>
    <col min="9227" max="9472" width="9.140625" style="56"/>
    <col min="9473" max="9473" width="18.28515625" style="56" customWidth="1"/>
    <col min="9474" max="9474" width="48.5703125" style="56" customWidth="1"/>
    <col min="9475" max="9475" width="14.7109375" style="56" customWidth="1"/>
    <col min="9476" max="9476" width="14.28515625" style="56" customWidth="1"/>
    <col min="9477" max="9477" width="30.7109375" style="56" customWidth="1"/>
    <col min="9478" max="9478" width="12.5703125" style="56" customWidth="1"/>
    <col min="9479" max="9479" width="15" style="56" customWidth="1"/>
    <col min="9480" max="9480" width="17.85546875" style="56" customWidth="1"/>
    <col min="9481" max="9481" width="17.28515625" style="56" customWidth="1"/>
    <col min="9482" max="9482" width="10.85546875" style="56" bestFit="1" customWidth="1"/>
    <col min="9483" max="9728" width="9.140625" style="56"/>
    <col min="9729" max="9729" width="18.28515625" style="56" customWidth="1"/>
    <col min="9730" max="9730" width="48.5703125" style="56" customWidth="1"/>
    <col min="9731" max="9731" width="14.7109375" style="56" customWidth="1"/>
    <col min="9732" max="9732" width="14.28515625" style="56" customWidth="1"/>
    <col min="9733" max="9733" width="30.7109375" style="56" customWidth="1"/>
    <col min="9734" max="9734" width="12.5703125" style="56" customWidth="1"/>
    <col min="9735" max="9735" width="15" style="56" customWidth="1"/>
    <col min="9736" max="9736" width="17.85546875" style="56" customWidth="1"/>
    <col min="9737" max="9737" width="17.28515625" style="56" customWidth="1"/>
    <col min="9738" max="9738" width="10.85546875" style="56" bestFit="1" customWidth="1"/>
    <col min="9739" max="9984" width="9.140625" style="56"/>
    <col min="9985" max="9985" width="18.28515625" style="56" customWidth="1"/>
    <col min="9986" max="9986" width="48.5703125" style="56" customWidth="1"/>
    <col min="9987" max="9987" width="14.7109375" style="56" customWidth="1"/>
    <col min="9988" max="9988" width="14.28515625" style="56" customWidth="1"/>
    <col min="9989" max="9989" width="30.7109375" style="56" customWidth="1"/>
    <col min="9990" max="9990" width="12.5703125" style="56" customWidth="1"/>
    <col min="9991" max="9991" width="15" style="56" customWidth="1"/>
    <col min="9992" max="9992" width="17.85546875" style="56" customWidth="1"/>
    <col min="9993" max="9993" width="17.28515625" style="56" customWidth="1"/>
    <col min="9994" max="9994" width="10.85546875" style="56" bestFit="1" customWidth="1"/>
    <col min="9995" max="10240" width="9.140625" style="56"/>
    <col min="10241" max="10241" width="18.28515625" style="56" customWidth="1"/>
    <col min="10242" max="10242" width="48.5703125" style="56" customWidth="1"/>
    <col min="10243" max="10243" width="14.7109375" style="56" customWidth="1"/>
    <col min="10244" max="10244" width="14.28515625" style="56" customWidth="1"/>
    <col min="10245" max="10245" width="30.7109375" style="56" customWidth="1"/>
    <col min="10246" max="10246" width="12.5703125" style="56" customWidth="1"/>
    <col min="10247" max="10247" width="15" style="56" customWidth="1"/>
    <col min="10248" max="10248" width="17.85546875" style="56" customWidth="1"/>
    <col min="10249" max="10249" width="17.28515625" style="56" customWidth="1"/>
    <col min="10250" max="10250" width="10.85546875" style="56" bestFit="1" customWidth="1"/>
    <col min="10251" max="10496" width="9.140625" style="56"/>
    <col min="10497" max="10497" width="18.28515625" style="56" customWidth="1"/>
    <col min="10498" max="10498" width="48.5703125" style="56" customWidth="1"/>
    <col min="10499" max="10499" width="14.7109375" style="56" customWidth="1"/>
    <col min="10500" max="10500" width="14.28515625" style="56" customWidth="1"/>
    <col min="10501" max="10501" width="30.7109375" style="56" customWidth="1"/>
    <col min="10502" max="10502" width="12.5703125" style="56" customWidth="1"/>
    <col min="10503" max="10503" width="15" style="56" customWidth="1"/>
    <col min="10504" max="10504" width="17.85546875" style="56" customWidth="1"/>
    <col min="10505" max="10505" width="17.28515625" style="56" customWidth="1"/>
    <col min="10506" max="10506" width="10.85546875" style="56" bestFit="1" customWidth="1"/>
    <col min="10507" max="10752" width="9.140625" style="56"/>
    <col min="10753" max="10753" width="18.28515625" style="56" customWidth="1"/>
    <col min="10754" max="10754" width="48.5703125" style="56" customWidth="1"/>
    <col min="10755" max="10755" width="14.7109375" style="56" customWidth="1"/>
    <col min="10756" max="10756" width="14.28515625" style="56" customWidth="1"/>
    <col min="10757" max="10757" width="30.7109375" style="56" customWidth="1"/>
    <col min="10758" max="10758" width="12.5703125" style="56" customWidth="1"/>
    <col min="10759" max="10759" width="15" style="56" customWidth="1"/>
    <col min="10760" max="10760" width="17.85546875" style="56" customWidth="1"/>
    <col min="10761" max="10761" width="17.28515625" style="56" customWidth="1"/>
    <col min="10762" max="10762" width="10.85546875" style="56" bestFit="1" customWidth="1"/>
    <col min="10763" max="11008" width="9.140625" style="56"/>
    <col min="11009" max="11009" width="18.28515625" style="56" customWidth="1"/>
    <col min="11010" max="11010" width="48.5703125" style="56" customWidth="1"/>
    <col min="11011" max="11011" width="14.7109375" style="56" customWidth="1"/>
    <col min="11012" max="11012" width="14.28515625" style="56" customWidth="1"/>
    <col min="11013" max="11013" width="30.7109375" style="56" customWidth="1"/>
    <col min="11014" max="11014" width="12.5703125" style="56" customWidth="1"/>
    <col min="11015" max="11015" width="15" style="56" customWidth="1"/>
    <col min="11016" max="11016" width="17.85546875" style="56" customWidth="1"/>
    <col min="11017" max="11017" width="17.28515625" style="56" customWidth="1"/>
    <col min="11018" max="11018" width="10.85546875" style="56" bestFit="1" customWidth="1"/>
    <col min="11019" max="11264" width="9.140625" style="56"/>
    <col min="11265" max="11265" width="18.28515625" style="56" customWidth="1"/>
    <col min="11266" max="11266" width="48.5703125" style="56" customWidth="1"/>
    <col min="11267" max="11267" width="14.7109375" style="56" customWidth="1"/>
    <col min="11268" max="11268" width="14.28515625" style="56" customWidth="1"/>
    <col min="11269" max="11269" width="30.7109375" style="56" customWidth="1"/>
    <col min="11270" max="11270" width="12.5703125" style="56" customWidth="1"/>
    <col min="11271" max="11271" width="15" style="56" customWidth="1"/>
    <col min="11272" max="11272" width="17.85546875" style="56" customWidth="1"/>
    <col min="11273" max="11273" width="17.28515625" style="56" customWidth="1"/>
    <col min="11274" max="11274" width="10.85546875" style="56" bestFit="1" customWidth="1"/>
    <col min="11275" max="11520" width="9.140625" style="56"/>
    <col min="11521" max="11521" width="18.28515625" style="56" customWidth="1"/>
    <col min="11522" max="11522" width="48.5703125" style="56" customWidth="1"/>
    <col min="11523" max="11523" width="14.7109375" style="56" customWidth="1"/>
    <col min="11524" max="11524" width="14.28515625" style="56" customWidth="1"/>
    <col min="11525" max="11525" width="30.7109375" style="56" customWidth="1"/>
    <col min="11526" max="11526" width="12.5703125" style="56" customWidth="1"/>
    <col min="11527" max="11527" width="15" style="56" customWidth="1"/>
    <col min="11528" max="11528" width="17.85546875" style="56" customWidth="1"/>
    <col min="11529" max="11529" width="17.28515625" style="56" customWidth="1"/>
    <col min="11530" max="11530" width="10.85546875" style="56" bestFit="1" customWidth="1"/>
    <col min="11531" max="11776" width="9.140625" style="56"/>
    <col min="11777" max="11777" width="18.28515625" style="56" customWidth="1"/>
    <col min="11778" max="11778" width="48.5703125" style="56" customWidth="1"/>
    <col min="11779" max="11779" width="14.7109375" style="56" customWidth="1"/>
    <col min="11780" max="11780" width="14.28515625" style="56" customWidth="1"/>
    <col min="11781" max="11781" width="30.7109375" style="56" customWidth="1"/>
    <col min="11782" max="11782" width="12.5703125" style="56" customWidth="1"/>
    <col min="11783" max="11783" width="15" style="56" customWidth="1"/>
    <col min="11784" max="11784" width="17.85546875" style="56" customWidth="1"/>
    <col min="11785" max="11785" width="17.28515625" style="56" customWidth="1"/>
    <col min="11786" max="11786" width="10.85546875" style="56" bestFit="1" customWidth="1"/>
    <col min="11787" max="12032" width="9.140625" style="56"/>
    <col min="12033" max="12033" width="18.28515625" style="56" customWidth="1"/>
    <col min="12034" max="12034" width="48.5703125" style="56" customWidth="1"/>
    <col min="12035" max="12035" width="14.7109375" style="56" customWidth="1"/>
    <col min="12036" max="12036" width="14.28515625" style="56" customWidth="1"/>
    <col min="12037" max="12037" width="30.7109375" style="56" customWidth="1"/>
    <col min="12038" max="12038" width="12.5703125" style="56" customWidth="1"/>
    <col min="12039" max="12039" width="15" style="56" customWidth="1"/>
    <col min="12040" max="12040" width="17.85546875" style="56" customWidth="1"/>
    <col min="12041" max="12041" width="17.28515625" style="56" customWidth="1"/>
    <col min="12042" max="12042" width="10.85546875" style="56" bestFit="1" customWidth="1"/>
    <col min="12043" max="12288" width="9.140625" style="56"/>
    <col min="12289" max="12289" width="18.28515625" style="56" customWidth="1"/>
    <col min="12290" max="12290" width="48.5703125" style="56" customWidth="1"/>
    <col min="12291" max="12291" width="14.7109375" style="56" customWidth="1"/>
    <col min="12292" max="12292" width="14.28515625" style="56" customWidth="1"/>
    <col min="12293" max="12293" width="30.7109375" style="56" customWidth="1"/>
    <col min="12294" max="12294" width="12.5703125" style="56" customWidth="1"/>
    <col min="12295" max="12295" width="15" style="56" customWidth="1"/>
    <col min="12296" max="12296" width="17.85546875" style="56" customWidth="1"/>
    <col min="12297" max="12297" width="17.28515625" style="56" customWidth="1"/>
    <col min="12298" max="12298" width="10.85546875" style="56" bestFit="1" customWidth="1"/>
    <col min="12299" max="12544" width="9.140625" style="56"/>
    <col min="12545" max="12545" width="18.28515625" style="56" customWidth="1"/>
    <col min="12546" max="12546" width="48.5703125" style="56" customWidth="1"/>
    <col min="12547" max="12547" width="14.7109375" style="56" customWidth="1"/>
    <col min="12548" max="12548" width="14.28515625" style="56" customWidth="1"/>
    <col min="12549" max="12549" width="30.7109375" style="56" customWidth="1"/>
    <col min="12550" max="12550" width="12.5703125" style="56" customWidth="1"/>
    <col min="12551" max="12551" width="15" style="56" customWidth="1"/>
    <col min="12552" max="12552" width="17.85546875" style="56" customWidth="1"/>
    <col min="12553" max="12553" width="17.28515625" style="56" customWidth="1"/>
    <col min="12554" max="12554" width="10.85546875" style="56" bestFit="1" customWidth="1"/>
    <col min="12555" max="12800" width="9.140625" style="56"/>
    <col min="12801" max="12801" width="18.28515625" style="56" customWidth="1"/>
    <col min="12802" max="12802" width="48.5703125" style="56" customWidth="1"/>
    <col min="12803" max="12803" width="14.7109375" style="56" customWidth="1"/>
    <col min="12804" max="12804" width="14.28515625" style="56" customWidth="1"/>
    <col min="12805" max="12805" width="30.7109375" style="56" customWidth="1"/>
    <col min="12806" max="12806" width="12.5703125" style="56" customWidth="1"/>
    <col min="12807" max="12807" width="15" style="56" customWidth="1"/>
    <col min="12808" max="12808" width="17.85546875" style="56" customWidth="1"/>
    <col min="12809" max="12809" width="17.28515625" style="56" customWidth="1"/>
    <col min="12810" max="12810" width="10.85546875" style="56" bestFit="1" customWidth="1"/>
    <col min="12811" max="13056" width="9.140625" style="56"/>
    <col min="13057" max="13057" width="18.28515625" style="56" customWidth="1"/>
    <col min="13058" max="13058" width="48.5703125" style="56" customWidth="1"/>
    <col min="13059" max="13059" width="14.7109375" style="56" customWidth="1"/>
    <col min="13060" max="13060" width="14.28515625" style="56" customWidth="1"/>
    <col min="13061" max="13061" width="30.7109375" style="56" customWidth="1"/>
    <col min="13062" max="13062" width="12.5703125" style="56" customWidth="1"/>
    <col min="13063" max="13063" width="15" style="56" customWidth="1"/>
    <col min="13064" max="13064" width="17.85546875" style="56" customWidth="1"/>
    <col min="13065" max="13065" width="17.28515625" style="56" customWidth="1"/>
    <col min="13066" max="13066" width="10.85546875" style="56" bestFit="1" customWidth="1"/>
    <col min="13067" max="13312" width="9.140625" style="56"/>
    <col min="13313" max="13313" width="18.28515625" style="56" customWidth="1"/>
    <col min="13314" max="13314" width="48.5703125" style="56" customWidth="1"/>
    <col min="13315" max="13315" width="14.7109375" style="56" customWidth="1"/>
    <col min="13316" max="13316" width="14.28515625" style="56" customWidth="1"/>
    <col min="13317" max="13317" width="30.7109375" style="56" customWidth="1"/>
    <col min="13318" max="13318" width="12.5703125" style="56" customWidth="1"/>
    <col min="13319" max="13319" width="15" style="56" customWidth="1"/>
    <col min="13320" max="13320" width="17.85546875" style="56" customWidth="1"/>
    <col min="13321" max="13321" width="17.28515625" style="56" customWidth="1"/>
    <col min="13322" max="13322" width="10.85546875" style="56" bestFit="1" customWidth="1"/>
    <col min="13323" max="13568" width="9.140625" style="56"/>
    <col min="13569" max="13569" width="18.28515625" style="56" customWidth="1"/>
    <col min="13570" max="13570" width="48.5703125" style="56" customWidth="1"/>
    <col min="13571" max="13571" width="14.7109375" style="56" customWidth="1"/>
    <col min="13572" max="13572" width="14.28515625" style="56" customWidth="1"/>
    <col min="13573" max="13573" width="30.7109375" style="56" customWidth="1"/>
    <col min="13574" max="13574" width="12.5703125" style="56" customWidth="1"/>
    <col min="13575" max="13575" width="15" style="56" customWidth="1"/>
    <col min="13576" max="13576" width="17.85546875" style="56" customWidth="1"/>
    <col min="13577" max="13577" width="17.28515625" style="56" customWidth="1"/>
    <col min="13578" max="13578" width="10.85546875" style="56" bestFit="1" customWidth="1"/>
    <col min="13579" max="13824" width="9.140625" style="56"/>
    <col min="13825" max="13825" width="18.28515625" style="56" customWidth="1"/>
    <col min="13826" max="13826" width="48.5703125" style="56" customWidth="1"/>
    <col min="13827" max="13827" width="14.7109375" style="56" customWidth="1"/>
    <col min="13828" max="13828" width="14.28515625" style="56" customWidth="1"/>
    <col min="13829" max="13829" width="30.7109375" style="56" customWidth="1"/>
    <col min="13830" max="13830" width="12.5703125" style="56" customWidth="1"/>
    <col min="13831" max="13831" width="15" style="56" customWidth="1"/>
    <col min="13832" max="13832" width="17.85546875" style="56" customWidth="1"/>
    <col min="13833" max="13833" width="17.28515625" style="56" customWidth="1"/>
    <col min="13834" max="13834" width="10.85546875" style="56" bestFit="1" customWidth="1"/>
    <col min="13835" max="14080" width="9.140625" style="56"/>
    <col min="14081" max="14081" width="18.28515625" style="56" customWidth="1"/>
    <col min="14082" max="14082" width="48.5703125" style="56" customWidth="1"/>
    <col min="14083" max="14083" width="14.7109375" style="56" customWidth="1"/>
    <col min="14084" max="14084" width="14.28515625" style="56" customWidth="1"/>
    <col min="14085" max="14085" width="30.7109375" style="56" customWidth="1"/>
    <col min="14086" max="14086" width="12.5703125" style="56" customWidth="1"/>
    <col min="14087" max="14087" width="15" style="56" customWidth="1"/>
    <col min="14088" max="14088" width="17.85546875" style="56" customWidth="1"/>
    <col min="14089" max="14089" width="17.28515625" style="56" customWidth="1"/>
    <col min="14090" max="14090" width="10.85546875" style="56" bestFit="1" customWidth="1"/>
    <col min="14091" max="14336" width="9.140625" style="56"/>
    <col min="14337" max="14337" width="18.28515625" style="56" customWidth="1"/>
    <col min="14338" max="14338" width="48.5703125" style="56" customWidth="1"/>
    <col min="14339" max="14339" width="14.7109375" style="56" customWidth="1"/>
    <col min="14340" max="14340" width="14.28515625" style="56" customWidth="1"/>
    <col min="14341" max="14341" width="30.7109375" style="56" customWidth="1"/>
    <col min="14342" max="14342" width="12.5703125" style="56" customWidth="1"/>
    <col min="14343" max="14343" width="15" style="56" customWidth="1"/>
    <col min="14344" max="14344" width="17.85546875" style="56" customWidth="1"/>
    <col min="14345" max="14345" width="17.28515625" style="56" customWidth="1"/>
    <col min="14346" max="14346" width="10.85546875" style="56" bestFit="1" customWidth="1"/>
    <col min="14347" max="14592" width="9.140625" style="56"/>
    <col min="14593" max="14593" width="18.28515625" style="56" customWidth="1"/>
    <col min="14594" max="14594" width="48.5703125" style="56" customWidth="1"/>
    <col min="14595" max="14595" width="14.7109375" style="56" customWidth="1"/>
    <col min="14596" max="14596" width="14.28515625" style="56" customWidth="1"/>
    <col min="14597" max="14597" width="30.7109375" style="56" customWidth="1"/>
    <col min="14598" max="14598" width="12.5703125" style="56" customWidth="1"/>
    <col min="14599" max="14599" width="15" style="56" customWidth="1"/>
    <col min="14600" max="14600" width="17.85546875" style="56" customWidth="1"/>
    <col min="14601" max="14601" width="17.28515625" style="56" customWidth="1"/>
    <col min="14602" max="14602" width="10.85546875" style="56" bestFit="1" customWidth="1"/>
    <col min="14603" max="14848" width="9.140625" style="56"/>
    <col min="14849" max="14849" width="18.28515625" style="56" customWidth="1"/>
    <col min="14850" max="14850" width="48.5703125" style="56" customWidth="1"/>
    <col min="14851" max="14851" width="14.7109375" style="56" customWidth="1"/>
    <col min="14852" max="14852" width="14.28515625" style="56" customWidth="1"/>
    <col min="14853" max="14853" width="30.7109375" style="56" customWidth="1"/>
    <col min="14854" max="14854" width="12.5703125" style="56" customWidth="1"/>
    <col min="14855" max="14855" width="15" style="56" customWidth="1"/>
    <col min="14856" max="14856" width="17.85546875" style="56" customWidth="1"/>
    <col min="14857" max="14857" width="17.28515625" style="56" customWidth="1"/>
    <col min="14858" max="14858" width="10.85546875" style="56" bestFit="1" customWidth="1"/>
    <col min="14859" max="15104" width="9.140625" style="56"/>
    <col min="15105" max="15105" width="18.28515625" style="56" customWidth="1"/>
    <col min="15106" max="15106" width="48.5703125" style="56" customWidth="1"/>
    <col min="15107" max="15107" width="14.7109375" style="56" customWidth="1"/>
    <col min="15108" max="15108" width="14.28515625" style="56" customWidth="1"/>
    <col min="15109" max="15109" width="30.7109375" style="56" customWidth="1"/>
    <col min="15110" max="15110" width="12.5703125" style="56" customWidth="1"/>
    <col min="15111" max="15111" width="15" style="56" customWidth="1"/>
    <col min="15112" max="15112" width="17.85546875" style="56" customWidth="1"/>
    <col min="15113" max="15113" width="17.28515625" style="56" customWidth="1"/>
    <col min="15114" max="15114" width="10.85546875" style="56" bestFit="1" customWidth="1"/>
    <col min="15115" max="15360" width="9.140625" style="56"/>
    <col min="15361" max="15361" width="18.28515625" style="56" customWidth="1"/>
    <col min="15362" max="15362" width="48.5703125" style="56" customWidth="1"/>
    <col min="15363" max="15363" width="14.7109375" style="56" customWidth="1"/>
    <col min="15364" max="15364" width="14.28515625" style="56" customWidth="1"/>
    <col min="15365" max="15365" width="30.7109375" style="56" customWidth="1"/>
    <col min="15366" max="15366" width="12.5703125" style="56" customWidth="1"/>
    <col min="15367" max="15367" width="15" style="56" customWidth="1"/>
    <col min="15368" max="15368" width="17.85546875" style="56" customWidth="1"/>
    <col min="15369" max="15369" width="17.28515625" style="56" customWidth="1"/>
    <col min="15370" max="15370" width="10.85546875" style="56" bestFit="1" customWidth="1"/>
    <col min="15371" max="15616" width="9.140625" style="56"/>
    <col min="15617" max="15617" width="18.28515625" style="56" customWidth="1"/>
    <col min="15618" max="15618" width="48.5703125" style="56" customWidth="1"/>
    <col min="15619" max="15619" width="14.7109375" style="56" customWidth="1"/>
    <col min="15620" max="15620" width="14.28515625" style="56" customWidth="1"/>
    <col min="15621" max="15621" width="30.7109375" style="56" customWidth="1"/>
    <col min="15622" max="15622" width="12.5703125" style="56" customWidth="1"/>
    <col min="15623" max="15623" width="15" style="56" customWidth="1"/>
    <col min="15624" max="15624" width="17.85546875" style="56" customWidth="1"/>
    <col min="15625" max="15625" width="17.28515625" style="56" customWidth="1"/>
    <col min="15626" max="15626" width="10.85546875" style="56" bestFit="1" customWidth="1"/>
    <col min="15627" max="15872" width="9.140625" style="56"/>
    <col min="15873" max="15873" width="18.28515625" style="56" customWidth="1"/>
    <col min="15874" max="15874" width="48.5703125" style="56" customWidth="1"/>
    <col min="15875" max="15875" width="14.7109375" style="56" customWidth="1"/>
    <col min="15876" max="15876" width="14.28515625" style="56" customWidth="1"/>
    <col min="15877" max="15877" width="30.7109375" style="56" customWidth="1"/>
    <col min="15878" max="15878" width="12.5703125" style="56" customWidth="1"/>
    <col min="15879" max="15879" width="15" style="56" customWidth="1"/>
    <col min="15880" max="15880" width="17.85546875" style="56" customWidth="1"/>
    <col min="15881" max="15881" width="17.28515625" style="56" customWidth="1"/>
    <col min="15882" max="15882" width="10.85546875" style="56" bestFit="1" customWidth="1"/>
    <col min="15883" max="16128" width="9.140625" style="56"/>
    <col min="16129" max="16129" width="18.28515625" style="56" customWidth="1"/>
    <col min="16130" max="16130" width="48.5703125" style="56" customWidth="1"/>
    <col min="16131" max="16131" width="14.7109375" style="56" customWidth="1"/>
    <col min="16132" max="16132" width="14.28515625" style="56" customWidth="1"/>
    <col min="16133" max="16133" width="30.7109375" style="56" customWidth="1"/>
    <col min="16134" max="16134" width="12.5703125" style="56" customWidth="1"/>
    <col min="16135" max="16135" width="15" style="56" customWidth="1"/>
    <col min="16136" max="16136" width="17.85546875" style="56" customWidth="1"/>
    <col min="16137" max="16137" width="17.28515625" style="56" customWidth="1"/>
    <col min="16138" max="16138" width="10.85546875" style="56" bestFit="1" customWidth="1"/>
    <col min="16139" max="16384" width="9.140625" style="56"/>
  </cols>
  <sheetData>
    <row r="1" spans="1:9" ht="33.75" customHeight="1" x14ac:dyDescent="0.2">
      <c r="A1" s="511" t="s">
        <v>791</v>
      </c>
      <c r="B1" s="511"/>
      <c r="C1" s="511"/>
      <c r="D1" s="511"/>
      <c r="E1" s="511"/>
      <c r="F1" s="511"/>
      <c r="G1" s="511"/>
      <c r="H1" s="511"/>
      <c r="I1" s="511"/>
    </row>
    <row r="2" spans="1:9" ht="57" customHeight="1" x14ac:dyDescent="0.2">
      <c r="A2" s="16" t="s">
        <v>165</v>
      </c>
      <c r="B2" s="17" t="s">
        <v>0</v>
      </c>
      <c r="C2" s="18" t="s">
        <v>1</v>
      </c>
      <c r="D2" s="18" t="s">
        <v>166</v>
      </c>
      <c r="E2" s="18" t="s">
        <v>167</v>
      </c>
      <c r="F2" s="18" t="s">
        <v>168</v>
      </c>
      <c r="G2" s="18" t="s">
        <v>169</v>
      </c>
      <c r="H2" s="19" t="s">
        <v>170</v>
      </c>
      <c r="I2" s="19" t="s">
        <v>171</v>
      </c>
    </row>
    <row r="3" spans="1:9" s="479" customFormat="1" ht="25.9" customHeight="1" x14ac:dyDescent="0.2">
      <c r="A3" s="266" t="s">
        <v>792</v>
      </c>
      <c r="B3" s="10" t="s">
        <v>793</v>
      </c>
      <c r="C3" s="478">
        <v>2410000</v>
      </c>
      <c r="D3" s="478">
        <v>150000</v>
      </c>
      <c r="E3" s="24" t="s">
        <v>174</v>
      </c>
      <c r="F3" s="342"/>
      <c r="G3" s="342">
        <v>150000</v>
      </c>
      <c r="H3" s="31" t="s">
        <v>794</v>
      </c>
      <c r="I3" s="32">
        <v>42582</v>
      </c>
    </row>
    <row r="4" spans="1:9" s="487" customFormat="1" ht="25.9" customHeight="1" x14ac:dyDescent="0.2">
      <c r="A4" s="480" t="s">
        <v>795</v>
      </c>
      <c r="B4" s="481" t="s">
        <v>796</v>
      </c>
      <c r="C4" s="482">
        <v>216451</v>
      </c>
      <c r="D4" s="482">
        <v>75000</v>
      </c>
      <c r="E4" s="483" t="s">
        <v>174</v>
      </c>
      <c r="F4" s="484"/>
      <c r="G4" s="484">
        <v>75000</v>
      </c>
      <c r="H4" s="485" t="s">
        <v>794</v>
      </c>
      <c r="I4" s="486">
        <v>42735</v>
      </c>
    </row>
    <row r="5" spans="1:9" s="487" customFormat="1" ht="25.9" customHeight="1" x14ac:dyDescent="0.2">
      <c r="A5" s="480" t="s">
        <v>797</v>
      </c>
      <c r="B5" s="481" t="s">
        <v>798</v>
      </c>
      <c r="C5" s="482">
        <v>18728</v>
      </c>
      <c r="D5" s="482">
        <v>15919</v>
      </c>
      <c r="E5" s="483" t="s">
        <v>174</v>
      </c>
      <c r="F5" s="484"/>
      <c r="G5" s="484">
        <v>15919</v>
      </c>
      <c r="H5" s="485" t="s">
        <v>794</v>
      </c>
      <c r="I5" s="486">
        <v>42551</v>
      </c>
    </row>
    <row r="6" spans="1:9" s="487" customFormat="1" ht="25.9" customHeight="1" x14ac:dyDescent="0.2">
      <c r="A6" s="480" t="s">
        <v>799</v>
      </c>
      <c r="B6" s="481" t="s">
        <v>173</v>
      </c>
      <c r="C6" s="482">
        <v>322000</v>
      </c>
      <c r="D6" s="482">
        <v>150000</v>
      </c>
      <c r="E6" s="483" t="s">
        <v>174</v>
      </c>
      <c r="F6" s="484">
        <v>57450</v>
      </c>
      <c r="G6" s="484">
        <v>92550</v>
      </c>
      <c r="H6" s="485" t="s">
        <v>794</v>
      </c>
      <c r="I6" s="486">
        <v>42735</v>
      </c>
    </row>
    <row r="7" spans="1:9" s="487" customFormat="1" ht="25.9" customHeight="1" x14ac:dyDescent="0.2">
      <c r="A7" s="480" t="s">
        <v>800</v>
      </c>
      <c r="B7" s="481" t="s">
        <v>801</v>
      </c>
      <c r="C7" s="482">
        <v>94500</v>
      </c>
      <c r="D7" s="482">
        <v>80325</v>
      </c>
      <c r="E7" s="483" t="s">
        <v>174</v>
      </c>
      <c r="F7" s="484"/>
      <c r="G7" s="484">
        <v>80325</v>
      </c>
      <c r="H7" s="485" t="s">
        <v>802</v>
      </c>
      <c r="I7" s="486"/>
    </row>
    <row r="8" spans="1:9" s="487" customFormat="1" ht="25.9" customHeight="1" x14ac:dyDescent="0.2">
      <c r="A8" s="480" t="s">
        <v>803</v>
      </c>
      <c r="B8" s="481" t="s">
        <v>804</v>
      </c>
      <c r="C8" s="482">
        <v>20000</v>
      </c>
      <c r="D8" s="482">
        <v>14000</v>
      </c>
      <c r="E8" s="483" t="s">
        <v>174</v>
      </c>
      <c r="F8" s="484"/>
      <c r="G8" s="484">
        <v>14000</v>
      </c>
      <c r="H8" s="485" t="s">
        <v>805</v>
      </c>
      <c r="I8" s="486">
        <v>42572</v>
      </c>
    </row>
    <row r="9" spans="1:9" s="487" customFormat="1" ht="25.9" customHeight="1" x14ac:dyDescent="0.2">
      <c r="A9" s="480" t="s">
        <v>556</v>
      </c>
      <c r="B9" s="481" t="s">
        <v>190</v>
      </c>
      <c r="C9" s="482">
        <v>26836</v>
      </c>
      <c r="D9" s="482">
        <v>16101</v>
      </c>
      <c r="E9" s="483" t="s">
        <v>174</v>
      </c>
      <c r="F9" s="484"/>
      <c r="G9" s="484">
        <v>16101</v>
      </c>
      <c r="H9" s="485" t="s">
        <v>805</v>
      </c>
      <c r="I9" s="486">
        <v>42490</v>
      </c>
    </row>
    <row r="10" spans="1:9" s="487" customFormat="1" ht="25.9" customHeight="1" x14ac:dyDescent="0.2">
      <c r="A10" s="480" t="s">
        <v>806</v>
      </c>
      <c r="B10" s="481" t="s">
        <v>807</v>
      </c>
      <c r="C10" s="482">
        <v>182200</v>
      </c>
      <c r="D10" s="482">
        <v>150000</v>
      </c>
      <c r="E10" s="483" t="s">
        <v>174</v>
      </c>
      <c r="F10" s="484"/>
      <c r="G10" s="484">
        <v>150000</v>
      </c>
      <c r="H10" s="485" t="s">
        <v>808</v>
      </c>
      <c r="I10" s="486">
        <v>42735</v>
      </c>
    </row>
    <row r="11" spans="1:9" s="479" customFormat="1" ht="25.9" customHeight="1" x14ac:dyDescent="0.2">
      <c r="A11" s="266" t="s">
        <v>809</v>
      </c>
      <c r="B11" s="10" t="s">
        <v>810</v>
      </c>
      <c r="C11" s="478">
        <v>76650</v>
      </c>
      <c r="D11" s="478">
        <v>45990</v>
      </c>
      <c r="E11" s="24" t="s">
        <v>174</v>
      </c>
      <c r="F11" s="342"/>
      <c r="G11" s="342">
        <v>45990</v>
      </c>
      <c r="H11" s="31" t="s">
        <v>808</v>
      </c>
      <c r="I11" s="32">
        <v>42643</v>
      </c>
    </row>
    <row r="12" spans="1:9" s="479" customFormat="1" ht="25.9" customHeight="1" x14ac:dyDescent="0.2">
      <c r="A12" s="266" t="s">
        <v>558</v>
      </c>
      <c r="B12" s="488" t="s">
        <v>173</v>
      </c>
      <c r="C12" s="478">
        <v>630540</v>
      </c>
      <c r="D12" s="478">
        <v>150000</v>
      </c>
      <c r="E12" s="24" t="s">
        <v>174</v>
      </c>
      <c r="F12" s="342"/>
      <c r="G12" s="342">
        <v>150000</v>
      </c>
      <c r="H12" s="31" t="s">
        <v>811</v>
      </c>
      <c r="I12" s="32">
        <v>42735</v>
      </c>
    </row>
    <row r="13" spans="1:9" ht="25.9" customHeight="1" x14ac:dyDescent="0.2">
      <c r="A13" s="489"/>
      <c r="B13" s="490"/>
      <c r="C13" s="491"/>
      <c r="D13" s="491"/>
      <c r="E13" s="24"/>
      <c r="F13" s="30"/>
      <c r="G13" s="286"/>
      <c r="H13" s="31"/>
      <c r="I13" s="32"/>
    </row>
    <row r="14" spans="1:9" ht="18.75" customHeight="1" x14ac:dyDescent="0.2">
      <c r="A14" s="253"/>
      <c r="B14" s="254" t="s">
        <v>180</v>
      </c>
      <c r="C14" s="255">
        <f>SUM(C3:C12)</f>
        <v>3997905</v>
      </c>
      <c r="D14" s="255">
        <f>SUM(D3:D12)</f>
        <v>847335</v>
      </c>
      <c r="E14" s="39"/>
      <c r="F14" s="38">
        <f>SUM(F3:F12)</f>
        <v>57450</v>
      </c>
      <c r="G14" s="38">
        <f>SUM(G3:G12)</f>
        <v>789885</v>
      </c>
      <c r="H14" s="40"/>
      <c r="I14" s="41"/>
    </row>
    <row r="15" spans="1:9" s="15" customFormat="1" ht="33.75" customHeight="1" x14ac:dyDescent="0.2">
      <c r="A15" s="511" t="s">
        <v>544</v>
      </c>
      <c r="B15" s="511"/>
      <c r="C15" s="511"/>
      <c r="D15" s="511"/>
      <c r="E15" s="511"/>
      <c r="F15" s="511"/>
      <c r="G15" s="511"/>
      <c r="H15" s="511"/>
      <c r="I15" s="511"/>
    </row>
    <row r="16" spans="1:9" ht="57" customHeight="1" x14ac:dyDescent="0.2">
      <c r="A16" s="16" t="s">
        <v>165</v>
      </c>
      <c r="B16" s="17" t="s">
        <v>0</v>
      </c>
      <c r="C16" s="18" t="s">
        <v>1</v>
      </c>
      <c r="D16" s="18" t="s">
        <v>166</v>
      </c>
      <c r="E16" s="18" t="s">
        <v>167</v>
      </c>
      <c r="F16" s="18" t="s">
        <v>168</v>
      </c>
      <c r="G16" s="18" t="s">
        <v>169</v>
      </c>
      <c r="H16" s="19" t="s">
        <v>170</v>
      </c>
      <c r="I16" s="19" t="s">
        <v>171</v>
      </c>
    </row>
    <row r="17" spans="1:9" s="479" customFormat="1" ht="25.9" customHeight="1" x14ac:dyDescent="0.2">
      <c r="A17" s="243" t="s">
        <v>545</v>
      </c>
      <c r="B17" s="282" t="s">
        <v>546</v>
      </c>
      <c r="C17" s="283">
        <v>717200</v>
      </c>
      <c r="D17" s="284">
        <v>150000</v>
      </c>
      <c r="E17" s="24" t="s">
        <v>174</v>
      </c>
      <c r="F17" s="342">
        <v>150000</v>
      </c>
      <c r="G17" s="24">
        <v>0</v>
      </c>
      <c r="H17" s="242" t="s">
        <v>185</v>
      </c>
      <c r="I17" s="32">
        <v>42339</v>
      </c>
    </row>
    <row r="18" spans="1:9" s="487" customFormat="1" ht="25.9" customHeight="1" x14ac:dyDescent="0.2">
      <c r="A18" s="492" t="s">
        <v>172</v>
      </c>
      <c r="B18" s="493" t="s">
        <v>547</v>
      </c>
      <c r="C18" s="494">
        <v>201600</v>
      </c>
      <c r="D18" s="495">
        <v>150000</v>
      </c>
      <c r="E18" s="483" t="s">
        <v>174</v>
      </c>
      <c r="F18" s="484"/>
      <c r="G18" s="496">
        <v>150000</v>
      </c>
      <c r="H18" s="485" t="s">
        <v>794</v>
      </c>
      <c r="I18" s="486">
        <v>42522</v>
      </c>
    </row>
    <row r="19" spans="1:9" s="479" customFormat="1" ht="25.9" customHeight="1" x14ac:dyDescent="0.2">
      <c r="A19" s="243" t="s">
        <v>548</v>
      </c>
      <c r="B19" s="13" t="s">
        <v>549</v>
      </c>
      <c r="C19" s="283">
        <v>235000</v>
      </c>
      <c r="D19" s="283">
        <v>117500</v>
      </c>
      <c r="E19" s="24" t="s">
        <v>174</v>
      </c>
      <c r="F19" s="342">
        <v>10770</v>
      </c>
      <c r="G19" s="286">
        <v>106730</v>
      </c>
      <c r="H19" s="31" t="s">
        <v>794</v>
      </c>
      <c r="I19" s="32">
        <v>42582</v>
      </c>
    </row>
    <row r="20" spans="1:9" s="487" customFormat="1" ht="25.9" customHeight="1" x14ac:dyDescent="0.2">
      <c r="A20" s="492" t="s">
        <v>187</v>
      </c>
      <c r="B20" s="497" t="s">
        <v>550</v>
      </c>
      <c r="C20" s="494">
        <v>215657</v>
      </c>
      <c r="D20" s="495">
        <v>150000</v>
      </c>
      <c r="E20" s="483" t="s">
        <v>174</v>
      </c>
      <c r="F20" s="484"/>
      <c r="G20" s="496">
        <v>150000</v>
      </c>
      <c r="H20" s="485" t="s">
        <v>794</v>
      </c>
      <c r="I20" s="486">
        <v>42475</v>
      </c>
    </row>
    <row r="21" spans="1:9" s="479" customFormat="1" ht="25.9" customHeight="1" x14ac:dyDescent="0.2">
      <c r="A21" s="243" t="s">
        <v>551</v>
      </c>
      <c r="B21" s="282" t="s">
        <v>552</v>
      </c>
      <c r="C21" s="283">
        <v>60000</v>
      </c>
      <c r="D21" s="284">
        <v>30000</v>
      </c>
      <c r="E21" s="24" t="s">
        <v>174</v>
      </c>
      <c r="F21" s="342">
        <v>12250</v>
      </c>
      <c r="G21" s="285">
        <v>0</v>
      </c>
      <c r="H21" s="31" t="s">
        <v>185</v>
      </c>
      <c r="I21" s="32">
        <v>41957</v>
      </c>
    </row>
    <row r="22" spans="1:9" s="487" customFormat="1" ht="25.9" customHeight="1" x14ac:dyDescent="0.2">
      <c r="A22" s="492" t="s">
        <v>195</v>
      </c>
      <c r="B22" s="497" t="s">
        <v>553</v>
      </c>
      <c r="C22" s="494">
        <v>107140</v>
      </c>
      <c r="D22" s="495">
        <v>74998</v>
      </c>
      <c r="E22" s="483" t="s">
        <v>174</v>
      </c>
      <c r="F22" s="484">
        <v>13355</v>
      </c>
      <c r="G22" s="496">
        <v>61643</v>
      </c>
      <c r="H22" s="485" t="s">
        <v>794</v>
      </c>
      <c r="I22" s="486">
        <v>42517</v>
      </c>
    </row>
    <row r="23" spans="1:9" s="479" customFormat="1" ht="25.9" customHeight="1" x14ac:dyDescent="0.2">
      <c r="A23" s="243" t="s">
        <v>554</v>
      </c>
      <c r="B23" s="13" t="s">
        <v>555</v>
      </c>
      <c r="C23" s="283">
        <v>27135</v>
      </c>
      <c r="D23" s="283">
        <v>21708</v>
      </c>
      <c r="E23" s="24" t="s">
        <v>174</v>
      </c>
      <c r="F23" s="342">
        <v>21628</v>
      </c>
      <c r="G23" s="286">
        <v>0</v>
      </c>
      <c r="H23" s="31" t="s">
        <v>185</v>
      </c>
      <c r="I23" s="32">
        <v>42170</v>
      </c>
    </row>
    <row r="24" spans="1:9" s="487" customFormat="1" ht="25.9" customHeight="1" x14ac:dyDescent="0.2">
      <c r="A24" s="492" t="s">
        <v>556</v>
      </c>
      <c r="B24" s="497" t="s">
        <v>557</v>
      </c>
      <c r="C24" s="494">
        <v>24000</v>
      </c>
      <c r="D24" s="495">
        <v>14400</v>
      </c>
      <c r="E24" s="483" t="s">
        <v>174</v>
      </c>
      <c r="F24" s="484">
        <v>2895</v>
      </c>
      <c r="G24" s="496">
        <v>11505</v>
      </c>
      <c r="H24" s="485" t="s">
        <v>794</v>
      </c>
      <c r="I24" s="486">
        <v>42490</v>
      </c>
    </row>
    <row r="25" spans="1:9" s="479" customFormat="1" ht="25.9" customHeight="1" x14ac:dyDescent="0.2">
      <c r="A25" s="243" t="s">
        <v>558</v>
      </c>
      <c r="B25" s="282" t="s">
        <v>183</v>
      </c>
      <c r="C25" s="283">
        <v>76500</v>
      </c>
      <c r="D25" s="283">
        <v>57375</v>
      </c>
      <c r="E25" s="24" t="s">
        <v>174</v>
      </c>
      <c r="F25" s="342"/>
      <c r="G25" s="286">
        <v>57375</v>
      </c>
      <c r="H25" s="31" t="s">
        <v>467</v>
      </c>
      <c r="I25" s="32">
        <v>42460</v>
      </c>
    </row>
    <row r="26" spans="1:9" ht="18.75" customHeight="1" x14ac:dyDescent="0.2">
      <c r="A26" s="253"/>
      <c r="B26" s="254" t="s">
        <v>180</v>
      </c>
      <c r="C26" s="255">
        <f>SUM(C17:C25)</f>
        <v>1664232</v>
      </c>
      <c r="D26" s="255">
        <f>SUM(D17:D25)</f>
        <v>765981</v>
      </c>
      <c r="E26" s="39"/>
      <c r="F26" s="38">
        <f>SUM(F17:F25)</f>
        <v>210898</v>
      </c>
      <c r="G26" s="38">
        <f>SUM(G17:G25)</f>
        <v>537253</v>
      </c>
      <c r="H26" s="40"/>
      <c r="I26" s="41"/>
    </row>
    <row r="27" spans="1:9" s="15" customFormat="1" ht="33.75" customHeight="1" x14ac:dyDescent="0.2">
      <c r="A27" s="511" t="s">
        <v>445</v>
      </c>
      <c r="B27" s="511"/>
      <c r="C27" s="511"/>
      <c r="D27" s="511"/>
      <c r="E27" s="511"/>
      <c r="F27" s="511"/>
      <c r="G27" s="511"/>
      <c r="H27" s="511"/>
      <c r="I27" s="511"/>
    </row>
    <row r="28" spans="1:9" s="20" customFormat="1" ht="57" customHeight="1" x14ac:dyDescent="0.2">
      <c r="A28" s="16" t="s">
        <v>165</v>
      </c>
      <c r="B28" s="17" t="s">
        <v>0</v>
      </c>
      <c r="C28" s="18" t="s">
        <v>1</v>
      </c>
      <c r="D28" s="18" t="s">
        <v>166</v>
      </c>
      <c r="E28" s="18" t="s">
        <v>167</v>
      </c>
      <c r="F28" s="18" t="s">
        <v>168</v>
      </c>
      <c r="G28" s="18" t="s">
        <v>169</v>
      </c>
      <c r="H28" s="19" t="s">
        <v>170</v>
      </c>
      <c r="I28" s="19" t="s">
        <v>171</v>
      </c>
    </row>
    <row r="29" spans="1:9" s="27" customFormat="1" ht="15" x14ac:dyDescent="0.2">
      <c r="A29" s="238" t="s">
        <v>446</v>
      </c>
      <c r="B29" s="239" t="s">
        <v>447</v>
      </c>
      <c r="C29" s="240">
        <v>326250</v>
      </c>
      <c r="D29" s="241">
        <v>150000</v>
      </c>
      <c r="E29" s="24" t="s">
        <v>174</v>
      </c>
      <c r="F29" s="25">
        <v>150000</v>
      </c>
      <c r="G29" s="43">
        <f>D29-F29</f>
        <v>0</v>
      </c>
      <c r="H29" s="31" t="s">
        <v>185</v>
      </c>
      <c r="I29" s="32">
        <v>41801</v>
      </c>
    </row>
    <row r="30" spans="1:9" s="27" customFormat="1" ht="28.5" customHeight="1" x14ac:dyDescent="0.2">
      <c r="A30" s="243" t="s">
        <v>448</v>
      </c>
      <c r="B30" s="244" t="s">
        <v>449</v>
      </c>
      <c r="C30" s="245">
        <v>56660</v>
      </c>
      <c r="D30" s="246">
        <v>48161</v>
      </c>
      <c r="E30" s="24" t="s">
        <v>450</v>
      </c>
      <c r="F30" s="30">
        <v>48161</v>
      </c>
      <c r="G30" s="43">
        <f t="shared" ref="G30:G37" si="0">D30-F30</f>
        <v>0</v>
      </c>
      <c r="H30" s="31" t="s">
        <v>185</v>
      </c>
      <c r="I30" s="32">
        <v>41904</v>
      </c>
    </row>
    <row r="31" spans="1:9" s="27" customFormat="1" ht="15" x14ac:dyDescent="0.2">
      <c r="A31" s="238" t="s">
        <v>451</v>
      </c>
      <c r="B31" s="247" t="s">
        <v>452</v>
      </c>
      <c r="C31" s="245">
        <v>529170</v>
      </c>
      <c r="D31" s="245">
        <v>100000</v>
      </c>
      <c r="E31" s="24" t="s">
        <v>453</v>
      </c>
      <c r="F31" s="30">
        <v>35522</v>
      </c>
      <c r="G31" s="43">
        <f t="shared" si="0"/>
        <v>64478</v>
      </c>
      <c r="H31" s="248" t="s">
        <v>794</v>
      </c>
      <c r="I31" s="32">
        <v>42400</v>
      </c>
    </row>
    <row r="32" spans="1:9" s="27" customFormat="1" ht="15" x14ac:dyDescent="0.2">
      <c r="A32" s="238" t="s">
        <v>454</v>
      </c>
      <c r="B32" s="239" t="s">
        <v>455</v>
      </c>
      <c r="C32" s="245">
        <v>88200</v>
      </c>
      <c r="D32" s="246">
        <v>74970</v>
      </c>
      <c r="E32" s="24" t="s">
        <v>450</v>
      </c>
      <c r="F32" s="30">
        <v>29273</v>
      </c>
      <c r="G32" s="43">
        <f t="shared" si="0"/>
        <v>45697</v>
      </c>
      <c r="H32" s="31" t="s">
        <v>467</v>
      </c>
      <c r="I32" s="32" t="s">
        <v>812</v>
      </c>
    </row>
    <row r="33" spans="1:9" s="27" customFormat="1" ht="44.25" customHeight="1" x14ac:dyDescent="0.2">
      <c r="A33" s="238" t="s">
        <v>456</v>
      </c>
      <c r="B33" s="247" t="s">
        <v>457</v>
      </c>
      <c r="C33" s="245">
        <v>300000</v>
      </c>
      <c r="D33" s="245">
        <v>150000</v>
      </c>
      <c r="E33" s="24" t="s">
        <v>559</v>
      </c>
      <c r="F33" s="30">
        <v>150000</v>
      </c>
      <c r="G33" s="43">
        <f t="shared" si="0"/>
        <v>0</v>
      </c>
      <c r="H33" s="31" t="s">
        <v>185</v>
      </c>
      <c r="I33" s="32">
        <v>41905</v>
      </c>
    </row>
    <row r="34" spans="1:9" s="27" customFormat="1" ht="18.75" customHeight="1" x14ac:dyDescent="0.2">
      <c r="A34" s="238" t="s">
        <v>458</v>
      </c>
      <c r="B34" s="239" t="s">
        <v>224</v>
      </c>
      <c r="C34" s="245">
        <v>74470</v>
      </c>
      <c r="D34" s="246">
        <v>59470</v>
      </c>
      <c r="E34" s="24" t="s">
        <v>459</v>
      </c>
      <c r="F34" s="30">
        <v>57555</v>
      </c>
      <c r="G34" s="43">
        <v>0</v>
      </c>
      <c r="H34" s="31" t="s">
        <v>185</v>
      </c>
      <c r="I34" s="32">
        <v>42185</v>
      </c>
    </row>
    <row r="35" spans="1:9" s="27" customFormat="1" ht="33.75" customHeight="1" x14ac:dyDescent="0.2">
      <c r="A35" s="238" t="s">
        <v>460</v>
      </c>
      <c r="B35" s="239" t="s">
        <v>461</v>
      </c>
      <c r="C35" s="245">
        <v>422375</v>
      </c>
      <c r="D35" s="245">
        <v>150000</v>
      </c>
      <c r="E35" s="24" t="s">
        <v>462</v>
      </c>
      <c r="F35" s="30">
        <v>128239</v>
      </c>
      <c r="G35" s="43">
        <v>0</v>
      </c>
      <c r="H35" s="31" t="s">
        <v>185</v>
      </c>
      <c r="I35" s="32">
        <v>42156</v>
      </c>
    </row>
    <row r="36" spans="1:9" s="27" customFormat="1" ht="57" customHeight="1" x14ac:dyDescent="0.2">
      <c r="A36" s="238" t="s">
        <v>463</v>
      </c>
      <c r="B36" s="239" t="s">
        <v>464</v>
      </c>
      <c r="C36" s="245">
        <v>20700</v>
      </c>
      <c r="D36" s="246">
        <v>16560</v>
      </c>
      <c r="E36" s="24" t="s">
        <v>450</v>
      </c>
      <c r="F36" s="30">
        <v>16560</v>
      </c>
      <c r="G36" s="43">
        <f t="shared" si="0"/>
        <v>0</v>
      </c>
      <c r="H36" s="31" t="s">
        <v>185</v>
      </c>
      <c r="I36" s="32">
        <v>41626</v>
      </c>
    </row>
    <row r="37" spans="1:9" s="27" customFormat="1" ht="15" x14ac:dyDescent="0.2">
      <c r="A37" s="249" t="s">
        <v>465</v>
      </c>
      <c r="B37" s="250" t="s">
        <v>466</v>
      </c>
      <c r="C37" s="251">
        <v>40500</v>
      </c>
      <c r="D37" s="252">
        <v>20250</v>
      </c>
      <c r="E37" s="24" t="s">
        <v>174</v>
      </c>
      <c r="F37" s="30">
        <v>20250</v>
      </c>
      <c r="G37" s="43">
        <f t="shared" si="0"/>
        <v>0</v>
      </c>
      <c r="H37" s="31" t="s">
        <v>185</v>
      </c>
      <c r="I37" s="32">
        <v>41791</v>
      </c>
    </row>
    <row r="38" spans="1:9" s="27" customFormat="1" ht="42" customHeight="1" x14ac:dyDescent="0.2">
      <c r="A38" s="253"/>
      <c r="B38" s="254" t="s">
        <v>180</v>
      </c>
      <c r="C38" s="255">
        <f>SUM(C29:C36)</f>
        <v>1817825</v>
      </c>
      <c r="D38" s="255">
        <f>SUM(D29:D37)</f>
        <v>769411</v>
      </c>
      <c r="E38" s="39"/>
      <c r="F38" s="38">
        <f>SUM(F29:F37)</f>
        <v>635560</v>
      </c>
      <c r="G38" s="38">
        <f>SUM(G29:G37)</f>
        <v>110175</v>
      </c>
      <c r="H38" s="40"/>
      <c r="I38" s="41"/>
    </row>
    <row r="39" spans="1:9" s="15" customFormat="1" ht="23.25" x14ac:dyDescent="0.2">
      <c r="A39" s="511" t="s">
        <v>164</v>
      </c>
      <c r="B39" s="511"/>
      <c r="C39" s="511"/>
      <c r="D39" s="511"/>
      <c r="E39" s="511"/>
      <c r="F39" s="511"/>
      <c r="G39" s="511"/>
      <c r="H39" s="511"/>
      <c r="I39" s="511"/>
    </row>
    <row r="40" spans="1:9" s="20" customFormat="1" ht="38.25" x14ac:dyDescent="0.2">
      <c r="A40" s="16" t="s">
        <v>165</v>
      </c>
      <c r="B40" s="17" t="s">
        <v>0</v>
      </c>
      <c r="C40" s="18" t="s">
        <v>1</v>
      </c>
      <c r="D40" s="18" t="s">
        <v>166</v>
      </c>
      <c r="E40" s="18" t="s">
        <v>167</v>
      </c>
      <c r="F40" s="18" t="s">
        <v>168</v>
      </c>
      <c r="G40" s="18" t="s">
        <v>169</v>
      </c>
      <c r="H40" s="19" t="s">
        <v>170</v>
      </c>
      <c r="I40" s="19" t="s">
        <v>171</v>
      </c>
    </row>
    <row r="41" spans="1:9" s="27" customFormat="1" ht="43.5" customHeight="1" x14ac:dyDescent="0.2">
      <c r="A41" s="21" t="s">
        <v>172</v>
      </c>
      <c r="B41" s="22" t="s">
        <v>173</v>
      </c>
      <c r="C41" s="25">
        <v>187500</v>
      </c>
      <c r="D41" s="23">
        <v>150000</v>
      </c>
      <c r="E41" s="24" t="s">
        <v>174</v>
      </c>
      <c r="F41" s="25">
        <v>122457</v>
      </c>
      <c r="G41" s="498">
        <f>D41-F41</f>
        <v>27543</v>
      </c>
      <c r="H41" s="256" t="s">
        <v>467</v>
      </c>
      <c r="I41" s="32">
        <v>42460</v>
      </c>
    </row>
    <row r="42" spans="1:9" s="27" customFormat="1" ht="15" x14ac:dyDescent="0.2">
      <c r="A42" s="28" t="s">
        <v>175</v>
      </c>
      <c r="B42" s="29" t="s">
        <v>176</v>
      </c>
      <c r="C42" s="30">
        <v>600000</v>
      </c>
      <c r="D42" s="30">
        <v>150000</v>
      </c>
      <c r="E42" s="24" t="s">
        <v>174</v>
      </c>
      <c r="F42" s="30">
        <v>150000</v>
      </c>
      <c r="G42" s="30">
        <f>D42-F42</f>
        <v>0</v>
      </c>
      <c r="H42" s="31" t="s">
        <v>185</v>
      </c>
      <c r="I42" s="32">
        <v>41817</v>
      </c>
    </row>
    <row r="43" spans="1:9" s="27" customFormat="1" ht="25.5" x14ac:dyDescent="0.2">
      <c r="A43" s="28" t="s">
        <v>189</v>
      </c>
      <c r="B43" s="29" t="s">
        <v>560</v>
      </c>
      <c r="C43" s="30">
        <v>102000</v>
      </c>
      <c r="D43" s="30">
        <v>75000</v>
      </c>
      <c r="E43" s="24" t="s">
        <v>174</v>
      </c>
      <c r="F43" s="30">
        <v>75000</v>
      </c>
      <c r="G43" s="30">
        <f>D43-F43</f>
        <v>0</v>
      </c>
      <c r="H43" s="31" t="s">
        <v>185</v>
      </c>
      <c r="I43" s="32">
        <v>41939</v>
      </c>
    </row>
    <row r="44" spans="1:9" s="27" customFormat="1" ht="15" x14ac:dyDescent="0.2">
      <c r="A44" s="28" t="s">
        <v>177</v>
      </c>
      <c r="B44" s="29" t="s">
        <v>561</v>
      </c>
      <c r="C44" s="287">
        <v>326760</v>
      </c>
      <c r="D44" s="30">
        <v>150000</v>
      </c>
      <c r="E44" s="24" t="s">
        <v>174</v>
      </c>
      <c r="F44" s="287">
        <v>149183</v>
      </c>
      <c r="G44" s="49">
        <v>0</v>
      </c>
      <c r="H44" s="288" t="s">
        <v>185</v>
      </c>
      <c r="I44" s="26">
        <v>41900</v>
      </c>
    </row>
    <row r="45" spans="1:9" s="27" customFormat="1" ht="15" x14ac:dyDescent="0.2">
      <c r="A45" s="28" t="s">
        <v>178</v>
      </c>
      <c r="B45" s="29" t="s">
        <v>173</v>
      </c>
      <c r="C45" s="30">
        <v>210000</v>
      </c>
      <c r="D45" s="30">
        <v>150000</v>
      </c>
      <c r="E45" s="24" t="s">
        <v>174</v>
      </c>
      <c r="F45" s="30">
        <v>150000</v>
      </c>
      <c r="G45" s="30">
        <f>D45-F45</f>
        <v>0</v>
      </c>
      <c r="H45" s="31" t="s">
        <v>185</v>
      </c>
      <c r="I45" s="33">
        <v>41558</v>
      </c>
    </row>
    <row r="46" spans="1:9" s="27" customFormat="1" ht="15" x14ac:dyDescent="0.2">
      <c r="A46" s="34" t="s">
        <v>179</v>
      </c>
      <c r="B46" s="35" t="s">
        <v>173</v>
      </c>
      <c r="C46" s="30">
        <v>271000</v>
      </c>
      <c r="D46" s="30">
        <v>150000</v>
      </c>
      <c r="E46" s="24" t="s">
        <v>174</v>
      </c>
      <c r="F46" s="30">
        <v>150000</v>
      </c>
      <c r="G46" s="30">
        <f>D46-F46</f>
        <v>0</v>
      </c>
      <c r="H46" s="257" t="s">
        <v>185</v>
      </c>
      <c r="I46" s="258">
        <v>41691</v>
      </c>
    </row>
    <row r="47" spans="1:9" s="27" customFormat="1" ht="15" x14ac:dyDescent="0.2">
      <c r="A47" s="36"/>
      <c r="B47" s="37" t="s">
        <v>180</v>
      </c>
      <c r="C47" s="38">
        <f>SUM(C41:C46)</f>
        <v>1697260</v>
      </c>
      <c r="D47" s="38">
        <f>SUM(D41:D46)</f>
        <v>825000</v>
      </c>
      <c r="E47" s="39"/>
      <c r="F47" s="38">
        <f>SUM(F41:F46)</f>
        <v>796640</v>
      </c>
      <c r="G47" s="38">
        <f>SUM(G41:G46)</f>
        <v>27543</v>
      </c>
      <c r="H47" s="40"/>
      <c r="I47" s="41"/>
    </row>
    <row r="48" spans="1:9" s="15" customFormat="1" ht="18.75" customHeight="1" x14ac:dyDescent="0.2">
      <c r="A48" s="511" t="s">
        <v>181</v>
      </c>
      <c r="B48" s="511"/>
      <c r="C48" s="511"/>
      <c r="D48" s="511"/>
      <c r="E48" s="511"/>
      <c r="F48" s="511"/>
      <c r="G48" s="511"/>
      <c r="H48" s="511"/>
      <c r="I48" s="511"/>
    </row>
    <row r="49" spans="1:9" s="20" customFormat="1" ht="33.75" customHeight="1" x14ac:dyDescent="0.2">
      <c r="A49" s="16" t="s">
        <v>165</v>
      </c>
      <c r="B49" s="17" t="s">
        <v>0</v>
      </c>
      <c r="C49" s="18" t="s">
        <v>1</v>
      </c>
      <c r="D49" s="18" t="s">
        <v>166</v>
      </c>
      <c r="E49" s="18" t="s">
        <v>167</v>
      </c>
      <c r="F49" s="18" t="s">
        <v>168</v>
      </c>
      <c r="G49" s="18" t="s">
        <v>169</v>
      </c>
      <c r="H49" s="19" t="s">
        <v>170</v>
      </c>
      <c r="I49" s="19" t="s">
        <v>171</v>
      </c>
    </row>
    <row r="50" spans="1:9" s="27" customFormat="1" ht="25.5" x14ac:dyDescent="0.2">
      <c r="A50" s="21" t="s">
        <v>182</v>
      </c>
      <c r="B50" s="22" t="s">
        <v>183</v>
      </c>
      <c r="C50" s="42">
        <v>35000</v>
      </c>
      <c r="D50" s="23">
        <v>7649</v>
      </c>
      <c r="E50" s="24" t="s">
        <v>184</v>
      </c>
      <c r="F50" s="25">
        <v>7649</v>
      </c>
      <c r="G50" s="43">
        <v>0</v>
      </c>
      <c r="H50" s="44" t="s">
        <v>185</v>
      </c>
      <c r="I50" s="179">
        <v>40925</v>
      </c>
    </row>
    <row r="51" spans="1:9" s="27" customFormat="1" ht="25.5" x14ac:dyDescent="0.2">
      <c r="A51" s="28" t="s">
        <v>175</v>
      </c>
      <c r="B51" s="29" t="s">
        <v>186</v>
      </c>
      <c r="C51" s="30">
        <v>63600</v>
      </c>
      <c r="D51" s="45">
        <v>54060</v>
      </c>
      <c r="E51" s="24" t="s">
        <v>174</v>
      </c>
      <c r="F51" s="30">
        <v>54060</v>
      </c>
      <c r="G51" s="30">
        <f>D51-F51</f>
        <v>0</v>
      </c>
      <c r="H51" s="31" t="s">
        <v>185</v>
      </c>
      <c r="I51" s="179">
        <v>41428</v>
      </c>
    </row>
    <row r="52" spans="1:9" s="27" customFormat="1" ht="28.5" customHeight="1" x14ac:dyDescent="0.2">
      <c r="A52" s="28" t="s">
        <v>187</v>
      </c>
      <c r="B52" s="29" t="s">
        <v>188</v>
      </c>
      <c r="C52" s="30">
        <v>75000</v>
      </c>
      <c r="D52" s="45">
        <v>63750</v>
      </c>
      <c r="E52" s="24" t="s">
        <v>174</v>
      </c>
      <c r="F52" s="30">
        <v>61963</v>
      </c>
      <c r="G52" s="30">
        <v>0</v>
      </c>
      <c r="H52" s="248" t="s">
        <v>185</v>
      </c>
      <c r="I52" s="179">
        <v>41765</v>
      </c>
    </row>
    <row r="53" spans="1:9" s="27" customFormat="1" ht="15" x14ac:dyDescent="0.2">
      <c r="A53" s="28" t="s">
        <v>189</v>
      </c>
      <c r="B53" s="29" t="s">
        <v>190</v>
      </c>
      <c r="C53" s="30">
        <v>118000</v>
      </c>
      <c r="D53" s="45">
        <v>100300</v>
      </c>
      <c r="E53" s="24" t="s">
        <v>174</v>
      </c>
      <c r="F53" s="30">
        <v>100300</v>
      </c>
      <c r="G53" s="30">
        <f>D53-F53</f>
        <v>0</v>
      </c>
      <c r="H53" s="31" t="s">
        <v>185</v>
      </c>
      <c r="I53" s="179">
        <v>41150</v>
      </c>
    </row>
    <row r="54" spans="1:9" s="27" customFormat="1" ht="15" x14ac:dyDescent="0.2">
      <c r="A54" s="34" t="s">
        <v>191</v>
      </c>
      <c r="B54" s="35" t="s">
        <v>192</v>
      </c>
      <c r="C54" s="46">
        <v>42962</v>
      </c>
      <c r="D54" s="47">
        <v>25266</v>
      </c>
      <c r="E54" s="24" t="s">
        <v>174</v>
      </c>
      <c r="F54" s="30">
        <v>25266</v>
      </c>
      <c r="G54" s="30">
        <v>0</v>
      </c>
      <c r="H54" s="31" t="s">
        <v>185</v>
      </c>
      <c r="I54" s="179">
        <v>41302</v>
      </c>
    </row>
    <row r="55" spans="1:9" s="27" customFormat="1" ht="33.75" customHeight="1" x14ac:dyDescent="0.2">
      <c r="A55" s="28" t="s">
        <v>193</v>
      </c>
      <c r="B55" s="29" t="s">
        <v>194</v>
      </c>
      <c r="C55" s="30">
        <v>103124</v>
      </c>
      <c r="D55" s="45">
        <v>65999</v>
      </c>
      <c r="E55" s="24" t="s">
        <v>174</v>
      </c>
      <c r="F55" s="30">
        <v>65999</v>
      </c>
      <c r="G55" s="30">
        <f>D55-F55</f>
        <v>0</v>
      </c>
      <c r="H55" s="31" t="s">
        <v>185</v>
      </c>
      <c r="I55" s="179">
        <v>40892</v>
      </c>
    </row>
    <row r="56" spans="1:9" s="27" customFormat="1" ht="15" x14ac:dyDescent="0.2">
      <c r="A56" s="28" t="s">
        <v>195</v>
      </c>
      <c r="B56" s="29" t="s">
        <v>196</v>
      </c>
      <c r="C56" s="30">
        <v>64630</v>
      </c>
      <c r="D56" s="45">
        <v>43962</v>
      </c>
      <c r="E56" s="24" t="s">
        <v>174</v>
      </c>
      <c r="F56" s="30">
        <v>43962</v>
      </c>
      <c r="G56" s="30">
        <v>0</v>
      </c>
      <c r="H56" s="31" t="s">
        <v>185</v>
      </c>
      <c r="I56" s="179">
        <v>41065</v>
      </c>
    </row>
    <row r="57" spans="1:9" s="27" customFormat="1" ht="18.75" customHeight="1" x14ac:dyDescent="0.2">
      <c r="A57" s="28" t="s">
        <v>197</v>
      </c>
      <c r="B57" s="29" t="s">
        <v>198</v>
      </c>
      <c r="C57" s="30">
        <v>169000</v>
      </c>
      <c r="D57" s="45">
        <v>135200</v>
      </c>
      <c r="E57" s="24" t="s">
        <v>174</v>
      </c>
      <c r="F57" s="30">
        <v>135200</v>
      </c>
      <c r="G57" s="30">
        <f>D57-F57</f>
        <v>0</v>
      </c>
      <c r="H57" s="31" t="s">
        <v>185</v>
      </c>
      <c r="I57" s="179">
        <v>41207</v>
      </c>
    </row>
    <row r="58" spans="1:9" s="27" customFormat="1" ht="15" x14ac:dyDescent="0.2">
      <c r="A58" s="28" t="s">
        <v>199</v>
      </c>
      <c r="B58" s="29" t="s">
        <v>200</v>
      </c>
      <c r="C58" s="30">
        <v>200000</v>
      </c>
      <c r="D58" s="45">
        <v>150000</v>
      </c>
      <c r="E58" s="24" t="s">
        <v>174</v>
      </c>
      <c r="F58" s="30">
        <v>150000</v>
      </c>
      <c r="G58" s="30">
        <f>D58-F58</f>
        <v>0</v>
      </c>
      <c r="H58" s="31" t="s">
        <v>185</v>
      </c>
      <c r="I58" s="179">
        <v>41443</v>
      </c>
    </row>
    <row r="59" spans="1:9" s="27" customFormat="1" ht="25.5" x14ac:dyDescent="0.2">
      <c r="A59" s="28" t="s">
        <v>189</v>
      </c>
      <c r="B59" s="29" t="s">
        <v>201</v>
      </c>
      <c r="C59" s="30">
        <v>118000</v>
      </c>
      <c r="D59" s="45">
        <v>75000</v>
      </c>
      <c r="E59" s="24" t="s">
        <v>174</v>
      </c>
      <c r="F59" s="30">
        <v>75000</v>
      </c>
      <c r="G59" s="30">
        <f>D59-F59</f>
        <v>0</v>
      </c>
      <c r="H59" s="31" t="s">
        <v>185</v>
      </c>
      <c r="I59" s="179">
        <v>41255</v>
      </c>
    </row>
    <row r="60" spans="1:9" s="27" customFormat="1" ht="38.25" x14ac:dyDescent="0.2">
      <c r="A60" s="28" t="s">
        <v>197</v>
      </c>
      <c r="B60" s="29" t="s">
        <v>202</v>
      </c>
      <c r="C60" s="30">
        <v>65000</v>
      </c>
      <c r="D60" s="45">
        <v>30297</v>
      </c>
      <c r="E60" s="24" t="s">
        <v>203</v>
      </c>
      <c r="F60" s="30">
        <v>30297</v>
      </c>
      <c r="G60" s="30">
        <f>D60-F60</f>
        <v>0</v>
      </c>
      <c r="H60" s="31" t="s">
        <v>185</v>
      </c>
      <c r="I60" s="32">
        <v>41558</v>
      </c>
    </row>
    <row r="61" spans="1:9" s="27" customFormat="1" ht="15" x14ac:dyDescent="0.2">
      <c r="A61" s="36"/>
      <c r="B61" s="37" t="s">
        <v>180</v>
      </c>
      <c r="C61" s="38">
        <f>SUM(C50:C58)</f>
        <v>871316</v>
      </c>
      <c r="D61" s="38">
        <f>SUM(D50:D60)</f>
        <v>751483</v>
      </c>
      <c r="E61" s="39"/>
      <c r="F61" s="38">
        <f>SUM(F50:F60)</f>
        <v>749696</v>
      </c>
      <c r="G61" s="38">
        <f>SUM(G50:G60)</f>
        <v>0</v>
      </c>
      <c r="H61" s="40"/>
      <c r="I61" s="41"/>
    </row>
  </sheetData>
  <mergeCells count="5">
    <mergeCell ref="A39:I39"/>
    <mergeCell ref="A48:I48"/>
    <mergeCell ref="A1:I1"/>
    <mergeCell ref="A15:I15"/>
    <mergeCell ref="A27:I27"/>
  </mergeCells>
  <pageMargins left="1" right="0.25" top="0.25" bottom="0.25" header="0.3" footer="0.3"/>
  <pageSetup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B2" sqref="B2"/>
    </sheetView>
  </sheetViews>
  <sheetFormatPr defaultRowHeight="12.75" x14ac:dyDescent="0.2"/>
  <cols>
    <col min="1" max="1" width="15" customWidth="1"/>
    <col min="2" max="2" width="34.5703125" customWidth="1"/>
    <col min="3" max="4" width="17.140625" customWidth="1"/>
    <col min="5" max="5" width="22.140625" bestFit="1" customWidth="1"/>
    <col min="6" max="6" width="12.7109375" bestFit="1" customWidth="1"/>
    <col min="7" max="7" width="14.42578125" bestFit="1" customWidth="1"/>
    <col min="8" max="8" width="15.5703125" bestFit="1" customWidth="1"/>
    <col min="9" max="9" width="18.28515625" customWidth="1"/>
  </cols>
  <sheetData>
    <row r="1" spans="1:10" ht="15" x14ac:dyDescent="0.25">
      <c r="C1" s="322" t="s">
        <v>813</v>
      </c>
      <c r="D1" s="322"/>
    </row>
    <row r="2" spans="1:10" ht="45" x14ac:dyDescent="0.2">
      <c r="A2" s="323" t="s">
        <v>165</v>
      </c>
      <c r="B2" s="323" t="s">
        <v>0</v>
      </c>
      <c r="C2" s="324" t="s">
        <v>1</v>
      </c>
      <c r="D2" s="324" t="s">
        <v>166</v>
      </c>
      <c r="E2" s="323" t="s">
        <v>167</v>
      </c>
      <c r="F2" s="324" t="s">
        <v>168</v>
      </c>
      <c r="G2" s="324" t="s">
        <v>169</v>
      </c>
      <c r="H2" s="323" t="s">
        <v>170</v>
      </c>
      <c r="I2" s="324" t="s">
        <v>644</v>
      </c>
    </row>
    <row r="3" spans="1:10" ht="25.5" x14ac:dyDescent="0.2">
      <c r="A3" s="499" t="s">
        <v>645</v>
      </c>
      <c r="B3" s="467" t="s">
        <v>814</v>
      </c>
      <c r="C3" s="500">
        <v>288000</v>
      </c>
      <c r="D3" s="501">
        <v>96034.24054943808</v>
      </c>
      <c r="E3" s="502" t="s">
        <v>174</v>
      </c>
      <c r="F3" s="48">
        <v>0</v>
      </c>
      <c r="G3" s="501">
        <v>96034.24054943808</v>
      </c>
      <c r="H3" s="502" t="s">
        <v>815</v>
      </c>
      <c r="I3" s="26">
        <v>42704</v>
      </c>
    </row>
    <row r="4" spans="1:10" ht="25.5" x14ac:dyDescent="0.2">
      <c r="A4" s="499" t="s">
        <v>648</v>
      </c>
      <c r="B4" s="467" t="s">
        <v>816</v>
      </c>
      <c r="C4" s="500">
        <v>8018250</v>
      </c>
      <c r="D4" s="501">
        <v>319397.98441273591</v>
      </c>
      <c r="E4" s="502" t="s">
        <v>174</v>
      </c>
      <c r="F4" s="48">
        <v>0</v>
      </c>
      <c r="G4" s="501">
        <v>319397.98441273591</v>
      </c>
      <c r="H4" s="502" t="s">
        <v>473</v>
      </c>
      <c r="I4" s="26">
        <v>43100</v>
      </c>
      <c r="J4" s="325"/>
    </row>
    <row r="5" spans="1:10" x14ac:dyDescent="0.2">
      <c r="A5" s="503" t="s">
        <v>208</v>
      </c>
      <c r="B5" s="499" t="s">
        <v>817</v>
      </c>
      <c r="C5" s="500">
        <v>3619000</v>
      </c>
      <c r="D5" s="504">
        <v>585229.51871403877</v>
      </c>
      <c r="E5" s="502" t="s">
        <v>174</v>
      </c>
      <c r="F5" s="48">
        <v>0</v>
      </c>
      <c r="G5" s="504">
        <v>585229.51871403877</v>
      </c>
      <c r="H5" s="502" t="s">
        <v>473</v>
      </c>
      <c r="I5" s="26">
        <v>43465</v>
      </c>
    </row>
    <row r="6" spans="1:10" x14ac:dyDescent="0.2">
      <c r="A6" s="503" t="s">
        <v>209</v>
      </c>
      <c r="B6" s="499" t="s">
        <v>818</v>
      </c>
      <c r="C6" s="500">
        <v>2500000</v>
      </c>
      <c r="D6" s="501">
        <v>105683.79036985265</v>
      </c>
      <c r="E6" s="502" t="s">
        <v>174</v>
      </c>
      <c r="F6" s="48">
        <v>0</v>
      </c>
      <c r="G6" s="501">
        <v>105683.79036985265</v>
      </c>
      <c r="H6" s="502" t="s">
        <v>473</v>
      </c>
      <c r="I6" s="26">
        <v>42735</v>
      </c>
    </row>
    <row r="7" spans="1:10" ht="25.5" x14ac:dyDescent="0.2">
      <c r="A7" s="503" t="s">
        <v>211</v>
      </c>
      <c r="B7" s="499" t="s">
        <v>819</v>
      </c>
      <c r="C7" s="500">
        <v>100000</v>
      </c>
      <c r="D7" s="504">
        <v>94844.55122092487</v>
      </c>
      <c r="E7" s="502" t="s">
        <v>174</v>
      </c>
      <c r="F7" s="48">
        <v>0</v>
      </c>
      <c r="G7" s="504">
        <v>94844.55122092487</v>
      </c>
      <c r="H7" s="502" t="s">
        <v>473</v>
      </c>
      <c r="I7" s="26">
        <v>42551</v>
      </c>
    </row>
    <row r="8" spans="1:10" ht="25.5" x14ac:dyDescent="0.2">
      <c r="A8" s="503" t="s">
        <v>213</v>
      </c>
      <c r="B8" s="499" t="s">
        <v>820</v>
      </c>
      <c r="C8" s="500">
        <v>46000</v>
      </c>
      <c r="D8" s="505">
        <v>94881.916953270527</v>
      </c>
      <c r="E8" s="502" t="s">
        <v>174</v>
      </c>
      <c r="F8" s="48">
        <v>0</v>
      </c>
      <c r="G8" s="505">
        <v>94881.916953270527</v>
      </c>
      <c r="H8" s="502" t="s">
        <v>473</v>
      </c>
      <c r="I8" s="26">
        <v>42551</v>
      </c>
    </row>
    <row r="9" spans="1:10" x14ac:dyDescent="0.2">
      <c r="A9" s="503" t="s">
        <v>215</v>
      </c>
      <c r="B9" s="499" t="s">
        <v>821</v>
      </c>
      <c r="C9" s="500">
        <v>120000</v>
      </c>
      <c r="D9" s="501">
        <v>102731.84359065405</v>
      </c>
      <c r="E9" s="502" t="s">
        <v>174</v>
      </c>
      <c r="F9" s="48">
        <v>0</v>
      </c>
      <c r="G9" s="501">
        <v>102731.84359065405</v>
      </c>
      <c r="H9" s="502" t="s">
        <v>473</v>
      </c>
      <c r="I9" s="26">
        <v>42674</v>
      </c>
    </row>
    <row r="10" spans="1:10" ht="25.5" x14ac:dyDescent="0.2">
      <c r="A10" s="503" t="s">
        <v>217</v>
      </c>
      <c r="B10" s="499" t="s">
        <v>822</v>
      </c>
      <c r="C10" s="500">
        <v>119720</v>
      </c>
      <c r="D10" s="501">
        <v>101196.15418908508</v>
      </c>
      <c r="E10" s="502" t="s">
        <v>174</v>
      </c>
      <c r="F10" s="48">
        <v>0</v>
      </c>
      <c r="G10" s="501">
        <v>101196.15418908508</v>
      </c>
      <c r="H10" s="502" t="s">
        <v>473</v>
      </c>
      <c r="I10" s="26">
        <v>42916</v>
      </c>
    </row>
    <row r="11" spans="1:10" ht="15" x14ac:dyDescent="0.25">
      <c r="A11" s="170"/>
      <c r="B11" s="329" t="s">
        <v>180</v>
      </c>
      <c r="C11" s="506">
        <f>SUM(C3:C10)</f>
        <v>14810970</v>
      </c>
      <c r="D11" s="330">
        <f>SUM(D3:D10)</f>
        <v>1499999.9999999998</v>
      </c>
      <c r="E11" s="170"/>
      <c r="F11" s="330">
        <f t="shared" ref="F11:G11" si="0">SUM(F3:F10)</f>
        <v>0</v>
      </c>
      <c r="G11" s="506">
        <f t="shared" si="0"/>
        <v>1499999.9999999998</v>
      </c>
      <c r="H11" s="170"/>
      <c r="I11" s="170"/>
    </row>
    <row r="12" spans="1:10" ht="15" x14ac:dyDescent="0.25">
      <c r="C12" s="322"/>
      <c r="D12" s="322"/>
    </row>
    <row r="13" spans="1:10" ht="15" x14ac:dyDescent="0.25">
      <c r="C13" s="322" t="s">
        <v>643</v>
      </c>
      <c r="D13" s="322"/>
    </row>
    <row r="14" spans="1:10" ht="45" x14ac:dyDescent="0.2">
      <c r="A14" s="323" t="s">
        <v>165</v>
      </c>
      <c r="B14" s="323" t="s">
        <v>0</v>
      </c>
      <c r="C14" s="324" t="s">
        <v>1</v>
      </c>
      <c r="D14" s="324" t="s">
        <v>166</v>
      </c>
      <c r="E14" s="323" t="s">
        <v>167</v>
      </c>
      <c r="F14" s="324" t="s">
        <v>168</v>
      </c>
      <c r="G14" s="324" t="s">
        <v>169</v>
      </c>
      <c r="H14" s="323" t="s">
        <v>170</v>
      </c>
      <c r="I14" s="324" t="s">
        <v>644</v>
      </c>
    </row>
    <row r="15" spans="1:10" ht="25.5" x14ac:dyDescent="0.2">
      <c r="A15" s="326" t="s">
        <v>645</v>
      </c>
      <c r="B15" s="326" t="s">
        <v>646</v>
      </c>
      <c r="C15" s="25">
        <v>240000</v>
      </c>
      <c r="D15" s="43">
        <v>96692</v>
      </c>
      <c r="E15" s="327" t="s">
        <v>174</v>
      </c>
      <c r="F15" s="331"/>
      <c r="G15" s="48">
        <v>96692</v>
      </c>
      <c r="H15" s="502" t="s">
        <v>815</v>
      </c>
      <c r="I15" s="33">
        <v>42704</v>
      </c>
    </row>
    <row r="16" spans="1:10" ht="25.5" x14ac:dyDescent="0.2">
      <c r="A16" s="326" t="s">
        <v>648</v>
      </c>
      <c r="B16" s="326" t="s">
        <v>207</v>
      </c>
      <c r="C16" s="25">
        <v>10387000</v>
      </c>
      <c r="D16" s="43">
        <v>317297</v>
      </c>
      <c r="E16" s="327" t="s">
        <v>174</v>
      </c>
      <c r="F16" s="331">
        <v>317297</v>
      </c>
      <c r="G16" s="48">
        <v>0</v>
      </c>
      <c r="H16" s="327" t="s">
        <v>185</v>
      </c>
      <c r="I16" s="33">
        <v>42293</v>
      </c>
    </row>
    <row r="17" spans="1:10" ht="25.5" x14ac:dyDescent="0.2">
      <c r="A17" s="328" t="s">
        <v>208</v>
      </c>
      <c r="B17" s="326" t="s">
        <v>649</v>
      </c>
      <c r="C17" s="25">
        <v>1533500</v>
      </c>
      <c r="D17" s="43">
        <v>583354</v>
      </c>
      <c r="E17" s="327" t="s">
        <v>174</v>
      </c>
      <c r="F17" s="331">
        <v>583354</v>
      </c>
      <c r="G17" s="48">
        <v>0</v>
      </c>
      <c r="H17" s="327" t="s">
        <v>185</v>
      </c>
      <c r="I17" s="33">
        <v>42212</v>
      </c>
    </row>
    <row r="18" spans="1:10" ht="57" customHeight="1" x14ac:dyDescent="0.2">
      <c r="A18" s="328" t="s">
        <v>209</v>
      </c>
      <c r="B18" s="326" t="s">
        <v>650</v>
      </c>
      <c r="C18" s="25">
        <v>1277920</v>
      </c>
      <c r="D18" s="43">
        <v>105886</v>
      </c>
      <c r="E18" s="327" t="s">
        <v>174</v>
      </c>
      <c r="F18" s="331"/>
      <c r="G18" s="48">
        <v>105886</v>
      </c>
      <c r="H18" s="327" t="s">
        <v>473</v>
      </c>
      <c r="I18" s="33">
        <v>42735</v>
      </c>
      <c r="J18" s="325"/>
    </row>
    <row r="19" spans="1:10" x14ac:dyDescent="0.2">
      <c r="A19" s="328" t="s">
        <v>211</v>
      </c>
      <c r="B19" s="326" t="s">
        <v>651</v>
      </c>
      <c r="C19" s="25">
        <v>130000</v>
      </c>
      <c r="D19" s="43">
        <v>95854</v>
      </c>
      <c r="E19" s="327" t="s">
        <v>174</v>
      </c>
      <c r="F19" s="331"/>
      <c r="G19" s="48">
        <v>95854</v>
      </c>
      <c r="H19" s="327" t="s">
        <v>473</v>
      </c>
      <c r="I19" s="33">
        <v>42551</v>
      </c>
    </row>
    <row r="20" spans="1:10" ht="38.25" x14ac:dyDescent="0.2">
      <c r="A20" s="328" t="s">
        <v>213</v>
      </c>
      <c r="B20" s="326" t="s">
        <v>652</v>
      </c>
      <c r="C20" s="25">
        <v>121000</v>
      </c>
      <c r="D20" s="43">
        <v>96001</v>
      </c>
      <c r="E20" s="327" t="s">
        <v>174</v>
      </c>
      <c r="F20" s="331">
        <v>33367</v>
      </c>
      <c r="G20" s="48">
        <v>62634</v>
      </c>
      <c r="H20" s="327" t="s">
        <v>473</v>
      </c>
      <c r="I20" s="33">
        <v>42613</v>
      </c>
    </row>
    <row r="21" spans="1:10" x14ac:dyDescent="0.2">
      <c r="A21" s="328" t="s">
        <v>215</v>
      </c>
      <c r="B21" s="326" t="s">
        <v>653</v>
      </c>
      <c r="C21" s="25">
        <v>103884</v>
      </c>
      <c r="D21" s="25">
        <v>103884</v>
      </c>
      <c r="E21" s="327" t="s">
        <v>174</v>
      </c>
      <c r="F21" s="331">
        <v>9379</v>
      </c>
      <c r="G21" s="48">
        <v>94505</v>
      </c>
      <c r="H21" s="502" t="s">
        <v>442</v>
      </c>
      <c r="I21" s="33">
        <v>42674</v>
      </c>
    </row>
    <row r="22" spans="1:10" ht="38.25" x14ac:dyDescent="0.2">
      <c r="A22" s="328" t="s">
        <v>217</v>
      </c>
      <c r="B22" s="326" t="s">
        <v>654</v>
      </c>
      <c r="C22" s="25">
        <v>107375</v>
      </c>
      <c r="D22" s="43">
        <v>101032</v>
      </c>
      <c r="E22" s="327" t="s">
        <v>174</v>
      </c>
      <c r="F22" s="331">
        <v>16234</v>
      </c>
      <c r="G22" s="48">
        <v>84798</v>
      </c>
      <c r="H22" s="327" t="s">
        <v>473</v>
      </c>
      <c r="I22" s="33">
        <v>42460</v>
      </c>
    </row>
    <row r="23" spans="1:10" ht="15" x14ac:dyDescent="0.25">
      <c r="A23" s="170"/>
      <c r="B23" s="329" t="s">
        <v>180</v>
      </c>
      <c r="C23" s="506">
        <f>SUM(C15:C22)</f>
        <v>13900679</v>
      </c>
      <c r="D23" s="330">
        <f>SUM(D15:D22)</f>
        <v>1500000</v>
      </c>
      <c r="E23" s="170"/>
      <c r="F23" s="330">
        <f t="shared" ref="F23:G23" si="1">SUM(F15:F22)</f>
        <v>959631</v>
      </c>
      <c r="G23" s="506">
        <f t="shared" si="1"/>
        <v>540369</v>
      </c>
      <c r="H23" s="170"/>
      <c r="I23" s="170"/>
    </row>
    <row r="27" spans="1:10" ht="15" x14ac:dyDescent="0.25">
      <c r="C27" s="322" t="s">
        <v>468</v>
      </c>
      <c r="D27" s="322"/>
    </row>
    <row r="28" spans="1:10" s="3" customFormat="1" ht="45" x14ac:dyDescent="0.2">
      <c r="A28" s="323" t="s">
        <v>165</v>
      </c>
      <c r="B28" s="323" t="s">
        <v>0</v>
      </c>
      <c r="C28" s="324" t="s">
        <v>1</v>
      </c>
      <c r="D28" s="324" t="s">
        <v>166</v>
      </c>
      <c r="E28" s="323" t="s">
        <v>167</v>
      </c>
      <c r="F28" s="324" t="s">
        <v>168</v>
      </c>
      <c r="G28" s="324" t="s">
        <v>169</v>
      </c>
      <c r="H28" s="323" t="s">
        <v>170</v>
      </c>
      <c r="I28" s="324" t="s">
        <v>644</v>
      </c>
    </row>
    <row r="29" spans="1:10" s="3" customFormat="1" ht="25.5" x14ac:dyDescent="0.2">
      <c r="A29" s="207" t="s">
        <v>645</v>
      </c>
      <c r="B29" s="259" t="s">
        <v>173</v>
      </c>
      <c r="C29" s="25">
        <v>480000</v>
      </c>
      <c r="D29" s="43">
        <v>96594</v>
      </c>
      <c r="E29" s="327" t="s">
        <v>174</v>
      </c>
      <c r="F29" s="48">
        <v>79402</v>
      </c>
      <c r="G29" s="331">
        <v>17192</v>
      </c>
      <c r="H29" s="502" t="s">
        <v>815</v>
      </c>
      <c r="I29" s="33">
        <v>42704</v>
      </c>
    </row>
    <row r="30" spans="1:10" ht="25.5" x14ac:dyDescent="0.2">
      <c r="A30" s="207" t="s">
        <v>648</v>
      </c>
      <c r="B30" s="259" t="s">
        <v>469</v>
      </c>
      <c r="C30" s="25">
        <v>330000</v>
      </c>
      <c r="D30" s="43">
        <v>311190</v>
      </c>
      <c r="E30" s="327" t="s">
        <v>174</v>
      </c>
      <c r="F30" s="48">
        <v>311190</v>
      </c>
      <c r="G30" s="332">
        <v>0</v>
      </c>
      <c r="H30" s="327" t="s">
        <v>185</v>
      </c>
      <c r="I30" s="33">
        <v>41898</v>
      </c>
    </row>
    <row r="31" spans="1:10" x14ac:dyDescent="0.2">
      <c r="A31" s="333" t="s">
        <v>208</v>
      </c>
      <c r="B31" s="259" t="s">
        <v>655</v>
      </c>
      <c r="C31" s="25">
        <v>4500000</v>
      </c>
      <c r="D31" s="43">
        <v>579215</v>
      </c>
      <c r="E31" s="327" t="s">
        <v>174</v>
      </c>
      <c r="F31" s="48">
        <v>579214</v>
      </c>
      <c r="G31" s="332">
        <v>0</v>
      </c>
      <c r="H31" s="327" t="s">
        <v>185</v>
      </c>
      <c r="I31" s="33">
        <v>42100</v>
      </c>
    </row>
    <row r="32" spans="1:10" ht="57" customHeight="1" x14ac:dyDescent="0.2">
      <c r="A32" s="333" t="s">
        <v>209</v>
      </c>
      <c r="B32" s="259" t="s">
        <v>210</v>
      </c>
      <c r="C32" s="25">
        <v>1277920</v>
      </c>
      <c r="D32" s="43">
        <v>108456</v>
      </c>
      <c r="E32" s="327" t="s">
        <v>174</v>
      </c>
      <c r="F32" s="48"/>
      <c r="G32" s="332">
        <v>108456</v>
      </c>
      <c r="H32" s="327" t="s">
        <v>473</v>
      </c>
      <c r="I32" s="33">
        <v>42735</v>
      </c>
      <c r="J32" s="325"/>
    </row>
    <row r="33" spans="1:10" ht="38.25" x14ac:dyDescent="0.2">
      <c r="A33" s="333" t="s">
        <v>211</v>
      </c>
      <c r="B33" s="259" t="s">
        <v>470</v>
      </c>
      <c r="C33" s="25">
        <f>150000</f>
        <v>150000</v>
      </c>
      <c r="D33" s="43">
        <v>98159</v>
      </c>
      <c r="E33" s="327" t="s">
        <v>174</v>
      </c>
      <c r="F33" s="48">
        <v>28853</v>
      </c>
      <c r="G33" s="332">
        <v>69306</v>
      </c>
      <c r="H33" s="327" t="s">
        <v>473</v>
      </c>
      <c r="I33" s="33">
        <v>42628</v>
      </c>
    </row>
    <row r="34" spans="1:10" ht="51" x14ac:dyDescent="0.2">
      <c r="A34" s="333" t="s">
        <v>213</v>
      </c>
      <c r="B34" s="259" t="s">
        <v>471</v>
      </c>
      <c r="C34" s="25">
        <f>69356+24884+4904</f>
        <v>99144</v>
      </c>
      <c r="D34" s="43">
        <v>98450</v>
      </c>
      <c r="E34" s="327" t="s">
        <v>174</v>
      </c>
      <c r="F34" s="48">
        <v>32560</v>
      </c>
      <c r="G34" s="332">
        <v>65890</v>
      </c>
      <c r="H34" s="327" t="s">
        <v>473</v>
      </c>
      <c r="I34" s="33">
        <v>42916</v>
      </c>
    </row>
    <row r="35" spans="1:10" x14ac:dyDescent="0.2">
      <c r="A35" s="333" t="s">
        <v>215</v>
      </c>
      <c r="B35" s="259" t="s">
        <v>472</v>
      </c>
      <c r="C35" s="25">
        <v>120000</v>
      </c>
      <c r="D35" s="25">
        <v>105151</v>
      </c>
      <c r="E35" s="327" t="s">
        <v>174</v>
      </c>
      <c r="F35" s="48">
        <v>58280</v>
      </c>
      <c r="G35" s="332">
        <v>46871</v>
      </c>
      <c r="H35" s="327" t="s">
        <v>473</v>
      </c>
      <c r="I35" s="26">
        <v>42674</v>
      </c>
    </row>
    <row r="36" spans="1:10" x14ac:dyDescent="0.2">
      <c r="A36" s="333" t="s">
        <v>217</v>
      </c>
      <c r="B36" s="259" t="s">
        <v>216</v>
      </c>
      <c r="C36" s="25">
        <f>39300+66700</f>
        <v>106000</v>
      </c>
      <c r="D36" s="43">
        <v>102785</v>
      </c>
      <c r="E36" s="327" t="s">
        <v>174</v>
      </c>
      <c r="F36" s="48">
        <v>80621</v>
      </c>
      <c r="G36" s="332">
        <v>22164</v>
      </c>
      <c r="H36" s="327" t="s">
        <v>473</v>
      </c>
      <c r="I36" s="33">
        <v>42735</v>
      </c>
    </row>
    <row r="37" spans="1:10" ht="15" x14ac:dyDescent="0.25">
      <c r="A37" s="170"/>
      <c r="B37" s="329" t="s">
        <v>180</v>
      </c>
      <c r="C37" s="334">
        <f>SUM(C29:C36)</f>
        <v>7063064</v>
      </c>
      <c r="D37" s="330">
        <f>SUM(D29:D36)</f>
        <v>1500000</v>
      </c>
      <c r="E37" s="170"/>
      <c r="F37" s="334">
        <f t="shared" ref="F37:G37" si="2">SUM(F29:F36)</f>
        <v>1170120</v>
      </c>
      <c r="G37" s="506">
        <f t="shared" si="2"/>
        <v>329879</v>
      </c>
      <c r="H37" s="170"/>
      <c r="I37" s="170"/>
    </row>
    <row r="38" spans="1:10" ht="15" x14ac:dyDescent="0.25">
      <c r="A38" s="335"/>
      <c r="B38" s="336"/>
      <c r="C38" s="337"/>
      <c r="D38" s="338"/>
      <c r="E38" s="335"/>
      <c r="F38" s="337"/>
      <c r="G38" s="339"/>
      <c r="H38" s="335"/>
      <c r="I38" s="335"/>
    </row>
    <row r="39" spans="1:10" ht="15" x14ac:dyDescent="0.25">
      <c r="A39" s="335"/>
      <c r="B39" s="336"/>
      <c r="C39" s="337"/>
      <c r="D39" s="338"/>
      <c r="E39" s="335"/>
      <c r="F39" s="337"/>
      <c r="G39" s="339"/>
      <c r="H39" s="335"/>
      <c r="I39" s="335"/>
    </row>
    <row r="41" spans="1:10" ht="15" x14ac:dyDescent="0.25">
      <c r="C41" s="322" t="s">
        <v>205</v>
      </c>
      <c r="D41" s="322"/>
    </row>
    <row r="42" spans="1:10" ht="45" x14ac:dyDescent="0.2">
      <c r="A42" s="323" t="s">
        <v>165</v>
      </c>
      <c r="B42" s="323" t="s">
        <v>0</v>
      </c>
      <c r="C42" s="324" t="s">
        <v>1</v>
      </c>
      <c r="D42" s="324" t="s">
        <v>166</v>
      </c>
      <c r="E42" s="323" t="s">
        <v>167</v>
      </c>
      <c r="F42" s="324" t="s">
        <v>168</v>
      </c>
      <c r="G42" s="324" t="s">
        <v>169</v>
      </c>
      <c r="H42" s="323" t="s">
        <v>170</v>
      </c>
      <c r="I42" s="324" t="s">
        <v>644</v>
      </c>
    </row>
    <row r="43" spans="1:10" ht="25.5" x14ac:dyDescent="0.2">
      <c r="A43" s="207" t="s">
        <v>645</v>
      </c>
      <c r="B43" s="13" t="s">
        <v>206</v>
      </c>
      <c r="C43" s="507">
        <v>450000</v>
      </c>
      <c r="D43" s="508">
        <v>94903</v>
      </c>
      <c r="E43" s="327" t="s">
        <v>174</v>
      </c>
      <c r="F43" s="504">
        <f>2127+92776</f>
        <v>94903</v>
      </c>
      <c r="G43" s="332">
        <f>SUM(D43-F43)</f>
        <v>0</v>
      </c>
      <c r="H43" s="327" t="s">
        <v>185</v>
      </c>
      <c r="I43" s="33">
        <v>41939</v>
      </c>
    </row>
    <row r="44" spans="1:10" ht="25.5" x14ac:dyDescent="0.2">
      <c r="A44" s="207" t="s">
        <v>648</v>
      </c>
      <c r="B44" s="13" t="s">
        <v>207</v>
      </c>
      <c r="C44" s="286">
        <v>3430000</v>
      </c>
      <c r="D44" s="340">
        <v>325782</v>
      </c>
      <c r="E44" s="327" t="s">
        <v>174</v>
      </c>
      <c r="F44" s="48">
        <v>325782</v>
      </c>
      <c r="G44" s="332">
        <f>SUM(D44-F44)</f>
        <v>0</v>
      </c>
      <c r="H44" s="327" t="s">
        <v>185</v>
      </c>
      <c r="I44" s="33">
        <v>41898</v>
      </c>
    </row>
    <row r="45" spans="1:10" x14ac:dyDescent="0.2">
      <c r="A45" s="333" t="s">
        <v>208</v>
      </c>
      <c r="B45" s="341" t="s">
        <v>656</v>
      </c>
      <c r="C45" s="286">
        <v>5200000</v>
      </c>
      <c r="D45" s="340">
        <v>568101</v>
      </c>
      <c r="E45" s="327" t="s">
        <v>174</v>
      </c>
      <c r="F45" s="48">
        <f>144411+330600+93090</f>
        <v>568101</v>
      </c>
      <c r="G45" s="332">
        <v>0</v>
      </c>
      <c r="H45" s="327" t="s">
        <v>185</v>
      </c>
      <c r="I45" s="33">
        <v>41228</v>
      </c>
    </row>
    <row r="46" spans="1:10" ht="57" customHeight="1" x14ac:dyDescent="0.2">
      <c r="A46" s="333" t="s">
        <v>209</v>
      </c>
      <c r="B46" s="13" t="s">
        <v>210</v>
      </c>
      <c r="C46" s="286">
        <v>1351480</v>
      </c>
      <c r="D46" s="285">
        <v>107598</v>
      </c>
      <c r="E46" s="327" t="s">
        <v>174</v>
      </c>
      <c r="F46" s="48">
        <f>31505</f>
        <v>31505</v>
      </c>
      <c r="G46" s="332">
        <f t="shared" ref="G46:G47" si="3">SUM(D46-F46)</f>
        <v>76093</v>
      </c>
      <c r="H46" s="327" t="s">
        <v>473</v>
      </c>
      <c r="I46" s="33">
        <v>42735</v>
      </c>
      <c r="J46" s="325"/>
    </row>
    <row r="47" spans="1:10" ht="25.5" x14ac:dyDescent="0.2">
      <c r="A47" s="333" t="s">
        <v>211</v>
      </c>
      <c r="B47" s="13" t="s">
        <v>212</v>
      </c>
      <c r="C47" s="286">
        <v>100000</v>
      </c>
      <c r="D47" s="285">
        <v>97119</v>
      </c>
      <c r="E47" s="327" t="s">
        <v>174</v>
      </c>
      <c r="F47" s="48">
        <v>97119</v>
      </c>
      <c r="G47" s="332">
        <f t="shared" si="3"/>
        <v>0</v>
      </c>
      <c r="H47" s="327" t="s">
        <v>185</v>
      </c>
      <c r="I47" s="33">
        <v>42185</v>
      </c>
    </row>
    <row r="48" spans="1:10" x14ac:dyDescent="0.2">
      <c r="A48" s="333" t="s">
        <v>213</v>
      </c>
      <c r="B48" s="13" t="s">
        <v>214</v>
      </c>
      <c r="C48" s="285">
        <v>722170</v>
      </c>
      <c r="D48" s="285">
        <v>99415</v>
      </c>
      <c r="E48" s="327" t="s">
        <v>174</v>
      </c>
      <c r="F48" s="48">
        <f>56522+42893</f>
        <v>99415</v>
      </c>
      <c r="G48" s="332">
        <v>0</v>
      </c>
      <c r="H48" s="327" t="s">
        <v>185</v>
      </c>
      <c r="I48" s="33">
        <v>41110</v>
      </c>
    </row>
    <row r="49" spans="1:9" x14ac:dyDescent="0.2">
      <c r="A49" s="333" t="s">
        <v>215</v>
      </c>
      <c r="B49" s="13" t="s">
        <v>216</v>
      </c>
      <c r="C49" s="286">
        <v>200000</v>
      </c>
      <c r="D49" s="285">
        <v>103848</v>
      </c>
      <c r="E49" s="327" t="s">
        <v>174</v>
      </c>
      <c r="F49" s="48">
        <v>101869</v>
      </c>
      <c r="G49" s="332">
        <v>1979</v>
      </c>
      <c r="H49" s="327" t="s">
        <v>473</v>
      </c>
      <c r="I49" s="33">
        <v>42460</v>
      </c>
    </row>
    <row r="50" spans="1:9" ht="25.5" x14ac:dyDescent="0.2">
      <c r="A50" s="333" t="s">
        <v>217</v>
      </c>
      <c r="B50" s="13" t="s">
        <v>218</v>
      </c>
      <c r="C50" s="286">
        <v>103560</v>
      </c>
      <c r="D50" s="285">
        <v>103234</v>
      </c>
      <c r="E50" s="327" t="s">
        <v>174</v>
      </c>
      <c r="F50" s="504">
        <v>36671</v>
      </c>
      <c r="G50" s="504">
        <v>66563</v>
      </c>
      <c r="H50" s="327" t="s">
        <v>473</v>
      </c>
      <c r="I50" s="33">
        <v>42735</v>
      </c>
    </row>
    <row r="51" spans="1:9" ht="15" x14ac:dyDescent="0.25">
      <c r="A51" s="170"/>
      <c r="B51" s="329" t="s">
        <v>180</v>
      </c>
      <c r="C51" s="334">
        <f>SUM(C43:C50)</f>
        <v>11557210</v>
      </c>
      <c r="D51" s="330">
        <f>SUM(D43:D50)</f>
        <v>1500000</v>
      </c>
      <c r="E51" s="170"/>
      <c r="F51" s="334">
        <f t="shared" ref="F51" si="4">SUM(F43:F50)</f>
        <v>1355365</v>
      </c>
      <c r="G51" s="509">
        <f>SUM(G43:G50)</f>
        <v>144635</v>
      </c>
      <c r="H51" s="170"/>
      <c r="I51" s="170"/>
    </row>
    <row r="55" spans="1:9" ht="15" x14ac:dyDescent="0.25">
      <c r="C55" s="322" t="s">
        <v>219</v>
      </c>
      <c r="D55" s="322"/>
    </row>
    <row r="56" spans="1:9" ht="45" x14ac:dyDescent="0.2">
      <c r="A56" s="323" t="s">
        <v>165</v>
      </c>
      <c r="B56" s="323" t="s">
        <v>0</v>
      </c>
      <c r="C56" s="324" t="s">
        <v>1</v>
      </c>
      <c r="D56" s="324" t="s">
        <v>166</v>
      </c>
      <c r="E56" s="323" t="s">
        <v>167</v>
      </c>
      <c r="F56" s="324" t="s">
        <v>168</v>
      </c>
      <c r="G56" s="324" t="s">
        <v>169</v>
      </c>
      <c r="H56" s="323" t="s">
        <v>170</v>
      </c>
      <c r="I56" s="324" t="s">
        <v>644</v>
      </c>
    </row>
    <row r="57" spans="1:9" ht="25.5" x14ac:dyDescent="0.2">
      <c r="A57" s="207" t="s">
        <v>645</v>
      </c>
      <c r="B57" s="13" t="s">
        <v>220</v>
      </c>
      <c r="C57" s="342">
        <v>898500</v>
      </c>
      <c r="D57" s="343">
        <v>94579</v>
      </c>
      <c r="E57" s="327" t="s">
        <v>174</v>
      </c>
      <c r="F57" s="25">
        <f>8398+86181</f>
        <v>94579</v>
      </c>
      <c r="G57" s="331">
        <f>SUM(D57-F57)</f>
        <v>0</v>
      </c>
      <c r="H57" s="327" t="s">
        <v>185</v>
      </c>
      <c r="I57" s="179">
        <v>41809</v>
      </c>
    </row>
    <row r="58" spans="1:9" ht="25.5" x14ac:dyDescent="0.2">
      <c r="A58" s="207" t="s">
        <v>648</v>
      </c>
      <c r="B58" s="13" t="s">
        <v>221</v>
      </c>
      <c r="C58" s="342">
        <v>3904000</v>
      </c>
      <c r="D58" s="344">
        <v>328020</v>
      </c>
      <c r="E58" s="327" t="s">
        <v>174</v>
      </c>
      <c r="F58" s="48">
        <v>328020</v>
      </c>
      <c r="G58" s="332">
        <v>0</v>
      </c>
      <c r="H58" s="327" t="s">
        <v>185</v>
      </c>
      <c r="I58" s="179">
        <v>41281</v>
      </c>
    </row>
    <row r="59" spans="1:9" x14ac:dyDescent="0.2">
      <c r="A59" s="333" t="s">
        <v>208</v>
      </c>
      <c r="B59" s="341" t="s">
        <v>656</v>
      </c>
      <c r="C59" s="342">
        <v>800000</v>
      </c>
      <c r="D59" s="344">
        <v>562349</v>
      </c>
      <c r="E59" s="327" t="s">
        <v>174</v>
      </c>
      <c r="F59" s="48">
        <f>470325+89799+2225</f>
        <v>562349</v>
      </c>
      <c r="G59" s="332">
        <f t="shared" ref="G59:G63" si="5">SUM(D59-F59)</f>
        <v>0</v>
      </c>
      <c r="H59" s="327" t="s">
        <v>185</v>
      </c>
      <c r="I59" s="179">
        <v>41176</v>
      </c>
    </row>
    <row r="60" spans="1:9" x14ac:dyDescent="0.2">
      <c r="A60" s="333" t="s">
        <v>209</v>
      </c>
      <c r="B60" s="13" t="s">
        <v>210</v>
      </c>
      <c r="C60" s="342">
        <v>8752175</v>
      </c>
      <c r="D60" s="343">
        <v>110137</v>
      </c>
      <c r="E60" s="327" t="s">
        <v>174</v>
      </c>
      <c r="F60" s="48">
        <v>110137</v>
      </c>
      <c r="G60" s="332">
        <f t="shared" si="5"/>
        <v>0</v>
      </c>
      <c r="H60" s="327" t="s">
        <v>185</v>
      </c>
      <c r="I60" s="179">
        <v>41494</v>
      </c>
    </row>
    <row r="61" spans="1:9" ht="51" x14ac:dyDescent="0.2">
      <c r="A61" s="333" t="s">
        <v>211</v>
      </c>
      <c r="B61" s="13" t="s">
        <v>222</v>
      </c>
      <c r="C61" s="342">
        <v>225000</v>
      </c>
      <c r="D61" s="343">
        <v>95992</v>
      </c>
      <c r="E61" s="327" t="s">
        <v>174</v>
      </c>
      <c r="F61" s="49">
        <v>97119</v>
      </c>
      <c r="G61" s="332">
        <v>0</v>
      </c>
      <c r="H61" s="327" t="s">
        <v>185</v>
      </c>
      <c r="I61" s="179">
        <v>42181</v>
      </c>
    </row>
    <row r="62" spans="1:9" x14ac:dyDescent="0.2">
      <c r="A62" s="333" t="s">
        <v>213</v>
      </c>
      <c r="B62" s="262" t="s">
        <v>214</v>
      </c>
      <c r="C62" s="510">
        <v>500000</v>
      </c>
      <c r="D62" s="343">
        <v>99205</v>
      </c>
      <c r="E62" s="327" t="s">
        <v>174</v>
      </c>
      <c r="F62" s="48">
        <f>44551+54654</f>
        <v>99205</v>
      </c>
      <c r="G62" s="332">
        <f t="shared" si="5"/>
        <v>0</v>
      </c>
      <c r="H62" s="327" t="s">
        <v>185</v>
      </c>
      <c r="I62" s="179">
        <v>41246</v>
      </c>
    </row>
    <row r="63" spans="1:9" x14ac:dyDescent="0.2">
      <c r="A63" s="333" t="s">
        <v>215</v>
      </c>
      <c r="B63" s="13" t="s">
        <v>216</v>
      </c>
      <c r="C63" s="342">
        <v>200000</v>
      </c>
      <c r="D63" s="343">
        <v>107536</v>
      </c>
      <c r="E63" s="327" t="s">
        <v>174</v>
      </c>
      <c r="F63" s="48">
        <f>34487+52970+11078+9001</f>
        <v>107536</v>
      </c>
      <c r="G63" s="332">
        <f t="shared" si="5"/>
        <v>0</v>
      </c>
      <c r="H63" s="327" t="s">
        <v>185</v>
      </c>
      <c r="I63" s="179">
        <v>41506</v>
      </c>
    </row>
    <row r="64" spans="1:9" x14ac:dyDescent="0.2">
      <c r="A64" s="333" t="s">
        <v>217</v>
      </c>
      <c r="B64" s="13" t="s">
        <v>216</v>
      </c>
      <c r="C64" s="342">
        <v>104929</v>
      </c>
      <c r="D64" s="343">
        <v>103021</v>
      </c>
      <c r="E64" s="327" t="s">
        <v>174</v>
      </c>
      <c r="F64" s="48">
        <v>16865</v>
      </c>
      <c r="G64" s="332">
        <v>86156</v>
      </c>
      <c r="H64" s="327" t="s">
        <v>473</v>
      </c>
      <c r="I64" s="179">
        <v>42735</v>
      </c>
    </row>
    <row r="65" spans="1:9" ht="15" x14ac:dyDescent="0.25">
      <c r="A65" s="170"/>
      <c r="B65" s="329" t="s">
        <v>180</v>
      </c>
      <c r="C65" s="334">
        <f>SUM(C57:C64)</f>
        <v>15384604</v>
      </c>
      <c r="D65" s="330">
        <f>SUM(D57:D64)</f>
        <v>1500839</v>
      </c>
      <c r="E65" s="170"/>
      <c r="F65" s="334">
        <f>SUM(F57:F64)</f>
        <v>1415810</v>
      </c>
      <c r="G65" s="506">
        <f>SUM(G57:G64)</f>
        <v>86156</v>
      </c>
      <c r="H65" s="170"/>
      <c r="I65" s="17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6"/>
  <sheetViews>
    <sheetView zoomScaleNormal="100" workbookViewId="0">
      <pane ySplit="1" topLeftCell="A2" activePane="bottomLeft" state="frozen"/>
      <selection activeCell="C1" sqref="C1"/>
      <selection pane="bottomLeft" activeCell="C7" sqref="C7"/>
    </sheetView>
  </sheetViews>
  <sheetFormatPr defaultRowHeight="12.75" x14ac:dyDescent="0.2"/>
  <cols>
    <col min="1" max="1" width="17" style="348" customWidth="1"/>
    <col min="2" max="2" width="7.85546875" style="348" customWidth="1"/>
    <col min="3" max="3" width="55.5703125" style="348" bestFit="1" customWidth="1"/>
    <col min="4" max="4" width="22.7109375" style="348" customWidth="1"/>
    <col min="5" max="5" width="14.42578125" style="398" bestFit="1" customWidth="1"/>
    <col min="6" max="6" width="48.42578125" style="348" customWidth="1"/>
    <col min="7" max="7" width="13.28515625" style="398" bestFit="1" customWidth="1"/>
    <col min="8" max="8" width="5.85546875" style="321" customWidth="1"/>
    <col min="9" max="9" width="10.85546875" style="348" bestFit="1" customWidth="1"/>
    <col min="10" max="10" width="20" style="173" customWidth="1"/>
    <col min="11" max="16384" width="9.140625" style="348"/>
  </cols>
  <sheetData>
    <row r="1" spans="1:10" s="345" customFormat="1" ht="23.25" x14ac:dyDescent="0.35">
      <c r="A1" s="514" t="s">
        <v>91</v>
      </c>
      <c r="B1" s="514"/>
      <c r="C1" s="514"/>
      <c r="D1" s="514"/>
      <c r="E1" s="514"/>
      <c r="F1" s="514"/>
      <c r="G1" s="514"/>
      <c r="H1" s="514"/>
      <c r="I1" s="514"/>
      <c r="J1" s="514"/>
    </row>
    <row r="2" spans="1:10" ht="25.5" x14ac:dyDescent="0.2">
      <c r="A2" s="346" t="s">
        <v>89</v>
      </c>
      <c r="B2" s="14" t="s">
        <v>88</v>
      </c>
      <c r="C2" s="347" t="s">
        <v>0</v>
      </c>
      <c r="D2" s="347" t="s">
        <v>87</v>
      </c>
      <c r="E2" s="347" t="s">
        <v>1</v>
      </c>
      <c r="F2" s="347" t="s">
        <v>86</v>
      </c>
      <c r="G2" s="515" t="s">
        <v>85</v>
      </c>
      <c r="H2" s="516"/>
      <c r="I2" s="347" t="s">
        <v>84</v>
      </c>
      <c r="J2" s="347" t="s">
        <v>83</v>
      </c>
    </row>
    <row r="3" spans="1:10" s="359" customFormat="1" ht="25.5" x14ac:dyDescent="0.2">
      <c r="A3" s="349" t="s">
        <v>8</v>
      </c>
      <c r="B3" s="350">
        <v>2016</v>
      </c>
      <c r="C3" s="351" t="s">
        <v>657</v>
      </c>
      <c r="D3" s="352" t="s">
        <v>22</v>
      </c>
      <c r="E3" s="353">
        <v>1209000</v>
      </c>
      <c r="F3" s="354" t="s">
        <v>658</v>
      </c>
      <c r="G3" s="355">
        <v>600000</v>
      </c>
      <c r="H3" s="356"/>
      <c r="I3" s="357">
        <v>0</v>
      </c>
      <c r="J3" s="358">
        <v>42916</v>
      </c>
    </row>
    <row r="4" spans="1:10" s="359" customFormat="1" ht="25.5" x14ac:dyDescent="0.2">
      <c r="A4" s="349" t="s">
        <v>8</v>
      </c>
      <c r="B4" s="350">
        <v>2016</v>
      </c>
      <c r="C4" s="351" t="s">
        <v>659</v>
      </c>
      <c r="D4" s="352" t="s">
        <v>22</v>
      </c>
      <c r="E4" s="353">
        <v>850000</v>
      </c>
      <c r="F4" s="354" t="s">
        <v>658</v>
      </c>
      <c r="G4" s="355">
        <v>398500</v>
      </c>
      <c r="H4" s="356"/>
      <c r="I4" s="357">
        <v>0</v>
      </c>
      <c r="J4" s="358">
        <v>42916</v>
      </c>
    </row>
    <row r="5" spans="1:10" s="359" customFormat="1" ht="25.5" x14ac:dyDescent="0.2">
      <c r="A5" s="349" t="s">
        <v>8</v>
      </c>
      <c r="B5" s="350">
        <v>2016</v>
      </c>
      <c r="C5" s="351" t="s">
        <v>660</v>
      </c>
      <c r="D5" s="352" t="s">
        <v>22</v>
      </c>
      <c r="E5" s="353">
        <v>4321590</v>
      </c>
      <c r="F5" s="354" t="s">
        <v>658</v>
      </c>
      <c r="G5" s="355">
        <v>679699</v>
      </c>
      <c r="H5" s="356"/>
      <c r="I5" s="357">
        <v>0</v>
      </c>
      <c r="J5" s="358">
        <v>42916</v>
      </c>
    </row>
    <row r="6" spans="1:10" s="359" customFormat="1" ht="38.25" x14ac:dyDescent="0.2">
      <c r="A6" s="349" t="s">
        <v>8</v>
      </c>
      <c r="B6" s="350">
        <v>2016</v>
      </c>
      <c r="C6" s="351" t="s">
        <v>661</v>
      </c>
      <c r="D6" s="352" t="s">
        <v>662</v>
      </c>
      <c r="E6" s="353">
        <v>296400</v>
      </c>
      <c r="F6" s="354" t="s">
        <v>658</v>
      </c>
      <c r="G6" s="355">
        <v>222300</v>
      </c>
      <c r="H6" s="356"/>
      <c r="I6" s="357">
        <v>0</v>
      </c>
      <c r="J6" s="358">
        <v>42916</v>
      </c>
    </row>
    <row r="7" spans="1:10" s="359" customFormat="1" ht="38.25" x14ac:dyDescent="0.2">
      <c r="A7" s="349" t="s">
        <v>8</v>
      </c>
      <c r="B7" s="350">
        <v>2016</v>
      </c>
      <c r="C7" s="351" t="s">
        <v>663</v>
      </c>
      <c r="D7" s="352" t="s">
        <v>664</v>
      </c>
      <c r="E7" s="353">
        <v>1200100</v>
      </c>
      <c r="F7" s="354" t="s">
        <v>658</v>
      </c>
      <c r="G7" s="355">
        <v>749501</v>
      </c>
      <c r="H7" s="356"/>
      <c r="I7" s="357">
        <v>0</v>
      </c>
      <c r="J7" s="358">
        <v>42916</v>
      </c>
    </row>
    <row r="8" spans="1:10" s="359" customFormat="1" ht="25.5" x14ac:dyDescent="0.2">
      <c r="A8" s="349" t="s">
        <v>8</v>
      </c>
      <c r="B8" s="350">
        <v>2016</v>
      </c>
      <c r="C8" s="351" t="s">
        <v>665</v>
      </c>
      <c r="D8" s="352" t="s">
        <v>22</v>
      </c>
      <c r="E8" s="353">
        <v>1136000</v>
      </c>
      <c r="F8" s="354" t="s">
        <v>666</v>
      </c>
      <c r="G8" s="355">
        <v>750000</v>
      </c>
      <c r="H8" s="356"/>
      <c r="I8" s="357">
        <v>0</v>
      </c>
      <c r="J8" s="358">
        <v>42916</v>
      </c>
    </row>
    <row r="9" spans="1:10" s="359" customFormat="1" x14ac:dyDescent="0.2">
      <c r="A9" s="360"/>
      <c r="B9" s="361"/>
      <c r="C9" s="362"/>
      <c r="D9" s="362"/>
      <c r="E9" s="362"/>
      <c r="F9" s="362"/>
      <c r="G9" s="363"/>
      <c r="H9" s="364"/>
      <c r="I9" s="362"/>
      <c r="J9" s="362"/>
    </row>
    <row r="10" spans="1:10" s="359" customFormat="1" ht="38.25" x14ac:dyDescent="0.2">
      <c r="A10" s="365" t="s">
        <v>8</v>
      </c>
      <c r="B10" s="350">
        <v>2015</v>
      </c>
      <c r="C10" s="351" t="s">
        <v>562</v>
      </c>
      <c r="D10" s="352" t="s">
        <v>667</v>
      </c>
      <c r="E10" s="353">
        <v>2109860</v>
      </c>
      <c r="F10" s="354" t="s">
        <v>563</v>
      </c>
      <c r="G10" s="355">
        <v>782500</v>
      </c>
      <c r="H10" s="356"/>
      <c r="I10" s="357">
        <v>782500</v>
      </c>
      <c r="J10" s="366">
        <v>42061</v>
      </c>
    </row>
    <row r="11" spans="1:10" s="359" customFormat="1" ht="38.25" x14ac:dyDescent="0.2">
      <c r="A11" s="365" t="s">
        <v>8</v>
      </c>
      <c r="B11" s="350">
        <v>2015</v>
      </c>
      <c r="C11" s="351" t="s">
        <v>564</v>
      </c>
      <c r="D11" s="352" t="s">
        <v>589</v>
      </c>
      <c r="E11" s="353">
        <v>214542</v>
      </c>
      <c r="F11" s="354" t="s">
        <v>7</v>
      </c>
      <c r="G11" s="355">
        <v>160906</v>
      </c>
      <c r="H11" s="356"/>
      <c r="I11" s="357">
        <v>15088.04</v>
      </c>
      <c r="J11" s="366">
        <v>42916</v>
      </c>
    </row>
    <row r="12" spans="1:10" s="359" customFormat="1" ht="38.25" x14ac:dyDescent="0.2">
      <c r="A12" s="365" t="s">
        <v>8</v>
      </c>
      <c r="B12" s="350">
        <v>2015</v>
      </c>
      <c r="C12" s="351" t="s">
        <v>565</v>
      </c>
      <c r="D12" s="352" t="s">
        <v>668</v>
      </c>
      <c r="E12" s="353">
        <v>299250</v>
      </c>
      <c r="F12" s="354" t="s">
        <v>45</v>
      </c>
      <c r="G12" s="355">
        <v>224437</v>
      </c>
      <c r="H12" s="356"/>
      <c r="I12" s="357">
        <v>0</v>
      </c>
      <c r="J12" s="366">
        <v>42916</v>
      </c>
    </row>
    <row r="13" spans="1:10" s="359" customFormat="1" ht="38.25" x14ac:dyDescent="0.2">
      <c r="A13" s="365" t="s">
        <v>8</v>
      </c>
      <c r="B13" s="350">
        <v>2015</v>
      </c>
      <c r="C13" s="351" t="s">
        <v>566</v>
      </c>
      <c r="D13" s="352" t="s">
        <v>669</v>
      </c>
      <c r="E13" s="353">
        <v>1690000</v>
      </c>
      <c r="F13" s="354" t="s">
        <v>567</v>
      </c>
      <c r="G13" s="355">
        <v>340000</v>
      </c>
      <c r="H13" s="356"/>
      <c r="I13" s="357">
        <v>151890.70000000001</v>
      </c>
      <c r="J13" s="366">
        <v>42916</v>
      </c>
    </row>
    <row r="14" spans="1:10" s="359" customFormat="1" ht="38.25" x14ac:dyDescent="0.2">
      <c r="A14" s="365" t="s">
        <v>8</v>
      </c>
      <c r="B14" s="350">
        <v>2015</v>
      </c>
      <c r="C14" s="351" t="s">
        <v>568</v>
      </c>
      <c r="D14" s="352" t="s">
        <v>670</v>
      </c>
      <c r="E14" s="353">
        <v>605333</v>
      </c>
      <c r="F14" s="354" t="s">
        <v>7</v>
      </c>
      <c r="G14" s="355">
        <v>454000</v>
      </c>
      <c r="H14" s="356"/>
      <c r="I14" s="357">
        <v>256912.22</v>
      </c>
      <c r="J14" s="366">
        <v>42916</v>
      </c>
    </row>
    <row r="15" spans="1:10" s="359" customFormat="1" ht="38.25" x14ac:dyDescent="0.2">
      <c r="A15" s="365" t="s">
        <v>8</v>
      </c>
      <c r="B15" s="350">
        <v>2015</v>
      </c>
      <c r="C15" s="351" t="s">
        <v>569</v>
      </c>
      <c r="D15" s="352" t="s">
        <v>671</v>
      </c>
      <c r="E15" s="353">
        <v>395000</v>
      </c>
      <c r="F15" s="354" t="s">
        <v>76</v>
      </c>
      <c r="G15" s="355">
        <v>296250</v>
      </c>
      <c r="H15" s="356"/>
      <c r="I15" s="357">
        <v>91731.74</v>
      </c>
      <c r="J15" s="366">
        <v>42916</v>
      </c>
    </row>
    <row r="16" spans="1:10" s="367" customFormat="1" ht="38.25" x14ac:dyDescent="0.2">
      <c r="A16" s="365" t="s">
        <v>8</v>
      </c>
      <c r="B16" s="350">
        <v>2015</v>
      </c>
      <c r="C16" s="351" t="s">
        <v>570</v>
      </c>
      <c r="D16" s="352" t="s">
        <v>672</v>
      </c>
      <c r="E16" s="353">
        <v>1335000</v>
      </c>
      <c r="F16" s="354" t="s">
        <v>571</v>
      </c>
      <c r="G16" s="355">
        <v>775000</v>
      </c>
      <c r="H16" s="356"/>
      <c r="I16" s="357">
        <v>0</v>
      </c>
      <c r="J16" s="366">
        <v>42916</v>
      </c>
    </row>
    <row r="17" spans="1:13" s="367" customFormat="1" ht="38.25" x14ac:dyDescent="0.2">
      <c r="A17" s="365" t="s">
        <v>8</v>
      </c>
      <c r="B17" s="350">
        <v>2015</v>
      </c>
      <c r="C17" s="351" t="s">
        <v>673</v>
      </c>
      <c r="D17" s="352" t="s">
        <v>674</v>
      </c>
      <c r="E17" s="353">
        <v>1066590</v>
      </c>
      <c r="F17" s="354" t="s">
        <v>675</v>
      </c>
      <c r="G17" s="355">
        <v>500000</v>
      </c>
      <c r="H17" s="356" t="s">
        <v>676</v>
      </c>
      <c r="I17" s="357">
        <v>0</v>
      </c>
      <c r="J17" s="366">
        <v>42916</v>
      </c>
    </row>
    <row r="18" spans="1:13" s="359" customFormat="1" ht="38.25" x14ac:dyDescent="0.2">
      <c r="A18" s="365" t="s">
        <v>8</v>
      </c>
      <c r="B18" s="350">
        <v>2015</v>
      </c>
      <c r="C18" s="351" t="s">
        <v>572</v>
      </c>
      <c r="D18" s="352" t="s">
        <v>677</v>
      </c>
      <c r="E18" s="353">
        <v>862853</v>
      </c>
      <c r="F18" s="354" t="s">
        <v>573</v>
      </c>
      <c r="G18" s="355">
        <v>647140</v>
      </c>
      <c r="H18" s="356"/>
      <c r="I18" s="357">
        <v>20627.650000000001</v>
      </c>
      <c r="J18" s="366">
        <v>42916</v>
      </c>
    </row>
    <row r="19" spans="1:13" s="359" customFormat="1" ht="38.25" x14ac:dyDescent="0.2">
      <c r="A19" s="365" t="s">
        <v>8</v>
      </c>
      <c r="B19" s="350">
        <v>2015</v>
      </c>
      <c r="C19" s="351" t="s">
        <v>574</v>
      </c>
      <c r="D19" s="352" t="s">
        <v>678</v>
      </c>
      <c r="E19" s="353">
        <v>1369575</v>
      </c>
      <c r="F19" s="354" t="s">
        <v>575</v>
      </c>
      <c r="G19" s="355">
        <v>579074</v>
      </c>
      <c r="H19" s="356"/>
      <c r="I19" s="357">
        <v>0</v>
      </c>
      <c r="J19" s="366">
        <v>42916</v>
      </c>
    </row>
    <row r="20" spans="1:13" s="359" customFormat="1" ht="38.25" x14ac:dyDescent="0.2">
      <c r="A20" s="365" t="s">
        <v>8</v>
      </c>
      <c r="B20" s="350">
        <v>2015</v>
      </c>
      <c r="C20" s="351" t="s">
        <v>576</v>
      </c>
      <c r="D20" s="352" t="s">
        <v>679</v>
      </c>
      <c r="E20" s="353">
        <v>933333</v>
      </c>
      <c r="F20" s="354" t="s">
        <v>577</v>
      </c>
      <c r="G20" s="355">
        <v>700000</v>
      </c>
      <c r="H20" s="356"/>
      <c r="I20" s="357">
        <v>5350.69</v>
      </c>
      <c r="J20" s="366">
        <v>42916</v>
      </c>
    </row>
    <row r="21" spans="1:13" s="359" customFormat="1" ht="38.25" x14ac:dyDescent="0.2">
      <c r="A21" s="365" t="s">
        <v>8</v>
      </c>
      <c r="B21" s="350">
        <v>2015</v>
      </c>
      <c r="C21" s="351" t="s">
        <v>578</v>
      </c>
      <c r="D21" s="352" t="s">
        <v>680</v>
      </c>
      <c r="E21" s="353">
        <v>75000</v>
      </c>
      <c r="F21" s="354" t="s">
        <v>579</v>
      </c>
      <c r="G21" s="355">
        <v>55000</v>
      </c>
      <c r="H21" s="356"/>
      <c r="I21" s="357">
        <v>0</v>
      </c>
      <c r="J21" s="366">
        <v>42916</v>
      </c>
    </row>
    <row r="22" spans="1:13" s="359" customFormat="1" ht="38.25" x14ac:dyDescent="0.2">
      <c r="A22" s="365" t="s">
        <v>8</v>
      </c>
      <c r="B22" s="350">
        <v>2015</v>
      </c>
      <c r="C22" s="351" t="s">
        <v>580</v>
      </c>
      <c r="D22" s="352" t="s">
        <v>681</v>
      </c>
      <c r="E22" s="353">
        <v>3740000</v>
      </c>
      <c r="F22" s="354" t="s">
        <v>581</v>
      </c>
      <c r="G22" s="355">
        <v>500000</v>
      </c>
      <c r="H22" s="356" t="s">
        <v>676</v>
      </c>
      <c r="I22" s="357">
        <v>0</v>
      </c>
      <c r="J22" s="366">
        <v>42916</v>
      </c>
    </row>
    <row r="23" spans="1:13" s="359" customFormat="1" x14ac:dyDescent="0.2">
      <c r="A23" s="360"/>
      <c r="B23" s="368">
        <v>2014</v>
      </c>
      <c r="C23" s="362"/>
      <c r="D23" s="369"/>
      <c r="E23" s="369"/>
      <c r="F23" s="369"/>
      <c r="G23" s="369"/>
      <c r="H23" s="370" t="e">
        <f>SUM(#REF!)</f>
        <v>#REF!</v>
      </c>
      <c r="I23" s="369"/>
      <c r="J23" s="370" t="e">
        <f>SUM(#REF!)</f>
        <v>#REF!</v>
      </c>
    </row>
    <row r="24" spans="1:13" s="371" customFormat="1" ht="38.25" x14ac:dyDescent="0.2">
      <c r="A24" s="365" t="s">
        <v>8</v>
      </c>
      <c r="B24" s="350">
        <v>2014</v>
      </c>
      <c r="C24" s="351" t="s">
        <v>582</v>
      </c>
      <c r="D24" s="352" t="s">
        <v>583</v>
      </c>
      <c r="E24" s="353">
        <v>3065000</v>
      </c>
      <c r="F24" s="354" t="s">
        <v>474</v>
      </c>
      <c r="G24" s="355">
        <v>782500</v>
      </c>
      <c r="H24" s="356"/>
      <c r="I24" s="357">
        <v>782500</v>
      </c>
      <c r="J24" s="366">
        <v>41760</v>
      </c>
    </row>
    <row r="25" spans="1:13" s="359" customFormat="1" ht="38.25" x14ac:dyDescent="0.2">
      <c r="A25" s="365" t="s">
        <v>8</v>
      </c>
      <c r="B25" s="350">
        <v>2014</v>
      </c>
      <c r="C25" s="351" t="s">
        <v>475</v>
      </c>
      <c r="D25" s="352" t="s">
        <v>584</v>
      </c>
      <c r="E25" s="353">
        <v>722275</v>
      </c>
      <c r="F25" s="354" t="s">
        <v>476</v>
      </c>
      <c r="G25" s="355">
        <v>260774</v>
      </c>
      <c r="H25" s="356"/>
      <c r="I25" s="357">
        <v>247735.3</v>
      </c>
      <c r="J25" s="358">
        <v>42916</v>
      </c>
      <c r="K25" s="372"/>
      <c r="L25" s="367"/>
      <c r="M25" s="367"/>
    </row>
    <row r="26" spans="1:13" s="367" customFormat="1" ht="38.25" x14ac:dyDescent="0.2">
      <c r="A26" s="373" t="s">
        <v>8</v>
      </c>
      <c r="B26" s="350">
        <v>2014</v>
      </c>
      <c r="C26" s="351" t="s">
        <v>477</v>
      </c>
      <c r="D26" s="352" t="s">
        <v>585</v>
      </c>
      <c r="E26" s="353">
        <v>1604512</v>
      </c>
      <c r="F26" s="354" t="s">
        <v>478</v>
      </c>
      <c r="G26" s="355">
        <v>380265</v>
      </c>
      <c r="H26" s="356"/>
      <c r="I26" s="357">
        <v>38559.82</v>
      </c>
      <c r="J26" s="358">
        <v>42916</v>
      </c>
      <c r="K26" s="374"/>
      <c r="L26" s="375"/>
      <c r="M26" s="375"/>
    </row>
    <row r="27" spans="1:13" s="367" customFormat="1" ht="38.25" x14ac:dyDescent="0.2">
      <c r="A27" s="365" t="s">
        <v>8</v>
      </c>
      <c r="B27" s="350">
        <v>2014</v>
      </c>
      <c r="C27" s="351" t="s">
        <v>479</v>
      </c>
      <c r="D27" s="352" t="s">
        <v>480</v>
      </c>
      <c r="E27" s="353">
        <v>650000</v>
      </c>
      <c r="F27" s="354" t="s">
        <v>481</v>
      </c>
      <c r="G27" s="355">
        <v>487500</v>
      </c>
      <c r="H27" s="356"/>
      <c r="I27" s="357">
        <v>0</v>
      </c>
      <c r="J27" s="358">
        <v>42916</v>
      </c>
      <c r="K27" s="375"/>
      <c r="L27" s="375"/>
      <c r="M27" s="375"/>
    </row>
    <row r="28" spans="1:13" s="367" customFormat="1" ht="38.25" x14ac:dyDescent="0.2">
      <c r="A28" s="365" t="s">
        <v>8</v>
      </c>
      <c r="B28" s="350">
        <v>2014</v>
      </c>
      <c r="C28" s="351" t="s">
        <v>482</v>
      </c>
      <c r="D28" s="352" t="s">
        <v>586</v>
      </c>
      <c r="E28" s="353">
        <v>1375694</v>
      </c>
      <c r="F28" s="354" t="s">
        <v>483</v>
      </c>
      <c r="G28" s="355">
        <v>775000</v>
      </c>
      <c r="H28" s="356"/>
      <c r="I28" s="357">
        <v>755832.36</v>
      </c>
      <c r="J28" s="358">
        <v>42916</v>
      </c>
    </row>
    <row r="29" spans="1:13" s="367" customFormat="1" ht="38.25" x14ac:dyDescent="0.2">
      <c r="A29" s="365" t="s">
        <v>8</v>
      </c>
      <c r="B29" s="350">
        <v>2014</v>
      </c>
      <c r="C29" s="351" t="s">
        <v>484</v>
      </c>
      <c r="D29" s="352" t="s">
        <v>682</v>
      </c>
      <c r="E29" s="353">
        <v>1017000</v>
      </c>
      <c r="F29" s="354" t="s">
        <v>485</v>
      </c>
      <c r="G29" s="355">
        <v>318644</v>
      </c>
      <c r="H29" s="356"/>
      <c r="I29" s="357">
        <v>302711.8</v>
      </c>
      <c r="J29" s="358">
        <v>42916</v>
      </c>
    </row>
    <row r="30" spans="1:13" s="367" customFormat="1" ht="38.25" x14ac:dyDescent="0.2">
      <c r="A30" s="365" t="s">
        <v>8</v>
      </c>
      <c r="B30" s="350">
        <v>2014</v>
      </c>
      <c r="C30" s="351" t="s">
        <v>486</v>
      </c>
      <c r="D30" s="352" t="s">
        <v>587</v>
      </c>
      <c r="E30" s="353">
        <v>521479</v>
      </c>
      <c r="F30" s="354" t="s">
        <v>487</v>
      </c>
      <c r="G30" s="355">
        <v>371479</v>
      </c>
      <c r="H30" s="356"/>
      <c r="I30" s="357">
        <v>329145.53000000003</v>
      </c>
      <c r="J30" s="358">
        <v>42916</v>
      </c>
      <c r="K30" s="374"/>
      <c r="L30" s="375"/>
      <c r="M30" s="375"/>
    </row>
    <row r="31" spans="1:13" s="367" customFormat="1" ht="38.25" x14ac:dyDescent="0.2">
      <c r="A31" s="365" t="s">
        <v>8</v>
      </c>
      <c r="B31" s="350">
        <v>2014</v>
      </c>
      <c r="C31" s="351" t="s">
        <v>488</v>
      </c>
      <c r="D31" s="352" t="s">
        <v>489</v>
      </c>
      <c r="E31" s="353">
        <v>290000</v>
      </c>
      <c r="F31" s="354" t="s">
        <v>490</v>
      </c>
      <c r="G31" s="355">
        <v>92897</v>
      </c>
      <c r="H31" s="356"/>
      <c r="I31" s="357">
        <v>7427.07</v>
      </c>
      <c r="J31" s="358">
        <v>42916</v>
      </c>
      <c r="K31" s="375"/>
      <c r="L31" s="375"/>
      <c r="M31" s="375"/>
    </row>
    <row r="32" spans="1:13" s="367" customFormat="1" x14ac:dyDescent="0.2">
      <c r="A32" s="360"/>
      <c r="B32" s="368">
        <v>2014</v>
      </c>
      <c r="C32" s="362"/>
      <c r="D32" s="369"/>
      <c r="E32" s="369"/>
      <c r="F32" s="369"/>
      <c r="G32" s="369"/>
      <c r="H32" s="370" t="e">
        <f>SUM(#REF!)</f>
        <v>#REF!</v>
      </c>
      <c r="I32" s="369"/>
      <c r="J32" s="370" t="e">
        <f>SUM(#REF!)</f>
        <v>#REF!</v>
      </c>
    </row>
    <row r="33" spans="1:13" s="367" customFormat="1" ht="38.25" x14ac:dyDescent="0.2">
      <c r="A33" s="365" t="s">
        <v>8</v>
      </c>
      <c r="B33" s="376">
        <v>2013</v>
      </c>
      <c r="C33" s="354" t="s">
        <v>162</v>
      </c>
      <c r="D33" s="352" t="s">
        <v>683</v>
      </c>
      <c r="E33" s="353">
        <v>125800</v>
      </c>
      <c r="F33" s="354" t="s">
        <v>152</v>
      </c>
      <c r="G33" s="355">
        <v>78000</v>
      </c>
      <c r="H33" s="377"/>
      <c r="I33" s="357">
        <v>78000</v>
      </c>
      <c r="J33" s="366">
        <v>42233</v>
      </c>
    </row>
    <row r="34" spans="1:13" s="367" customFormat="1" ht="38.25" x14ac:dyDescent="0.2">
      <c r="A34" s="365" t="s">
        <v>8</v>
      </c>
      <c r="B34" s="376">
        <v>2013</v>
      </c>
      <c r="C34" s="354" t="s">
        <v>135</v>
      </c>
      <c r="D34" s="352" t="s">
        <v>684</v>
      </c>
      <c r="E34" s="353">
        <v>535544</v>
      </c>
      <c r="F34" s="354" t="s">
        <v>153</v>
      </c>
      <c r="G34" s="355">
        <v>400000</v>
      </c>
      <c r="H34" s="377"/>
      <c r="I34" s="357">
        <v>400000</v>
      </c>
      <c r="J34" s="366">
        <v>42130</v>
      </c>
    </row>
    <row r="35" spans="1:13" s="367" customFormat="1" ht="51" x14ac:dyDescent="0.2">
      <c r="A35" s="365" t="s">
        <v>8</v>
      </c>
      <c r="B35" s="376">
        <v>2013</v>
      </c>
      <c r="C35" s="354" t="s">
        <v>163</v>
      </c>
      <c r="D35" s="352" t="s">
        <v>491</v>
      </c>
      <c r="E35" s="353">
        <v>1190931</v>
      </c>
      <c r="F35" s="354" t="s">
        <v>157</v>
      </c>
      <c r="G35" s="355">
        <v>700000</v>
      </c>
      <c r="H35" s="377"/>
      <c r="I35" s="353">
        <v>687574</v>
      </c>
      <c r="J35" s="358">
        <v>42916</v>
      </c>
      <c r="K35" s="374"/>
      <c r="L35" s="375"/>
      <c r="M35" s="375"/>
    </row>
    <row r="36" spans="1:13" s="367" customFormat="1" ht="38.25" x14ac:dyDescent="0.2">
      <c r="A36" s="365" t="s">
        <v>8</v>
      </c>
      <c r="B36" s="376">
        <v>2013</v>
      </c>
      <c r="C36" s="354" t="s">
        <v>140</v>
      </c>
      <c r="D36" s="352" t="s">
        <v>589</v>
      </c>
      <c r="E36" s="353">
        <v>2100000</v>
      </c>
      <c r="F36" s="354" t="s">
        <v>158</v>
      </c>
      <c r="G36" s="355">
        <v>441000</v>
      </c>
      <c r="H36" s="377"/>
      <c r="I36" s="353">
        <v>0</v>
      </c>
      <c r="J36" s="358">
        <v>42916</v>
      </c>
      <c r="K36" s="374"/>
      <c r="L36" s="375"/>
      <c r="M36" s="375"/>
    </row>
    <row r="37" spans="1:13" s="367" customFormat="1" ht="38.25" x14ac:dyDescent="0.2">
      <c r="A37" s="365" t="s">
        <v>8</v>
      </c>
      <c r="B37" s="376">
        <v>2013</v>
      </c>
      <c r="C37" s="354" t="s">
        <v>136</v>
      </c>
      <c r="D37" s="352" t="s">
        <v>588</v>
      </c>
      <c r="E37" s="353">
        <v>227333</v>
      </c>
      <c r="F37" s="354" t="s">
        <v>154</v>
      </c>
      <c r="G37" s="355">
        <v>170500</v>
      </c>
      <c r="H37" s="377"/>
      <c r="I37" s="353">
        <v>161975</v>
      </c>
      <c r="J37" s="358">
        <v>42916</v>
      </c>
      <c r="K37" s="374"/>
      <c r="L37" s="375"/>
      <c r="M37" s="375"/>
    </row>
    <row r="38" spans="1:13" s="367" customFormat="1" ht="38.25" x14ac:dyDescent="0.2">
      <c r="A38" s="365" t="s">
        <v>8</v>
      </c>
      <c r="B38" s="376">
        <v>2013</v>
      </c>
      <c r="C38" s="354" t="s">
        <v>137</v>
      </c>
      <c r="D38" s="352" t="s">
        <v>590</v>
      </c>
      <c r="E38" s="353">
        <v>984400</v>
      </c>
      <c r="F38" s="354" t="s">
        <v>155</v>
      </c>
      <c r="G38" s="355">
        <v>300000</v>
      </c>
      <c r="H38" s="377"/>
      <c r="I38" s="353">
        <v>0</v>
      </c>
      <c r="J38" s="358">
        <v>42916</v>
      </c>
      <c r="K38" s="374"/>
      <c r="L38" s="375"/>
      <c r="M38" s="375"/>
    </row>
    <row r="39" spans="1:13" s="367" customFormat="1" ht="38.25" x14ac:dyDescent="0.2">
      <c r="A39" s="365" t="s">
        <v>8</v>
      </c>
      <c r="B39" s="376">
        <v>2013</v>
      </c>
      <c r="C39" s="354" t="s">
        <v>138</v>
      </c>
      <c r="D39" s="352" t="s">
        <v>591</v>
      </c>
      <c r="E39" s="353">
        <v>1007592</v>
      </c>
      <c r="F39" s="354" t="s">
        <v>685</v>
      </c>
      <c r="G39" s="355">
        <v>755694</v>
      </c>
      <c r="H39" s="377"/>
      <c r="I39" s="353">
        <v>86160.84</v>
      </c>
      <c r="J39" s="358">
        <v>42916</v>
      </c>
      <c r="K39" s="374"/>
      <c r="L39" s="375"/>
      <c r="M39" s="375"/>
    </row>
    <row r="40" spans="1:13" s="367" customFormat="1" ht="38.25" x14ac:dyDescent="0.2">
      <c r="A40" s="365" t="s">
        <v>8</v>
      </c>
      <c r="B40" s="376">
        <v>2013</v>
      </c>
      <c r="C40" s="354" t="s">
        <v>139</v>
      </c>
      <c r="D40" s="352" t="s">
        <v>492</v>
      </c>
      <c r="E40" s="353">
        <v>354000</v>
      </c>
      <c r="F40" s="354" t="s">
        <v>45</v>
      </c>
      <c r="G40" s="355">
        <v>204000</v>
      </c>
      <c r="H40" s="377"/>
      <c r="I40" s="353">
        <v>0</v>
      </c>
      <c r="J40" s="358">
        <v>42916</v>
      </c>
      <c r="K40" s="374"/>
      <c r="L40" s="375"/>
      <c r="M40" s="375"/>
    </row>
    <row r="41" spans="1:13" s="367" customFormat="1" x14ac:dyDescent="0.2">
      <c r="A41" s="369"/>
      <c r="B41" s="369"/>
      <c r="C41" s="369"/>
      <c r="D41" s="369"/>
      <c r="E41" s="370" t="e">
        <f>SUM(#REF!)</f>
        <v>#REF!</v>
      </c>
      <c r="F41" s="369"/>
      <c r="G41" s="370" t="e">
        <f>SUM(#REF!)</f>
        <v>#REF!</v>
      </c>
      <c r="H41" s="378"/>
      <c r="I41" s="369"/>
      <c r="J41" s="369"/>
      <c r="K41" s="374"/>
      <c r="L41" s="375"/>
      <c r="M41" s="375"/>
    </row>
    <row r="42" spans="1:13" s="367" customFormat="1" ht="38.25" x14ac:dyDescent="0.2">
      <c r="A42" s="365" t="s">
        <v>8</v>
      </c>
      <c r="B42" s="376">
        <v>2012</v>
      </c>
      <c r="C42" s="379" t="s">
        <v>159</v>
      </c>
      <c r="D42" s="352" t="s">
        <v>686</v>
      </c>
      <c r="E42" s="380">
        <v>506100</v>
      </c>
      <c r="F42" s="354" t="s">
        <v>687</v>
      </c>
      <c r="G42" s="381">
        <v>100000</v>
      </c>
      <c r="H42" s="377"/>
      <c r="I42" s="353">
        <v>0</v>
      </c>
      <c r="J42" s="366">
        <v>42916</v>
      </c>
      <c r="K42" s="374"/>
      <c r="L42" s="375"/>
      <c r="M42" s="375"/>
    </row>
    <row r="43" spans="1:13" s="367" customFormat="1" ht="38.25" x14ac:dyDescent="0.2">
      <c r="A43" s="365" t="s">
        <v>92</v>
      </c>
      <c r="B43" s="376">
        <v>2012</v>
      </c>
      <c r="C43" s="379" t="s">
        <v>93</v>
      </c>
      <c r="D43" s="352" t="s">
        <v>149</v>
      </c>
      <c r="E43" s="380">
        <v>80000</v>
      </c>
      <c r="F43" s="354" t="s">
        <v>94</v>
      </c>
      <c r="G43" s="381">
        <v>60000</v>
      </c>
      <c r="H43" s="377"/>
      <c r="I43" s="353">
        <v>0</v>
      </c>
      <c r="J43" s="358">
        <v>42916</v>
      </c>
      <c r="K43" s="374"/>
      <c r="L43" s="375"/>
      <c r="M43" s="375"/>
    </row>
    <row r="44" spans="1:13" s="367" customFormat="1" ht="38.25" x14ac:dyDescent="0.2">
      <c r="A44" s="365" t="s">
        <v>92</v>
      </c>
      <c r="B44" s="376">
        <v>2012</v>
      </c>
      <c r="C44" s="379" t="s">
        <v>95</v>
      </c>
      <c r="D44" s="352" t="s">
        <v>493</v>
      </c>
      <c r="E44" s="380">
        <v>562500</v>
      </c>
      <c r="F44" s="354" t="s">
        <v>688</v>
      </c>
      <c r="G44" s="381">
        <v>108500</v>
      </c>
      <c r="H44" s="377"/>
      <c r="I44" s="353">
        <v>16921.02</v>
      </c>
      <c r="J44" s="358">
        <v>42916</v>
      </c>
      <c r="K44" s="374"/>
      <c r="L44" s="375"/>
      <c r="M44" s="375"/>
    </row>
    <row r="45" spans="1:13" s="367" customFormat="1" ht="51" x14ac:dyDescent="0.2">
      <c r="A45" s="365" t="s">
        <v>96</v>
      </c>
      <c r="B45" s="376">
        <v>2012</v>
      </c>
      <c r="C45" s="379" t="s">
        <v>592</v>
      </c>
      <c r="D45" s="352" t="s">
        <v>494</v>
      </c>
      <c r="E45" s="380">
        <v>3612516</v>
      </c>
      <c r="F45" s="354" t="s">
        <v>97</v>
      </c>
      <c r="G45" s="381">
        <v>396516</v>
      </c>
      <c r="H45" s="377" t="s">
        <v>495</v>
      </c>
      <c r="I45" s="353" t="s">
        <v>90</v>
      </c>
      <c r="J45" s="366" t="s">
        <v>29</v>
      </c>
      <c r="K45" s="374"/>
      <c r="L45" s="375"/>
      <c r="M45" s="375"/>
    </row>
    <row r="46" spans="1:13" s="367" customFormat="1" ht="38.25" x14ac:dyDescent="0.2">
      <c r="A46" s="365" t="s">
        <v>98</v>
      </c>
      <c r="B46" s="376">
        <v>2012</v>
      </c>
      <c r="C46" s="379" t="s">
        <v>99</v>
      </c>
      <c r="D46" s="352" t="s">
        <v>689</v>
      </c>
      <c r="E46" s="380">
        <v>10891016</v>
      </c>
      <c r="F46" s="354" t="s">
        <v>496</v>
      </c>
      <c r="G46" s="381">
        <v>753750</v>
      </c>
      <c r="H46" s="377"/>
      <c r="I46" s="353">
        <v>753750</v>
      </c>
      <c r="J46" s="366">
        <v>42311</v>
      </c>
      <c r="K46" s="374"/>
      <c r="L46" s="375"/>
      <c r="M46" s="375"/>
    </row>
    <row r="47" spans="1:13" s="367" customFormat="1" ht="38.25" x14ac:dyDescent="0.2">
      <c r="A47" s="365" t="s">
        <v>100</v>
      </c>
      <c r="B47" s="376">
        <v>2012</v>
      </c>
      <c r="C47" s="379" t="s">
        <v>101</v>
      </c>
      <c r="D47" s="352" t="s">
        <v>497</v>
      </c>
      <c r="E47" s="380">
        <v>165500</v>
      </c>
      <c r="F47" s="354" t="s">
        <v>102</v>
      </c>
      <c r="G47" s="381">
        <v>115850</v>
      </c>
      <c r="H47" s="377"/>
      <c r="I47" s="353">
        <v>115850</v>
      </c>
      <c r="J47" s="366">
        <v>41555</v>
      </c>
    </row>
    <row r="48" spans="1:13" s="367" customFormat="1" ht="38.25" x14ac:dyDescent="0.2">
      <c r="A48" s="365" t="s">
        <v>103</v>
      </c>
      <c r="B48" s="376">
        <v>2012</v>
      </c>
      <c r="C48" s="379" t="s">
        <v>104</v>
      </c>
      <c r="D48" s="352" t="s">
        <v>145</v>
      </c>
      <c r="E48" s="380">
        <v>586570</v>
      </c>
      <c r="F48" s="354" t="s">
        <v>105</v>
      </c>
      <c r="G48" s="381">
        <v>439920</v>
      </c>
      <c r="H48" s="377"/>
      <c r="I48" s="353">
        <v>368689.37</v>
      </c>
      <c r="J48" s="358">
        <v>42916</v>
      </c>
      <c r="K48" s="374"/>
      <c r="L48" s="375"/>
      <c r="M48" s="375"/>
    </row>
    <row r="49" spans="1:13" s="367" customFormat="1" ht="38.25" x14ac:dyDescent="0.2">
      <c r="A49" s="365" t="s">
        <v>106</v>
      </c>
      <c r="B49" s="376">
        <v>2012</v>
      </c>
      <c r="C49" s="379" t="s">
        <v>107</v>
      </c>
      <c r="D49" s="352" t="s">
        <v>690</v>
      </c>
      <c r="E49" s="380">
        <v>626349</v>
      </c>
      <c r="F49" s="354" t="s">
        <v>108</v>
      </c>
      <c r="G49" s="381">
        <v>211500</v>
      </c>
      <c r="H49" s="377"/>
      <c r="I49" s="353">
        <v>199354.37</v>
      </c>
      <c r="J49" s="366">
        <v>42171</v>
      </c>
      <c r="K49" s="382"/>
      <c r="L49" s="382"/>
      <c r="M49" s="382"/>
    </row>
    <row r="50" spans="1:13" s="367" customFormat="1" ht="38.25" x14ac:dyDescent="0.2">
      <c r="A50" s="365" t="s">
        <v>109</v>
      </c>
      <c r="B50" s="376">
        <v>2012</v>
      </c>
      <c r="C50" s="379" t="s">
        <v>110</v>
      </c>
      <c r="D50" s="352" t="s">
        <v>593</v>
      </c>
      <c r="E50" s="380">
        <v>350000</v>
      </c>
      <c r="F50" s="354" t="s">
        <v>76</v>
      </c>
      <c r="G50" s="381">
        <v>262500</v>
      </c>
      <c r="H50" s="377"/>
      <c r="I50" s="353">
        <v>262500</v>
      </c>
      <c r="J50" s="366">
        <v>41988</v>
      </c>
    </row>
    <row r="51" spans="1:13" s="367" customFormat="1" ht="38.25" x14ac:dyDescent="0.2">
      <c r="A51" s="365" t="s">
        <v>111</v>
      </c>
      <c r="B51" s="376">
        <v>2012</v>
      </c>
      <c r="C51" s="379" t="s">
        <v>112</v>
      </c>
      <c r="D51" s="352" t="s">
        <v>594</v>
      </c>
      <c r="E51" s="380">
        <v>2400000</v>
      </c>
      <c r="F51" s="354" t="s">
        <v>113</v>
      </c>
      <c r="G51" s="381">
        <v>181464</v>
      </c>
      <c r="H51" s="377"/>
      <c r="I51" s="353">
        <v>121501.77</v>
      </c>
      <c r="J51" s="358">
        <v>42916</v>
      </c>
    </row>
    <row r="52" spans="1:13" s="367" customFormat="1" ht="38.25" x14ac:dyDescent="0.2">
      <c r="A52" s="365" t="s">
        <v>114</v>
      </c>
      <c r="B52" s="376">
        <v>2012</v>
      </c>
      <c r="C52" s="379" t="s">
        <v>115</v>
      </c>
      <c r="D52" s="352" t="s">
        <v>595</v>
      </c>
      <c r="E52" s="380">
        <v>880576</v>
      </c>
      <c r="F52" s="354" t="s">
        <v>116</v>
      </c>
      <c r="G52" s="381">
        <v>250000</v>
      </c>
      <c r="H52" s="377"/>
      <c r="I52" s="353">
        <v>0</v>
      </c>
      <c r="J52" s="358">
        <v>42916</v>
      </c>
    </row>
    <row r="53" spans="1:13" s="367" customFormat="1" ht="38.25" x14ac:dyDescent="0.2">
      <c r="A53" s="365" t="s">
        <v>117</v>
      </c>
      <c r="B53" s="376">
        <v>2012</v>
      </c>
      <c r="C53" s="379" t="s">
        <v>118</v>
      </c>
      <c r="D53" s="352" t="s">
        <v>691</v>
      </c>
      <c r="E53" s="380">
        <v>160000</v>
      </c>
      <c r="F53" s="354" t="s">
        <v>119</v>
      </c>
      <c r="G53" s="381">
        <v>120000</v>
      </c>
      <c r="H53" s="377"/>
      <c r="I53" s="353">
        <v>120000</v>
      </c>
      <c r="J53" s="366">
        <v>42067</v>
      </c>
    </row>
    <row r="54" spans="1:13" s="367" customFormat="1" x14ac:dyDescent="0.2">
      <c r="A54" s="369"/>
      <c r="B54" s="369"/>
      <c r="C54" s="369"/>
      <c r="D54" s="369"/>
      <c r="E54" s="383" t="e">
        <f>SUM(#REF!)</f>
        <v>#REF!</v>
      </c>
      <c r="F54" s="369"/>
      <c r="G54" s="370">
        <f>SUM(G42:G53)</f>
        <v>3000000</v>
      </c>
      <c r="H54" s="378"/>
      <c r="I54" s="369"/>
      <c r="J54" s="369"/>
    </row>
    <row r="55" spans="1:13" s="367" customFormat="1" ht="38.25" x14ac:dyDescent="0.2">
      <c r="A55" s="365" t="s">
        <v>8</v>
      </c>
      <c r="B55" s="376">
        <v>2010</v>
      </c>
      <c r="C55" s="354" t="s">
        <v>82</v>
      </c>
      <c r="D55" s="352" t="s">
        <v>596</v>
      </c>
      <c r="E55" s="353">
        <v>7245382</v>
      </c>
      <c r="F55" s="354" t="s">
        <v>81</v>
      </c>
      <c r="G55" s="355">
        <v>750000</v>
      </c>
      <c r="H55" s="377"/>
      <c r="I55" s="353">
        <v>0</v>
      </c>
      <c r="J55" s="358">
        <v>42916</v>
      </c>
    </row>
    <row r="56" spans="1:13" s="367" customFormat="1" ht="38.25" x14ac:dyDescent="0.2">
      <c r="A56" s="365" t="s">
        <v>8</v>
      </c>
      <c r="B56" s="376">
        <v>2010</v>
      </c>
      <c r="C56" s="354" t="s">
        <v>80</v>
      </c>
      <c r="D56" s="352" t="s">
        <v>498</v>
      </c>
      <c r="E56" s="353">
        <v>2658938</v>
      </c>
      <c r="F56" s="354" t="s">
        <v>79</v>
      </c>
      <c r="G56" s="355">
        <v>250000</v>
      </c>
      <c r="H56" s="377"/>
      <c r="I56" s="353">
        <v>250000</v>
      </c>
      <c r="J56" s="366">
        <v>41182</v>
      </c>
    </row>
    <row r="57" spans="1:13" s="367" customFormat="1" ht="38.25" x14ac:dyDescent="0.2">
      <c r="A57" s="365" t="s">
        <v>8</v>
      </c>
      <c r="B57" s="376">
        <v>2010</v>
      </c>
      <c r="C57" s="354" t="s">
        <v>78</v>
      </c>
      <c r="D57" s="352" t="s">
        <v>146</v>
      </c>
      <c r="E57" s="353">
        <f>1426504.65+511493.03</f>
        <v>1937997.68</v>
      </c>
      <c r="F57" s="354" t="s">
        <v>692</v>
      </c>
      <c r="G57" s="355">
        <v>73474</v>
      </c>
      <c r="H57" s="377" t="s">
        <v>30</v>
      </c>
      <c r="I57" s="353">
        <v>73474</v>
      </c>
      <c r="J57" s="366">
        <v>42016</v>
      </c>
    </row>
    <row r="58" spans="1:13" s="367" customFormat="1" ht="38.25" x14ac:dyDescent="0.2">
      <c r="A58" s="365" t="s">
        <v>8</v>
      </c>
      <c r="B58" s="376">
        <v>2010</v>
      </c>
      <c r="C58" s="354" t="s">
        <v>77</v>
      </c>
      <c r="D58" s="352" t="s">
        <v>161</v>
      </c>
      <c r="E58" s="353">
        <v>350000</v>
      </c>
      <c r="F58" s="354" t="s">
        <v>76</v>
      </c>
      <c r="G58" s="355">
        <v>262500</v>
      </c>
      <c r="H58" s="377"/>
      <c r="I58" s="353">
        <v>262500</v>
      </c>
      <c r="J58" s="366">
        <v>41246</v>
      </c>
    </row>
    <row r="59" spans="1:13" s="367" customFormat="1" ht="38.25" x14ac:dyDescent="0.2">
      <c r="A59" s="365" t="s">
        <v>8</v>
      </c>
      <c r="B59" s="376">
        <v>2010</v>
      </c>
      <c r="C59" s="354" t="s">
        <v>75</v>
      </c>
      <c r="D59" s="352" t="s">
        <v>146</v>
      </c>
      <c r="E59" s="353">
        <v>375000</v>
      </c>
      <c r="F59" s="354" t="s">
        <v>74</v>
      </c>
      <c r="G59" s="355">
        <v>281000</v>
      </c>
      <c r="H59" s="377" t="s">
        <v>30</v>
      </c>
      <c r="I59" s="353">
        <v>180059.72</v>
      </c>
      <c r="J59" s="366">
        <v>41127</v>
      </c>
    </row>
    <row r="60" spans="1:13" s="367" customFormat="1" ht="38.25" x14ac:dyDescent="0.2">
      <c r="A60" s="365" t="s">
        <v>8</v>
      </c>
      <c r="B60" s="376">
        <v>2010</v>
      </c>
      <c r="C60" s="354" t="s">
        <v>73</v>
      </c>
      <c r="D60" s="352" t="s">
        <v>499</v>
      </c>
      <c r="E60" s="353">
        <v>1600000</v>
      </c>
      <c r="F60" s="354" t="s">
        <v>72</v>
      </c>
      <c r="G60" s="355">
        <v>128000</v>
      </c>
      <c r="H60" s="377" t="s">
        <v>30</v>
      </c>
      <c r="I60" s="353">
        <v>128000</v>
      </c>
      <c r="J60" s="366">
        <v>41493</v>
      </c>
    </row>
    <row r="61" spans="1:13" s="367" customFormat="1" ht="38.25" x14ac:dyDescent="0.2">
      <c r="A61" s="365" t="s">
        <v>8</v>
      </c>
      <c r="B61" s="376">
        <v>2010</v>
      </c>
      <c r="C61" s="354" t="s">
        <v>71</v>
      </c>
      <c r="D61" s="352" t="s">
        <v>501</v>
      </c>
      <c r="E61" s="353">
        <v>666667</v>
      </c>
      <c r="F61" s="354" t="s">
        <v>70</v>
      </c>
      <c r="G61" s="355">
        <v>500000</v>
      </c>
      <c r="H61" s="377" t="s">
        <v>13</v>
      </c>
      <c r="I61" s="353">
        <v>500000</v>
      </c>
      <c r="J61" s="366">
        <v>41148</v>
      </c>
    </row>
    <row r="62" spans="1:13" s="367" customFormat="1" ht="38.25" x14ac:dyDescent="0.2">
      <c r="A62" s="365" t="s">
        <v>8</v>
      </c>
      <c r="B62" s="376">
        <v>2010</v>
      </c>
      <c r="C62" s="354" t="s">
        <v>69</v>
      </c>
      <c r="D62" s="352" t="s">
        <v>500</v>
      </c>
      <c r="E62" s="353">
        <v>1000000</v>
      </c>
      <c r="F62" s="354" t="s">
        <v>68</v>
      </c>
      <c r="G62" s="355">
        <v>750000</v>
      </c>
      <c r="H62" s="377" t="s">
        <v>13</v>
      </c>
      <c r="I62" s="353">
        <v>750000</v>
      </c>
      <c r="J62" s="366">
        <v>41379</v>
      </c>
    </row>
    <row r="63" spans="1:13" s="367" customFormat="1" ht="204" x14ac:dyDescent="0.2">
      <c r="A63" s="365" t="s">
        <v>8</v>
      </c>
      <c r="B63" s="376">
        <v>2010</v>
      </c>
      <c r="C63" s="354" t="s">
        <v>150</v>
      </c>
      <c r="D63" s="352" t="s">
        <v>151</v>
      </c>
      <c r="E63" s="353">
        <v>6655696</v>
      </c>
      <c r="F63" s="354" t="s">
        <v>160</v>
      </c>
      <c r="G63" s="355">
        <v>484995</v>
      </c>
      <c r="H63" s="377" t="s">
        <v>30</v>
      </c>
      <c r="I63" s="353">
        <v>460745.25</v>
      </c>
      <c r="J63" s="366">
        <v>41144</v>
      </c>
    </row>
    <row r="64" spans="1:13" s="367" customFormat="1" ht="38.25" x14ac:dyDescent="0.2">
      <c r="A64" s="365" t="s">
        <v>8</v>
      </c>
      <c r="B64" s="376">
        <v>2010</v>
      </c>
      <c r="C64" s="354" t="s">
        <v>67</v>
      </c>
      <c r="D64" s="352" t="s">
        <v>120</v>
      </c>
      <c r="E64" s="353">
        <v>1203795</v>
      </c>
      <c r="F64" s="354" t="s">
        <v>66</v>
      </c>
      <c r="G64" s="355">
        <v>525000</v>
      </c>
      <c r="H64" s="377"/>
      <c r="I64" s="353">
        <v>525000</v>
      </c>
      <c r="J64" s="366">
        <v>40378</v>
      </c>
    </row>
    <row r="65" spans="1:10" s="367" customFormat="1" ht="38.25" x14ac:dyDescent="0.2">
      <c r="A65" s="365" t="s">
        <v>8</v>
      </c>
      <c r="B65" s="376">
        <v>2010</v>
      </c>
      <c r="C65" s="354" t="s">
        <v>597</v>
      </c>
      <c r="D65" s="352" t="s">
        <v>141</v>
      </c>
      <c r="E65" s="353">
        <v>143028</v>
      </c>
      <c r="F65" s="354" t="s">
        <v>65</v>
      </c>
      <c r="G65" s="355">
        <v>107271</v>
      </c>
      <c r="H65" s="377" t="s">
        <v>64</v>
      </c>
      <c r="I65" s="353">
        <v>107271</v>
      </c>
      <c r="J65" s="366">
        <v>41058</v>
      </c>
    </row>
    <row r="66" spans="1:10" s="367" customFormat="1" ht="38.25" x14ac:dyDescent="0.2">
      <c r="A66" s="365" t="s">
        <v>8</v>
      </c>
      <c r="B66" s="376">
        <v>2010</v>
      </c>
      <c r="C66" s="354" t="s">
        <v>63</v>
      </c>
      <c r="D66" s="352" t="s">
        <v>142</v>
      </c>
      <c r="E66" s="353">
        <v>782722</v>
      </c>
      <c r="F66" s="354" t="s">
        <v>62</v>
      </c>
      <c r="G66" s="355">
        <v>300000</v>
      </c>
      <c r="H66" s="377"/>
      <c r="I66" s="353">
        <v>300000</v>
      </c>
      <c r="J66" s="366">
        <v>40973</v>
      </c>
    </row>
    <row r="67" spans="1:10" s="367" customFormat="1" ht="38.25" x14ac:dyDescent="0.2">
      <c r="A67" s="365" t="s">
        <v>8</v>
      </c>
      <c r="B67" s="376">
        <v>2010</v>
      </c>
      <c r="C67" s="354" t="s">
        <v>598</v>
      </c>
      <c r="D67" s="352" t="s">
        <v>143</v>
      </c>
      <c r="E67" s="353">
        <v>105000</v>
      </c>
      <c r="F67" s="354" t="s">
        <v>61</v>
      </c>
      <c r="G67" s="355">
        <v>75000</v>
      </c>
      <c r="H67" s="377"/>
      <c r="I67" s="353">
        <v>75000</v>
      </c>
      <c r="J67" s="366">
        <v>41092</v>
      </c>
    </row>
    <row r="68" spans="1:10" s="367" customFormat="1" x14ac:dyDescent="0.2">
      <c r="A68" s="369"/>
      <c r="B68" s="369"/>
      <c r="C68" s="369"/>
      <c r="D68" s="369"/>
      <c r="E68" s="383">
        <f>SUM(E55:E67)</f>
        <v>24724225.68</v>
      </c>
      <c r="F68" s="369"/>
      <c r="G68" s="370">
        <f>SUM(G55:G67)</f>
        <v>4487240</v>
      </c>
      <c r="H68" s="378"/>
      <c r="I68" s="369"/>
      <c r="J68" s="369"/>
    </row>
    <row r="69" spans="1:10" s="367" customFormat="1" ht="38.25" x14ac:dyDescent="0.2">
      <c r="A69" s="365" t="s">
        <v>8</v>
      </c>
      <c r="B69" s="376">
        <v>2009</v>
      </c>
      <c r="C69" s="354" t="s">
        <v>60</v>
      </c>
      <c r="D69" s="352" t="s">
        <v>53</v>
      </c>
      <c r="E69" s="384">
        <v>133333</v>
      </c>
      <c r="F69" s="354" t="s">
        <v>59</v>
      </c>
      <c r="G69" s="355">
        <v>100000</v>
      </c>
      <c r="H69" s="377" t="s">
        <v>13</v>
      </c>
      <c r="I69" s="353">
        <v>95363</v>
      </c>
      <c r="J69" s="366">
        <v>42916</v>
      </c>
    </row>
    <row r="70" spans="1:10" s="367" customFormat="1" ht="38.25" x14ac:dyDescent="0.2">
      <c r="A70" s="365" t="s">
        <v>8</v>
      </c>
      <c r="B70" s="376">
        <v>2009</v>
      </c>
      <c r="C70" s="354" t="s">
        <v>58</v>
      </c>
      <c r="D70" s="352" t="s">
        <v>121</v>
      </c>
      <c r="E70" s="384">
        <v>40000</v>
      </c>
      <c r="F70" s="354" t="s">
        <v>7</v>
      </c>
      <c r="G70" s="355">
        <v>30000</v>
      </c>
      <c r="H70" s="377" t="s">
        <v>13</v>
      </c>
      <c r="I70" s="353">
        <v>30000</v>
      </c>
      <c r="J70" s="385">
        <v>40441</v>
      </c>
    </row>
    <row r="71" spans="1:10" s="367" customFormat="1" ht="38.25" x14ac:dyDescent="0.2">
      <c r="A71" s="365" t="s">
        <v>8</v>
      </c>
      <c r="B71" s="376">
        <v>2009</v>
      </c>
      <c r="C71" s="354" t="s">
        <v>599</v>
      </c>
      <c r="D71" s="352" t="s">
        <v>147</v>
      </c>
      <c r="E71" s="384">
        <v>653550</v>
      </c>
      <c r="F71" s="354" t="s">
        <v>57</v>
      </c>
      <c r="G71" s="355">
        <v>490162</v>
      </c>
      <c r="H71" s="377" t="s">
        <v>495</v>
      </c>
      <c r="I71" s="353">
        <v>408425.41</v>
      </c>
      <c r="J71" s="385">
        <v>41191</v>
      </c>
    </row>
    <row r="72" spans="1:10" s="367" customFormat="1" ht="38.25" x14ac:dyDescent="0.2">
      <c r="A72" s="365" t="s">
        <v>8</v>
      </c>
      <c r="B72" s="376">
        <v>2009</v>
      </c>
      <c r="C72" s="354" t="s">
        <v>56</v>
      </c>
      <c r="D72" s="352" t="s">
        <v>501</v>
      </c>
      <c r="E72" s="384">
        <v>1476000</v>
      </c>
      <c r="F72" s="354" t="s">
        <v>7</v>
      </c>
      <c r="G72" s="355">
        <v>800000</v>
      </c>
      <c r="H72" s="377"/>
      <c r="I72" s="353">
        <v>800000</v>
      </c>
      <c r="J72" s="385">
        <v>41157</v>
      </c>
    </row>
    <row r="73" spans="1:10" s="367" customFormat="1" ht="38.25" x14ac:dyDescent="0.2">
      <c r="A73" s="365" t="s">
        <v>8</v>
      </c>
      <c r="B73" s="376">
        <v>2009</v>
      </c>
      <c r="C73" s="354" t="s">
        <v>55</v>
      </c>
      <c r="D73" s="352" t="s">
        <v>122</v>
      </c>
      <c r="E73" s="384">
        <v>133334</v>
      </c>
      <c r="F73" s="354" t="s">
        <v>7</v>
      </c>
      <c r="G73" s="355">
        <v>100000</v>
      </c>
      <c r="H73" s="377" t="s">
        <v>13</v>
      </c>
      <c r="I73" s="353">
        <v>100000</v>
      </c>
      <c r="J73" s="385">
        <v>40763</v>
      </c>
    </row>
    <row r="74" spans="1:10" s="367" customFormat="1" ht="38.25" x14ac:dyDescent="0.2">
      <c r="A74" s="365" t="s">
        <v>8</v>
      </c>
      <c r="B74" s="376">
        <v>2009</v>
      </c>
      <c r="C74" s="354" t="s">
        <v>54</v>
      </c>
      <c r="D74" s="352" t="s">
        <v>123</v>
      </c>
      <c r="E74" s="384">
        <v>469000</v>
      </c>
      <c r="F74" s="354" t="s">
        <v>52</v>
      </c>
      <c r="G74" s="355">
        <v>351750</v>
      </c>
      <c r="H74" s="377"/>
      <c r="I74" s="353">
        <v>351750</v>
      </c>
      <c r="J74" s="385">
        <v>40294</v>
      </c>
    </row>
    <row r="75" spans="1:10" s="367" customFormat="1" ht="38.25" x14ac:dyDescent="0.2">
      <c r="A75" s="365" t="s">
        <v>8</v>
      </c>
      <c r="B75" s="376">
        <v>2009</v>
      </c>
      <c r="C75" s="354" t="s">
        <v>51</v>
      </c>
      <c r="D75" s="352" t="s">
        <v>502</v>
      </c>
      <c r="E75" s="384">
        <v>1000000</v>
      </c>
      <c r="F75" s="354" t="s">
        <v>50</v>
      </c>
      <c r="G75" s="355">
        <v>750000</v>
      </c>
      <c r="H75" s="377" t="s">
        <v>13</v>
      </c>
      <c r="I75" s="353">
        <v>750000</v>
      </c>
      <c r="J75" s="385">
        <v>41379</v>
      </c>
    </row>
    <row r="76" spans="1:10" s="367" customFormat="1" ht="38.25" x14ac:dyDescent="0.2">
      <c r="A76" s="365" t="s">
        <v>8</v>
      </c>
      <c r="B76" s="376">
        <v>2009</v>
      </c>
      <c r="C76" s="354" t="s">
        <v>600</v>
      </c>
      <c r="D76" s="352" t="s">
        <v>156</v>
      </c>
      <c r="E76" s="384">
        <v>71000</v>
      </c>
      <c r="F76" s="354" t="s">
        <v>16</v>
      </c>
      <c r="G76" s="355">
        <v>40000</v>
      </c>
      <c r="H76" s="377" t="s">
        <v>495</v>
      </c>
      <c r="I76" s="353" t="s">
        <v>90</v>
      </c>
      <c r="J76" s="385" t="s">
        <v>29</v>
      </c>
    </row>
    <row r="77" spans="1:10" s="367" customFormat="1" ht="38.25" x14ac:dyDescent="0.2">
      <c r="A77" s="365" t="s">
        <v>8</v>
      </c>
      <c r="B77" s="376">
        <v>2009</v>
      </c>
      <c r="C77" s="354" t="s">
        <v>49</v>
      </c>
      <c r="D77" s="352" t="s">
        <v>48</v>
      </c>
      <c r="E77" s="384">
        <v>133333</v>
      </c>
      <c r="F77" s="354" t="s">
        <v>7</v>
      </c>
      <c r="G77" s="355">
        <v>100000</v>
      </c>
      <c r="H77" s="377" t="s">
        <v>13</v>
      </c>
      <c r="I77" s="353">
        <v>0</v>
      </c>
      <c r="J77" s="366">
        <v>42916</v>
      </c>
    </row>
    <row r="78" spans="1:10" s="367" customFormat="1" ht="38.25" x14ac:dyDescent="0.2">
      <c r="A78" s="365" t="s">
        <v>8</v>
      </c>
      <c r="B78" s="376">
        <v>2009</v>
      </c>
      <c r="C78" s="354" t="s">
        <v>47</v>
      </c>
      <c r="D78" s="352" t="s">
        <v>46</v>
      </c>
      <c r="E78" s="384">
        <v>133333</v>
      </c>
      <c r="F78" s="354" t="s">
        <v>688</v>
      </c>
      <c r="G78" s="355">
        <v>100000</v>
      </c>
      <c r="H78" s="377" t="s">
        <v>13</v>
      </c>
      <c r="I78" s="353">
        <v>95000</v>
      </c>
      <c r="J78" s="366">
        <v>42916</v>
      </c>
    </row>
    <row r="79" spans="1:10" s="367" customFormat="1" ht="38.25" x14ac:dyDescent="0.2">
      <c r="A79" s="365" t="s">
        <v>8</v>
      </c>
      <c r="B79" s="376">
        <v>2009</v>
      </c>
      <c r="C79" s="354" t="s">
        <v>44</v>
      </c>
      <c r="D79" s="352" t="s">
        <v>124</v>
      </c>
      <c r="E79" s="384">
        <v>443750</v>
      </c>
      <c r="F79" s="354" t="s">
        <v>43</v>
      </c>
      <c r="G79" s="355">
        <v>138088</v>
      </c>
      <c r="H79" s="377"/>
      <c r="I79" s="353">
        <v>138088</v>
      </c>
      <c r="J79" s="385">
        <v>40469</v>
      </c>
    </row>
    <row r="80" spans="1:10" s="367" customFormat="1" x14ac:dyDescent="0.2">
      <c r="A80" s="386"/>
      <c r="B80" s="387"/>
      <c r="C80" s="387"/>
      <c r="D80" s="388"/>
      <c r="E80" s="389">
        <f>SUM(E69:E79)</f>
        <v>4686633</v>
      </c>
      <c r="F80" s="387"/>
      <c r="G80" s="390">
        <f>SUM(G69:G79)</f>
        <v>3000000</v>
      </c>
      <c r="H80" s="391"/>
      <c r="I80" s="392"/>
      <c r="J80" s="393"/>
    </row>
    <row r="81" spans="1:10" s="367" customFormat="1" ht="38.25" x14ac:dyDescent="0.2">
      <c r="A81" s="365" t="s">
        <v>8</v>
      </c>
      <c r="B81" s="376">
        <v>2008</v>
      </c>
      <c r="C81" s="354" t="s">
        <v>42</v>
      </c>
      <c r="D81" s="352" t="s">
        <v>503</v>
      </c>
      <c r="E81" s="384">
        <v>3415960</v>
      </c>
      <c r="F81" s="354" t="s">
        <v>41</v>
      </c>
      <c r="G81" s="355">
        <v>565960</v>
      </c>
      <c r="H81" s="377"/>
      <c r="I81" s="353">
        <v>565960</v>
      </c>
      <c r="J81" s="385">
        <v>41121</v>
      </c>
    </row>
    <row r="82" spans="1:10" s="367" customFormat="1" ht="38.25" x14ac:dyDescent="0.2">
      <c r="A82" s="365" t="s">
        <v>8</v>
      </c>
      <c r="B82" s="376">
        <v>2008</v>
      </c>
      <c r="C82" s="354" t="s">
        <v>40</v>
      </c>
      <c r="D82" s="352" t="s">
        <v>121</v>
      </c>
      <c r="E82" s="384">
        <v>40000</v>
      </c>
      <c r="F82" s="354" t="s">
        <v>39</v>
      </c>
      <c r="G82" s="355">
        <v>30000</v>
      </c>
      <c r="H82" s="377" t="s">
        <v>13</v>
      </c>
      <c r="I82" s="353">
        <v>30000</v>
      </c>
      <c r="J82" s="385">
        <v>40441</v>
      </c>
    </row>
    <row r="83" spans="1:10" s="367" customFormat="1" ht="38.25" x14ac:dyDescent="0.2">
      <c r="A83" s="365" t="s">
        <v>8</v>
      </c>
      <c r="B83" s="376">
        <v>2008</v>
      </c>
      <c r="C83" s="354" t="s">
        <v>38</v>
      </c>
      <c r="D83" s="352" t="s">
        <v>144</v>
      </c>
      <c r="E83" s="384">
        <v>266667</v>
      </c>
      <c r="F83" s="354" t="s">
        <v>7</v>
      </c>
      <c r="G83" s="355">
        <v>200000</v>
      </c>
      <c r="H83" s="377" t="s">
        <v>13</v>
      </c>
      <c r="I83" s="353">
        <v>200000</v>
      </c>
      <c r="J83" s="385">
        <v>41058</v>
      </c>
    </row>
    <row r="84" spans="1:10" s="367" customFormat="1" ht="38.25" x14ac:dyDescent="0.2">
      <c r="A84" s="365" t="s">
        <v>8</v>
      </c>
      <c r="B84" s="376">
        <v>2008</v>
      </c>
      <c r="C84" s="354" t="s">
        <v>37</v>
      </c>
      <c r="D84" s="352" t="s">
        <v>601</v>
      </c>
      <c r="E84" s="384">
        <v>1937254</v>
      </c>
      <c r="F84" s="354" t="s">
        <v>7</v>
      </c>
      <c r="G84" s="355">
        <v>100000</v>
      </c>
      <c r="H84" s="377"/>
      <c r="I84" s="353">
        <v>100000</v>
      </c>
      <c r="J84" s="385">
        <v>41638</v>
      </c>
    </row>
    <row r="85" spans="1:10" s="367" customFormat="1" ht="38.25" x14ac:dyDescent="0.2">
      <c r="A85" s="365" t="s">
        <v>8</v>
      </c>
      <c r="B85" s="376">
        <v>2008</v>
      </c>
      <c r="C85" s="354" t="s">
        <v>36</v>
      </c>
      <c r="D85" s="352" t="s">
        <v>35</v>
      </c>
      <c r="E85" s="384">
        <v>246667</v>
      </c>
      <c r="F85" s="354" t="s">
        <v>7</v>
      </c>
      <c r="G85" s="355">
        <v>185000</v>
      </c>
      <c r="H85" s="377" t="s">
        <v>13</v>
      </c>
      <c r="I85" s="353">
        <v>143164.66</v>
      </c>
      <c r="J85" s="366">
        <v>42916</v>
      </c>
    </row>
    <row r="86" spans="1:10" s="367" customFormat="1" ht="25.5" x14ac:dyDescent="0.2">
      <c r="A86" s="365" t="s">
        <v>8</v>
      </c>
      <c r="B86" s="376">
        <v>2008</v>
      </c>
      <c r="C86" s="354" t="s">
        <v>34</v>
      </c>
      <c r="D86" s="352" t="s">
        <v>125</v>
      </c>
      <c r="E86" s="384">
        <v>66667</v>
      </c>
      <c r="F86" s="354" t="s">
        <v>7</v>
      </c>
      <c r="G86" s="355">
        <v>50000</v>
      </c>
      <c r="H86" s="377"/>
      <c r="I86" s="353">
        <v>50000</v>
      </c>
      <c r="J86" s="385">
        <v>40735</v>
      </c>
    </row>
    <row r="87" spans="1:10" s="367" customFormat="1" ht="38.25" x14ac:dyDescent="0.2">
      <c r="A87" s="365" t="s">
        <v>8</v>
      </c>
      <c r="B87" s="376">
        <v>2008</v>
      </c>
      <c r="C87" s="354" t="s">
        <v>33</v>
      </c>
      <c r="D87" s="352" t="s">
        <v>126</v>
      </c>
      <c r="E87" s="384">
        <v>549605</v>
      </c>
      <c r="F87" s="354" t="s">
        <v>7</v>
      </c>
      <c r="G87" s="355">
        <v>69300</v>
      </c>
      <c r="H87" s="377"/>
      <c r="I87" s="353">
        <v>69300</v>
      </c>
      <c r="J87" s="385">
        <v>40763</v>
      </c>
    </row>
    <row r="88" spans="1:10" s="367" customFormat="1" ht="51" x14ac:dyDescent="0.2">
      <c r="A88" s="365" t="s">
        <v>8</v>
      </c>
      <c r="B88" s="376">
        <v>2008</v>
      </c>
      <c r="C88" s="354" t="s">
        <v>32</v>
      </c>
      <c r="D88" s="352" t="s">
        <v>31</v>
      </c>
      <c r="E88" s="384">
        <v>1227779</v>
      </c>
      <c r="F88" s="354" t="s">
        <v>7</v>
      </c>
      <c r="G88" s="355">
        <v>799740</v>
      </c>
      <c r="H88" s="377" t="s">
        <v>30</v>
      </c>
      <c r="I88" s="353" t="s">
        <v>90</v>
      </c>
      <c r="J88" s="385" t="s">
        <v>29</v>
      </c>
    </row>
    <row r="89" spans="1:10" s="367" customFormat="1" x14ac:dyDescent="0.2">
      <c r="A89" s="386"/>
      <c r="B89" s="387"/>
      <c r="C89" s="387"/>
      <c r="D89" s="388"/>
      <c r="E89" s="389">
        <f>SUM(E81:E88)</f>
        <v>7750599</v>
      </c>
      <c r="F89" s="387"/>
      <c r="G89" s="390">
        <f>SUM(G81:G88)</f>
        <v>2000000</v>
      </c>
      <c r="H89" s="391"/>
      <c r="I89" s="394">
        <v>0</v>
      </c>
      <c r="J89" s="393"/>
    </row>
    <row r="90" spans="1:10" s="367" customFormat="1" ht="38.25" x14ac:dyDescent="0.2">
      <c r="A90" s="365" t="s">
        <v>15</v>
      </c>
      <c r="B90" s="376">
        <v>2007</v>
      </c>
      <c r="C90" s="354" t="s">
        <v>28</v>
      </c>
      <c r="D90" s="352" t="s">
        <v>504</v>
      </c>
      <c r="E90" s="384">
        <v>1334331</v>
      </c>
      <c r="F90" s="354" t="s">
        <v>27</v>
      </c>
      <c r="G90" s="355">
        <v>690000</v>
      </c>
      <c r="H90" s="377"/>
      <c r="I90" s="353">
        <v>690000</v>
      </c>
      <c r="J90" s="385">
        <v>41059</v>
      </c>
    </row>
    <row r="91" spans="1:10" s="367" customFormat="1" ht="38.25" x14ac:dyDescent="0.2">
      <c r="A91" s="365" t="s">
        <v>15</v>
      </c>
      <c r="B91" s="376">
        <v>2007</v>
      </c>
      <c r="C91" s="354" t="s">
        <v>26</v>
      </c>
      <c r="D91" s="352" t="s">
        <v>127</v>
      </c>
      <c r="E91" s="384">
        <v>336250</v>
      </c>
      <c r="F91" s="354" t="s">
        <v>25</v>
      </c>
      <c r="G91" s="355">
        <v>252187</v>
      </c>
      <c r="H91" s="377"/>
      <c r="I91" s="353">
        <v>252187</v>
      </c>
      <c r="J91" s="385">
        <v>40637</v>
      </c>
    </row>
    <row r="92" spans="1:10" s="367" customFormat="1" ht="38.25" x14ac:dyDescent="0.2">
      <c r="A92" s="365" t="s">
        <v>15</v>
      </c>
      <c r="B92" s="376">
        <v>2007</v>
      </c>
      <c r="C92" s="354" t="s">
        <v>24</v>
      </c>
      <c r="D92" s="352" t="s">
        <v>602</v>
      </c>
      <c r="E92" s="384">
        <v>536540</v>
      </c>
      <c r="F92" s="354" t="s">
        <v>23</v>
      </c>
      <c r="G92" s="355">
        <v>402405</v>
      </c>
      <c r="H92" s="377"/>
      <c r="I92" s="353">
        <v>402405</v>
      </c>
      <c r="J92" s="385">
        <v>41900</v>
      </c>
    </row>
    <row r="93" spans="1:10" s="359" customFormat="1" ht="38.25" x14ac:dyDescent="0.2">
      <c r="A93" s="365" t="s">
        <v>15</v>
      </c>
      <c r="B93" s="376">
        <v>2007</v>
      </c>
      <c r="C93" s="354" t="s">
        <v>693</v>
      </c>
      <c r="D93" s="352" t="s">
        <v>128</v>
      </c>
      <c r="E93" s="384">
        <v>200000</v>
      </c>
      <c r="F93" s="354" t="s">
        <v>694</v>
      </c>
      <c r="G93" s="355">
        <v>150000</v>
      </c>
      <c r="H93" s="377"/>
      <c r="I93" s="353">
        <v>0</v>
      </c>
      <c r="J93" s="366">
        <v>42551</v>
      </c>
    </row>
    <row r="94" spans="1:10" s="367" customFormat="1" ht="38.25" x14ac:dyDescent="0.2">
      <c r="A94" s="365" t="s">
        <v>15</v>
      </c>
      <c r="B94" s="376">
        <v>2007</v>
      </c>
      <c r="C94" s="354" t="s">
        <v>21</v>
      </c>
      <c r="D94" s="352" t="s">
        <v>129</v>
      </c>
      <c r="E94" s="384">
        <v>142500</v>
      </c>
      <c r="F94" s="354" t="s">
        <v>20</v>
      </c>
      <c r="G94" s="355">
        <v>106875</v>
      </c>
      <c r="H94" s="377"/>
      <c r="I94" s="353">
        <v>106875</v>
      </c>
      <c r="J94" s="385">
        <v>40252</v>
      </c>
    </row>
    <row r="95" spans="1:10" s="367" customFormat="1" ht="38.25" x14ac:dyDescent="0.2">
      <c r="A95" s="365" t="s">
        <v>15</v>
      </c>
      <c r="B95" s="376">
        <v>2007</v>
      </c>
      <c r="C95" s="354" t="s">
        <v>19</v>
      </c>
      <c r="D95" s="352" t="s">
        <v>18</v>
      </c>
      <c r="E95" s="384">
        <v>480000</v>
      </c>
      <c r="F95" s="354" t="s">
        <v>695</v>
      </c>
      <c r="G95" s="355">
        <v>360000</v>
      </c>
      <c r="H95" s="377"/>
      <c r="I95" s="353">
        <v>223215.97</v>
      </c>
      <c r="J95" s="366">
        <v>42916</v>
      </c>
    </row>
    <row r="96" spans="1:10" s="359" customFormat="1" ht="38.25" x14ac:dyDescent="0.2">
      <c r="A96" s="365" t="s">
        <v>15</v>
      </c>
      <c r="B96" s="376">
        <v>2007</v>
      </c>
      <c r="C96" s="354" t="s">
        <v>603</v>
      </c>
      <c r="D96" s="352" t="s">
        <v>17</v>
      </c>
      <c r="E96" s="384">
        <v>52420</v>
      </c>
      <c r="F96" s="354" t="s">
        <v>16</v>
      </c>
      <c r="G96" s="355">
        <v>39315</v>
      </c>
      <c r="H96" s="377"/>
      <c r="I96" s="353">
        <v>34193</v>
      </c>
      <c r="J96" s="366">
        <v>42916</v>
      </c>
    </row>
    <row r="97" spans="1:10" s="367" customFormat="1" ht="51" x14ac:dyDescent="0.2">
      <c r="A97" s="365" t="s">
        <v>15</v>
      </c>
      <c r="B97" s="376">
        <v>2007</v>
      </c>
      <c r="C97" s="354" t="s">
        <v>14</v>
      </c>
      <c r="D97" s="352" t="s">
        <v>148</v>
      </c>
      <c r="E97" s="384">
        <v>266667</v>
      </c>
      <c r="F97" s="354" t="s">
        <v>7</v>
      </c>
      <c r="G97" s="355">
        <v>200000</v>
      </c>
      <c r="H97" s="377" t="s">
        <v>13</v>
      </c>
      <c r="I97" s="353">
        <v>196072.35</v>
      </c>
      <c r="J97" s="385">
        <v>40259</v>
      </c>
    </row>
    <row r="98" spans="1:10" s="359" customFormat="1" x14ac:dyDescent="0.2">
      <c r="A98" s="386"/>
      <c r="B98" s="387"/>
      <c r="C98" s="387"/>
      <c r="D98" s="388"/>
      <c r="E98" s="389">
        <f>SUM(E103:E104)</f>
        <v>4674520</v>
      </c>
      <c r="F98" s="387"/>
      <c r="G98" s="390">
        <f>SUM(G103:G104)</f>
        <v>1124651</v>
      </c>
      <c r="H98" s="391"/>
      <c r="I98" s="392"/>
      <c r="J98" s="393"/>
    </row>
    <row r="99" spans="1:10" s="367" customFormat="1" ht="38.25" x14ac:dyDescent="0.2">
      <c r="A99" s="365" t="s">
        <v>8</v>
      </c>
      <c r="B99" s="376">
        <v>2006</v>
      </c>
      <c r="C99" s="354" t="s">
        <v>604</v>
      </c>
      <c r="D99" s="352" t="s">
        <v>130</v>
      </c>
      <c r="E99" s="384">
        <v>1660250</v>
      </c>
      <c r="F99" s="354" t="s">
        <v>12</v>
      </c>
      <c r="G99" s="355">
        <v>250000</v>
      </c>
      <c r="H99" s="377"/>
      <c r="I99" s="353">
        <v>250000</v>
      </c>
      <c r="J99" s="385">
        <v>40365</v>
      </c>
    </row>
    <row r="100" spans="1:10" s="367" customFormat="1" ht="38.25" x14ac:dyDescent="0.2">
      <c r="A100" s="365" t="s">
        <v>8</v>
      </c>
      <c r="B100" s="376">
        <v>2006</v>
      </c>
      <c r="C100" s="354" t="s">
        <v>605</v>
      </c>
      <c r="D100" s="352" t="s">
        <v>131</v>
      </c>
      <c r="E100" s="384">
        <v>1027760</v>
      </c>
      <c r="F100" s="354" t="s">
        <v>11</v>
      </c>
      <c r="G100" s="355">
        <v>150000</v>
      </c>
      <c r="H100" s="377"/>
      <c r="I100" s="353">
        <v>150000</v>
      </c>
      <c r="J100" s="385">
        <v>39356</v>
      </c>
    </row>
    <row r="101" spans="1:10" s="367" customFormat="1" ht="76.5" x14ac:dyDescent="0.2">
      <c r="A101" s="365" t="s">
        <v>8</v>
      </c>
      <c r="B101" s="376">
        <v>2006</v>
      </c>
      <c r="C101" s="354" t="s">
        <v>606</v>
      </c>
      <c r="D101" s="352" t="s">
        <v>607</v>
      </c>
      <c r="E101" s="384">
        <v>437216</v>
      </c>
      <c r="F101" s="354" t="s">
        <v>10</v>
      </c>
      <c r="G101" s="355">
        <v>327912</v>
      </c>
      <c r="H101" s="377"/>
      <c r="I101" s="353">
        <v>327912</v>
      </c>
      <c r="J101" s="385">
        <v>39569</v>
      </c>
    </row>
    <row r="102" spans="1:10" s="367" customFormat="1" ht="38.25" x14ac:dyDescent="0.2">
      <c r="A102" s="365" t="s">
        <v>8</v>
      </c>
      <c r="B102" s="376">
        <v>2006</v>
      </c>
      <c r="C102" s="354" t="s">
        <v>608</v>
      </c>
      <c r="D102" s="352" t="s">
        <v>132</v>
      </c>
      <c r="E102" s="384">
        <v>1406960</v>
      </c>
      <c r="F102" s="354" t="s">
        <v>9</v>
      </c>
      <c r="G102" s="355">
        <v>346739</v>
      </c>
      <c r="H102" s="377"/>
      <c r="I102" s="353">
        <v>346739</v>
      </c>
      <c r="J102" s="385">
        <v>40350</v>
      </c>
    </row>
    <row r="103" spans="1:10" s="367" customFormat="1" ht="38.25" x14ac:dyDescent="0.2">
      <c r="A103" s="365" t="s">
        <v>8</v>
      </c>
      <c r="B103" s="376">
        <v>2006</v>
      </c>
      <c r="C103" s="354" t="s">
        <v>609</v>
      </c>
      <c r="D103" s="352" t="s">
        <v>131</v>
      </c>
      <c r="E103" s="384">
        <v>71167</v>
      </c>
      <c r="F103" s="354" t="s">
        <v>7</v>
      </c>
      <c r="G103" s="355">
        <v>50000</v>
      </c>
      <c r="H103" s="377"/>
      <c r="I103" s="353">
        <v>50000</v>
      </c>
      <c r="J103" s="385">
        <v>39577</v>
      </c>
    </row>
    <row r="104" spans="1:10" x14ac:dyDescent="0.2">
      <c r="A104" s="395"/>
      <c r="B104" s="395"/>
      <c r="C104" s="395"/>
      <c r="D104" s="396"/>
      <c r="E104" s="9">
        <f>SUM(E99:E103)</f>
        <v>4603353</v>
      </c>
      <c r="F104" s="395"/>
      <c r="G104" s="8">
        <f>SUM(G99:G102)</f>
        <v>1074651</v>
      </c>
      <c r="H104" s="7"/>
      <c r="I104" s="397"/>
      <c r="J104" s="12"/>
    </row>
    <row r="105" spans="1:10" x14ac:dyDescent="0.2">
      <c r="G105" s="6"/>
      <c r="H105" s="5"/>
      <c r="I105" s="4"/>
    </row>
    <row r="106" spans="1:10" x14ac:dyDescent="0.2">
      <c r="A106" s="512" t="s">
        <v>505</v>
      </c>
      <c r="B106" s="512"/>
      <c r="C106" s="512"/>
      <c r="D106" s="512"/>
      <c r="E106" s="512"/>
      <c r="F106" s="512"/>
      <c r="G106" s="512"/>
      <c r="H106" s="512"/>
      <c r="I106" s="512"/>
      <c r="J106" s="512"/>
    </row>
    <row r="107" spans="1:10" x14ac:dyDescent="0.2">
      <c r="A107" s="512"/>
      <c r="B107" s="512"/>
      <c r="C107" s="512"/>
      <c r="D107" s="512"/>
      <c r="E107" s="512"/>
      <c r="F107" s="512"/>
      <c r="G107" s="512"/>
      <c r="H107" s="512"/>
      <c r="I107" s="512"/>
      <c r="J107" s="512"/>
    </row>
    <row r="108" spans="1:10" x14ac:dyDescent="0.2">
      <c r="A108" s="321"/>
      <c r="B108" s="321"/>
      <c r="C108" s="321"/>
      <c r="D108" s="321"/>
      <c r="E108" s="321"/>
      <c r="F108" s="321"/>
      <c r="G108" s="321"/>
      <c r="I108" s="321"/>
      <c r="J108" s="321"/>
    </row>
    <row r="109" spans="1:10" x14ac:dyDescent="0.2">
      <c r="A109" s="513" t="s">
        <v>6</v>
      </c>
      <c r="B109" s="513"/>
      <c r="C109" s="513"/>
      <c r="D109" s="513"/>
      <c r="E109" s="513"/>
      <c r="F109" s="513"/>
      <c r="G109" s="513"/>
      <c r="H109" s="513"/>
      <c r="I109" s="513"/>
      <c r="J109" s="513"/>
    </row>
    <row r="110" spans="1:10" x14ac:dyDescent="0.2">
      <c r="A110" s="512" t="s">
        <v>506</v>
      </c>
      <c r="B110" s="512"/>
      <c r="C110" s="512"/>
      <c r="D110" s="512"/>
      <c r="E110" s="512"/>
      <c r="F110" s="512"/>
      <c r="G110" s="512"/>
      <c r="H110" s="512"/>
      <c r="I110" s="512"/>
      <c r="J110" s="512"/>
    </row>
    <row r="111" spans="1:10" x14ac:dyDescent="0.2">
      <c r="A111" s="512" t="s">
        <v>507</v>
      </c>
      <c r="B111" s="512"/>
      <c r="C111" s="512"/>
      <c r="D111" s="512"/>
      <c r="E111" s="512"/>
      <c r="F111" s="512"/>
      <c r="G111" s="512"/>
      <c r="H111" s="512"/>
      <c r="I111" s="512"/>
      <c r="J111" s="512"/>
    </row>
    <row r="112" spans="1:10" x14ac:dyDescent="0.2">
      <c r="A112" s="512" t="s">
        <v>508</v>
      </c>
      <c r="B112" s="512"/>
      <c r="C112" s="512"/>
      <c r="D112" s="512"/>
      <c r="E112" s="512"/>
      <c r="F112" s="512"/>
      <c r="G112" s="512"/>
      <c r="H112" s="512"/>
      <c r="I112" s="512"/>
      <c r="J112" s="512"/>
    </row>
    <row r="113" spans="1:10" x14ac:dyDescent="0.2">
      <c r="A113" s="263" t="s">
        <v>610</v>
      </c>
      <c r="B113" s="321"/>
      <c r="C113" s="321"/>
      <c r="D113" s="321"/>
      <c r="E113" s="321"/>
      <c r="F113" s="321"/>
      <c r="G113" s="321"/>
      <c r="I113" s="321"/>
      <c r="J113" s="321"/>
    </row>
    <row r="114" spans="1:10" x14ac:dyDescent="0.2">
      <c r="A114" s="263" t="s">
        <v>696</v>
      </c>
      <c r="B114" s="321"/>
      <c r="C114" s="321"/>
      <c r="D114" s="321"/>
      <c r="E114" s="321"/>
      <c r="F114" s="321"/>
      <c r="G114" s="321"/>
      <c r="I114" s="321"/>
      <c r="J114" s="321"/>
    </row>
    <row r="115" spans="1:10" x14ac:dyDescent="0.2">
      <c r="A115" s="321"/>
      <c r="B115" s="321"/>
      <c r="C115" s="321"/>
      <c r="D115" s="321"/>
      <c r="E115" s="321"/>
      <c r="F115" s="321"/>
      <c r="G115" s="321"/>
      <c r="I115" s="321"/>
      <c r="J115" s="321"/>
    </row>
    <row r="116" spans="1:10" x14ac:dyDescent="0.2">
      <c r="A116" s="513" t="s">
        <v>5</v>
      </c>
      <c r="B116" s="513"/>
      <c r="C116" s="513"/>
      <c r="D116" s="513"/>
      <c r="E116" s="513"/>
      <c r="F116" s="513"/>
      <c r="G116" s="513"/>
      <c r="H116" s="513"/>
      <c r="I116" s="513"/>
      <c r="J116" s="513"/>
    </row>
    <row r="117" spans="1:10" x14ac:dyDescent="0.2">
      <c r="A117" s="513" t="s">
        <v>4</v>
      </c>
      <c r="B117" s="513"/>
      <c r="C117" s="513"/>
      <c r="D117" s="513"/>
      <c r="E117" s="513"/>
      <c r="F117" s="513"/>
      <c r="G117" s="513"/>
      <c r="H117" s="513"/>
      <c r="I117" s="513"/>
      <c r="J117" s="513"/>
    </row>
    <row r="118" spans="1:10" x14ac:dyDescent="0.2">
      <c r="A118" s="513" t="s">
        <v>509</v>
      </c>
      <c r="B118" s="513"/>
      <c r="C118" s="513"/>
      <c r="D118" s="513"/>
      <c r="E118" s="513"/>
      <c r="F118" s="513"/>
      <c r="G118" s="513"/>
      <c r="H118" s="513"/>
      <c r="I118" s="513"/>
      <c r="J118" s="513"/>
    </row>
    <row r="119" spans="1:10" x14ac:dyDescent="0.2">
      <c r="A119" s="513" t="s">
        <v>3</v>
      </c>
      <c r="B119" s="513"/>
      <c r="C119" s="513"/>
      <c r="D119" s="513"/>
      <c r="E119" s="513"/>
      <c r="F119" s="513"/>
      <c r="G119" s="513"/>
      <c r="H119" s="513"/>
      <c r="I119" s="513"/>
      <c r="J119" s="513"/>
    </row>
    <row r="120" spans="1:10" x14ac:dyDescent="0.2">
      <c r="A120" s="512" t="s">
        <v>2</v>
      </c>
      <c r="B120" s="512"/>
      <c r="C120" s="512"/>
      <c r="D120" s="512"/>
      <c r="E120" s="512"/>
      <c r="F120" s="512"/>
      <c r="G120" s="512"/>
      <c r="H120" s="512"/>
      <c r="I120" s="512"/>
      <c r="J120" s="512"/>
    </row>
    <row r="121" spans="1:10" x14ac:dyDescent="0.2">
      <c r="A121" s="512" t="s">
        <v>510</v>
      </c>
      <c r="B121" s="512"/>
      <c r="C121" s="512"/>
    </row>
    <row r="122" spans="1:10" x14ac:dyDescent="0.2">
      <c r="A122" s="512" t="s">
        <v>133</v>
      </c>
      <c r="B122" s="512"/>
      <c r="C122" s="512"/>
      <c r="D122" s="512"/>
      <c r="E122" s="512"/>
      <c r="F122" s="512"/>
    </row>
    <row r="123" spans="1:10" x14ac:dyDescent="0.2">
      <c r="A123" s="512" t="s">
        <v>134</v>
      </c>
      <c r="B123" s="512"/>
      <c r="C123" s="512"/>
      <c r="D123" s="512"/>
      <c r="E123" s="512"/>
      <c r="F123" s="512"/>
      <c r="G123" s="512"/>
      <c r="H123" s="512"/>
      <c r="I123" s="512"/>
      <c r="J123" s="512"/>
    </row>
    <row r="124" spans="1:10" x14ac:dyDescent="0.2">
      <c r="A124" s="512" t="s">
        <v>511</v>
      </c>
      <c r="B124" s="512"/>
      <c r="C124" s="512"/>
      <c r="D124" s="512"/>
      <c r="E124" s="512"/>
      <c r="F124" s="512"/>
      <c r="G124" s="512"/>
      <c r="H124" s="512"/>
      <c r="I124" s="512"/>
      <c r="J124" s="512"/>
    </row>
    <row r="125" spans="1:10" x14ac:dyDescent="0.2">
      <c r="A125" s="512" t="s">
        <v>611</v>
      </c>
      <c r="B125" s="512"/>
      <c r="C125" s="512"/>
      <c r="D125" s="512"/>
      <c r="E125" s="512"/>
      <c r="F125" s="512"/>
      <c r="G125" s="512"/>
      <c r="H125" s="512"/>
      <c r="I125" s="512"/>
      <c r="J125" s="512"/>
    </row>
    <row r="126" spans="1:10" ht="12.75" customHeight="1" x14ac:dyDescent="0.2">
      <c r="A126" s="512" t="s">
        <v>697</v>
      </c>
      <c r="B126" s="512"/>
      <c r="C126" s="512"/>
      <c r="D126" s="512"/>
      <c r="E126" s="512"/>
      <c r="F126" s="512"/>
      <c r="G126" s="512"/>
      <c r="H126" s="512"/>
      <c r="I126" s="512"/>
      <c r="J126" s="512"/>
    </row>
  </sheetData>
  <mergeCells count="18">
    <mergeCell ref="A116:J116"/>
    <mergeCell ref="A117:J117"/>
    <mergeCell ref="A118:J118"/>
    <mergeCell ref="A111:J111"/>
    <mergeCell ref="A112:J112"/>
    <mergeCell ref="A1:J1"/>
    <mergeCell ref="G2:H2"/>
    <mergeCell ref="A106:J107"/>
    <mergeCell ref="A109:J109"/>
    <mergeCell ref="A110:J110"/>
    <mergeCell ref="A124:J124"/>
    <mergeCell ref="A125:J125"/>
    <mergeCell ref="A126:J126"/>
    <mergeCell ref="A119:J119"/>
    <mergeCell ref="A120:J120"/>
    <mergeCell ref="A121:C121"/>
    <mergeCell ref="A122:F122"/>
    <mergeCell ref="A123:J123"/>
  </mergeCells>
  <printOptions horizontalCentered="1" verticalCentered="1"/>
  <pageMargins left="0.7" right="0.7" top="0.75" bottom="0.75" header="0.3" footer="0.3"/>
  <pageSetup paperSize="5" scale="70"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selection sqref="A1:I1"/>
    </sheetView>
  </sheetViews>
  <sheetFormatPr defaultRowHeight="12.75" x14ac:dyDescent="0.2"/>
  <cols>
    <col min="1" max="1" width="22" customWidth="1"/>
    <col min="2" max="2" width="22.5703125" customWidth="1"/>
    <col min="3" max="3" width="15.7109375" customWidth="1"/>
    <col min="4" max="4" width="12.7109375" bestFit="1" customWidth="1"/>
    <col min="5" max="5" width="17.28515625" customWidth="1"/>
    <col min="6" max="6" width="12.7109375" bestFit="1" customWidth="1"/>
    <col min="7" max="7" width="16" customWidth="1"/>
    <col min="8" max="8" width="24.85546875" customWidth="1"/>
    <col min="9" max="9" width="18.42578125" bestFit="1" customWidth="1"/>
    <col min="257" max="257" width="22" customWidth="1"/>
    <col min="258" max="258" width="17.140625" customWidth="1"/>
    <col min="259" max="259" width="15.7109375" customWidth="1"/>
    <col min="260" max="260" width="12.7109375" bestFit="1" customWidth="1"/>
    <col min="261" max="261" width="17.28515625" customWidth="1"/>
    <col min="262" max="262" width="12.7109375" bestFit="1" customWidth="1"/>
    <col min="263" max="263" width="16" customWidth="1"/>
    <col min="264" max="264" width="15.28515625" customWidth="1"/>
    <col min="265" max="265" width="13.140625" bestFit="1" customWidth="1"/>
    <col min="513" max="513" width="22" customWidth="1"/>
    <col min="514" max="514" width="17.140625" customWidth="1"/>
    <col min="515" max="515" width="15.7109375" customWidth="1"/>
    <col min="516" max="516" width="12.7109375" bestFit="1" customWidth="1"/>
    <col min="517" max="517" width="17.28515625" customWidth="1"/>
    <col min="518" max="518" width="12.7109375" bestFit="1" customWidth="1"/>
    <col min="519" max="519" width="16" customWidth="1"/>
    <col min="520" max="520" width="15.28515625" customWidth="1"/>
    <col min="521" max="521" width="13.140625" bestFit="1" customWidth="1"/>
    <col min="769" max="769" width="22" customWidth="1"/>
    <col min="770" max="770" width="17.140625" customWidth="1"/>
    <col min="771" max="771" width="15.7109375" customWidth="1"/>
    <col min="772" max="772" width="12.7109375" bestFit="1" customWidth="1"/>
    <col min="773" max="773" width="17.28515625" customWidth="1"/>
    <col min="774" max="774" width="12.7109375" bestFit="1" customWidth="1"/>
    <col min="775" max="775" width="16" customWidth="1"/>
    <col min="776" max="776" width="15.28515625" customWidth="1"/>
    <col min="777" max="777" width="13.140625" bestFit="1" customWidth="1"/>
    <col min="1025" max="1025" width="22" customWidth="1"/>
    <col min="1026" max="1026" width="17.140625" customWidth="1"/>
    <col min="1027" max="1027" width="15.7109375" customWidth="1"/>
    <col min="1028" max="1028" width="12.7109375" bestFit="1" customWidth="1"/>
    <col min="1029" max="1029" width="17.28515625" customWidth="1"/>
    <col min="1030" max="1030" width="12.7109375" bestFit="1" customWidth="1"/>
    <col min="1031" max="1031" width="16" customWidth="1"/>
    <col min="1032" max="1032" width="15.28515625" customWidth="1"/>
    <col min="1033" max="1033" width="13.140625" bestFit="1" customWidth="1"/>
    <col min="1281" max="1281" width="22" customWidth="1"/>
    <col min="1282" max="1282" width="17.140625" customWidth="1"/>
    <col min="1283" max="1283" width="15.7109375" customWidth="1"/>
    <col min="1284" max="1284" width="12.7109375" bestFit="1" customWidth="1"/>
    <col min="1285" max="1285" width="17.28515625" customWidth="1"/>
    <col min="1286" max="1286" width="12.7109375" bestFit="1" customWidth="1"/>
    <col min="1287" max="1287" width="16" customWidth="1"/>
    <col min="1288" max="1288" width="15.28515625" customWidth="1"/>
    <col min="1289" max="1289" width="13.140625" bestFit="1" customWidth="1"/>
    <col min="1537" max="1537" width="22" customWidth="1"/>
    <col min="1538" max="1538" width="17.140625" customWidth="1"/>
    <col min="1539" max="1539" width="15.7109375" customWidth="1"/>
    <col min="1540" max="1540" width="12.7109375" bestFit="1" customWidth="1"/>
    <col min="1541" max="1541" width="17.28515625" customWidth="1"/>
    <col min="1542" max="1542" width="12.7109375" bestFit="1" customWidth="1"/>
    <col min="1543" max="1543" width="16" customWidth="1"/>
    <col min="1544" max="1544" width="15.28515625" customWidth="1"/>
    <col min="1545" max="1545" width="13.140625" bestFit="1" customWidth="1"/>
    <col min="1793" max="1793" width="22" customWidth="1"/>
    <col min="1794" max="1794" width="17.140625" customWidth="1"/>
    <col min="1795" max="1795" width="15.7109375" customWidth="1"/>
    <col min="1796" max="1796" width="12.7109375" bestFit="1" customWidth="1"/>
    <col min="1797" max="1797" width="17.28515625" customWidth="1"/>
    <col min="1798" max="1798" width="12.7109375" bestFit="1" customWidth="1"/>
    <col min="1799" max="1799" width="16" customWidth="1"/>
    <col min="1800" max="1800" width="15.28515625" customWidth="1"/>
    <col min="1801" max="1801" width="13.140625" bestFit="1" customWidth="1"/>
    <col min="2049" max="2049" width="22" customWidth="1"/>
    <col min="2050" max="2050" width="17.140625" customWidth="1"/>
    <col min="2051" max="2051" width="15.7109375" customWidth="1"/>
    <col min="2052" max="2052" width="12.7109375" bestFit="1" customWidth="1"/>
    <col min="2053" max="2053" width="17.28515625" customWidth="1"/>
    <col min="2054" max="2054" width="12.7109375" bestFit="1" customWidth="1"/>
    <col min="2055" max="2055" width="16" customWidth="1"/>
    <col min="2056" max="2056" width="15.28515625" customWidth="1"/>
    <col min="2057" max="2057" width="13.140625" bestFit="1" customWidth="1"/>
    <col min="2305" max="2305" width="22" customWidth="1"/>
    <col min="2306" max="2306" width="17.140625" customWidth="1"/>
    <col min="2307" max="2307" width="15.7109375" customWidth="1"/>
    <col min="2308" max="2308" width="12.7109375" bestFit="1" customWidth="1"/>
    <col min="2309" max="2309" width="17.28515625" customWidth="1"/>
    <col min="2310" max="2310" width="12.7109375" bestFit="1" customWidth="1"/>
    <col min="2311" max="2311" width="16" customWidth="1"/>
    <col min="2312" max="2312" width="15.28515625" customWidth="1"/>
    <col min="2313" max="2313" width="13.140625" bestFit="1" customWidth="1"/>
    <col min="2561" max="2561" width="22" customWidth="1"/>
    <col min="2562" max="2562" width="17.140625" customWidth="1"/>
    <col min="2563" max="2563" width="15.7109375" customWidth="1"/>
    <col min="2564" max="2564" width="12.7109375" bestFit="1" customWidth="1"/>
    <col min="2565" max="2565" width="17.28515625" customWidth="1"/>
    <col min="2566" max="2566" width="12.7109375" bestFit="1" customWidth="1"/>
    <col min="2567" max="2567" width="16" customWidth="1"/>
    <col min="2568" max="2568" width="15.28515625" customWidth="1"/>
    <col min="2569" max="2569" width="13.140625" bestFit="1" customWidth="1"/>
    <col min="2817" max="2817" width="22" customWidth="1"/>
    <col min="2818" max="2818" width="17.140625" customWidth="1"/>
    <col min="2819" max="2819" width="15.7109375" customWidth="1"/>
    <col min="2820" max="2820" width="12.7109375" bestFit="1" customWidth="1"/>
    <col min="2821" max="2821" width="17.28515625" customWidth="1"/>
    <col min="2822" max="2822" width="12.7109375" bestFit="1" customWidth="1"/>
    <col min="2823" max="2823" width="16" customWidth="1"/>
    <col min="2824" max="2824" width="15.28515625" customWidth="1"/>
    <col min="2825" max="2825" width="13.140625" bestFit="1" customWidth="1"/>
    <col min="3073" max="3073" width="22" customWidth="1"/>
    <col min="3074" max="3074" width="17.140625" customWidth="1"/>
    <col min="3075" max="3075" width="15.7109375" customWidth="1"/>
    <col min="3076" max="3076" width="12.7109375" bestFit="1" customWidth="1"/>
    <col min="3077" max="3077" width="17.28515625" customWidth="1"/>
    <col min="3078" max="3078" width="12.7109375" bestFit="1" customWidth="1"/>
    <col min="3079" max="3079" width="16" customWidth="1"/>
    <col min="3080" max="3080" width="15.28515625" customWidth="1"/>
    <col min="3081" max="3081" width="13.140625" bestFit="1" customWidth="1"/>
    <col min="3329" max="3329" width="22" customWidth="1"/>
    <col min="3330" max="3330" width="17.140625" customWidth="1"/>
    <col min="3331" max="3331" width="15.7109375" customWidth="1"/>
    <col min="3332" max="3332" width="12.7109375" bestFit="1" customWidth="1"/>
    <col min="3333" max="3333" width="17.28515625" customWidth="1"/>
    <col min="3334" max="3334" width="12.7109375" bestFit="1" customWidth="1"/>
    <col min="3335" max="3335" width="16" customWidth="1"/>
    <col min="3336" max="3336" width="15.28515625" customWidth="1"/>
    <col min="3337" max="3337" width="13.140625" bestFit="1" customWidth="1"/>
    <col min="3585" max="3585" width="22" customWidth="1"/>
    <col min="3586" max="3586" width="17.140625" customWidth="1"/>
    <col min="3587" max="3587" width="15.7109375" customWidth="1"/>
    <col min="3588" max="3588" width="12.7109375" bestFit="1" customWidth="1"/>
    <col min="3589" max="3589" width="17.28515625" customWidth="1"/>
    <col min="3590" max="3590" width="12.7109375" bestFit="1" customWidth="1"/>
    <col min="3591" max="3591" width="16" customWidth="1"/>
    <col min="3592" max="3592" width="15.28515625" customWidth="1"/>
    <col min="3593" max="3593" width="13.140625" bestFit="1" customWidth="1"/>
    <col min="3841" max="3841" width="22" customWidth="1"/>
    <col min="3842" max="3842" width="17.140625" customWidth="1"/>
    <col min="3843" max="3843" width="15.7109375" customWidth="1"/>
    <col min="3844" max="3844" width="12.7109375" bestFit="1" customWidth="1"/>
    <col min="3845" max="3845" width="17.28515625" customWidth="1"/>
    <col min="3846" max="3846" width="12.7109375" bestFit="1" customWidth="1"/>
    <col min="3847" max="3847" width="16" customWidth="1"/>
    <col min="3848" max="3848" width="15.28515625" customWidth="1"/>
    <col min="3849" max="3849" width="13.140625" bestFit="1" customWidth="1"/>
    <col min="4097" max="4097" width="22" customWidth="1"/>
    <col min="4098" max="4098" width="17.140625" customWidth="1"/>
    <col min="4099" max="4099" width="15.7109375" customWidth="1"/>
    <col min="4100" max="4100" width="12.7109375" bestFit="1" customWidth="1"/>
    <col min="4101" max="4101" width="17.28515625" customWidth="1"/>
    <col min="4102" max="4102" width="12.7109375" bestFit="1" customWidth="1"/>
    <col min="4103" max="4103" width="16" customWidth="1"/>
    <col min="4104" max="4104" width="15.28515625" customWidth="1"/>
    <col min="4105" max="4105" width="13.140625" bestFit="1" customWidth="1"/>
    <col min="4353" max="4353" width="22" customWidth="1"/>
    <col min="4354" max="4354" width="17.140625" customWidth="1"/>
    <col min="4355" max="4355" width="15.7109375" customWidth="1"/>
    <col min="4356" max="4356" width="12.7109375" bestFit="1" customWidth="1"/>
    <col min="4357" max="4357" width="17.28515625" customWidth="1"/>
    <col min="4358" max="4358" width="12.7109375" bestFit="1" customWidth="1"/>
    <col min="4359" max="4359" width="16" customWidth="1"/>
    <col min="4360" max="4360" width="15.28515625" customWidth="1"/>
    <col min="4361" max="4361" width="13.140625" bestFit="1" customWidth="1"/>
    <col min="4609" max="4609" width="22" customWidth="1"/>
    <col min="4610" max="4610" width="17.140625" customWidth="1"/>
    <col min="4611" max="4611" width="15.7109375" customWidth="1"/>
    <col min="4612" max="4612" width="12.7109375" bestFit="1" customWidth="1"/>
    <col min="4613" max="4613" width="17.28515625" customWidth="1"/>
    <col min="4614" max="4614" width="12.7109375" bestFit="1" customWidth="1"/>
    <col min="4615" max="4615" width="16" customWidth="1"/>
    <col min="4616" max="4616" width="15.28515625" customWidth="1"/>
    <col min="4617" max="4617" width="13.140625" bestFit="1" customWidth="1"/>
    <col min="4865" max="4865" width="22" customWidth="1"/>
    <col min="4866" max="4866" width="17.140625" customWidth="1"/>
    <col min="4867" max="4867" width="15.7109375" customWidth="1"/>
    <col min="4868" max="4868" width="12.7109375" bestFit="1" customWidth="1"/>
    <col min="4869" max="4869" width="17.28515625" customWidth="1"/>
    <col min="4870" max="4870" width="12.7109375" bestFit="1" customWidth="1"/>
    <col min="4871" max="4871" width="16" customWidth="1"/>
    <col min="4872" max="4872" width="15.28515625" customWidth="1"/>
    <col min="4873" max="4873" width="13.140625" bestFit="1" customWidth="1"/>
    <col min="5121" max="5121" width="22" customWidth="1"/>
    <col min="5122" max="5122" width="17.140625" customWidth="1"/>
    <col min="5123" max="5123" width="15.7109375" customWidth="1"/>
    <col min="5124" max="5124" width="12.7109375" bestFit="1" customWidth="1"/>
    <col min="5125" max="5125" width="17.28515625" customWidth="1"/>
    <col min="5126" max="5126" width="12.7109375" bestFit="1" customWidth="1"/>
    <col min="5127" max="5127" width="16" customWidth="1"/>
    <col min="5128" max="5128" width="15.28515625" customWidth="1"/>
    <col min="5129" max="5129" width="13.140625" bestFit="1" customWidth="1"/>
    <col min="5377" max="5377" width="22" customWidth="1"/>
    <col min="5378" max="5378" width="17.140625" customWidth="1"/>
    <col min="5379" max="5379" width="15.7109375" customWidth="1"/>
    <col min="5380" max="5380" width="12.7109375" bestFit="1" customWidth="1"/>
    <col min="5381" max="5381" width="17.28515625" customWidth="1"/>
    <col min="5382" max="5382" width="12.7109375" bestFit="1" customWidth="1"/>
    <col min="5383" max="5383" width="16" customWidth="1"/>
    <col min="5384" max="5384" width="15.28515625" customWidth="1"/>
    <col min="5385" max="5385" width="13.140625" bestFit="1" customWidth="1"/>
    <col min="5633" max="5633" width="22" customWidth="1"/>
    <col min="5634" max="5634" width="17.140625" customWidth="1"/>
    <col min="5635" max="5635" width="15.7109375" customWidth="1"/>
    <col min="5636" max="5636" width="12.7109375" bestFit="1" customWidth="1"/>
    <col min="5637" max="5637" width="17.28515625" customWidth="1"/>
    <col min="5638" max="5638" width="12.7109375" bestFit="1" customWidth="1"/>
    <col min="5639" max="5639" width="16" customWidth="1"/>
    <col min="5640" max="5640" width="15.28515625" customWidth="1"/>
    <col min="5641" max="5641" width="13.140625" bestFit="1" customWidth="1"/>
    <col min="5889" max="5889" width="22" customWidth="1"/>
    <col min="5890" max="5890" width="17.140625" customWidth="1"/>
    <col min="5891" max="5891" width="15.7109375" customWidth="1"/>
    <col min="5892" max="5892" width="12.7109375" bestFit="1" customWidth="1"/>
    <col min="5893" max="5893" width="17.28515625" customWidth="1"/>
    <col min="5894" max="5894" width="12.7109375" bestFit="1" customWidth="1"/>
    <col min="5895" max="5895" width="16" customWidth="1"/>
    <col min="5896" max="5896" width="15.28515625" customWidth="1"/>
    <col min="5897" max="5897" width="13.140625" bestFit="1" customWidth="1"/>
    <col min="6145" max="6145" width="22" customWidth="1"/>
    <col min="6146" max="6146" width="17.140625" customWidth="1"/>
    <col min="6147" max="6147" width="15.7109375" customWidth="1"/>
    <col min="6148" max="6148" width="12.7109375" bestFit="1" customWidth="1"/>
    <col min="6149" max="6149" width="17.28515625" customWidth="1"/>
    <col min="6150" max="6150" width="12.7109375" bestFit="1" customWidth="1"/>
    <col min="6151" max="6151" width="16" customWidth="1"/>
    <col min="6152" max="6152" width="15.28515625" customWidth="1"/>
    <col min="6153" max="6153" width="13.140625" bestFit="1" customWidth="1"/>
    <col min="6401" max="6401" width="22" customWidth="1"/>
    <col min="6402" max="6402" width="17.140625" customWidth="1"/>
    <col min="6403" max="6403" width="15.7109375" customWidth="1"/>
    <col min="6404" max="6404" width="12.7109375" bestFit="1" customWidth="1"/>
    <col min="6405" max="6405" width="17.28515625" customWidth="1"/>
    <col min="6406" max="6406" width="12.7109375" bestFit="1" customWidth="1"/>
    <col min="6407" max="6407" width="16" customWidth="1"/>
    <col min="6408" max="6408" width="15.28515625" customWidth="1"/>
    <col min="6409" max="6409" width="13.140625" bestFit="1" customWidth="1"/>
    <col min="6657" max="6657" width="22" customWidth="1"/>
    <col min="6658" max="6658" width="17.140625" customWidth="1"/>
    <col min="6659" max="6659" width="15.7109375" customWidth="1"/>
    <col min="6660" max="6660" width="12.7109375" bestFit="1" customWidth="1"/>
    <col min="6661" max="6661" width="17.28515625" customWidth="1"/>
    <col min="6662" max="6662" width="12.7109375" bestFit="1" customWidth="1"/>
    <col min="6663" max="6663" width="16" customWidth="1"/>
    <col min="6664" max="6664" width="15.28515625" customWidth="1"/>
    <col min="6665" max="6665" width="13.140625" bestFit="1" customWidth="1"/>
    <col min="6913" max="6913" width="22" customWidth="1"/>
    <col min="6914" max="6914" width="17.140625" customWidth="1"/>
    <col min="6915" max="6915" width="15.7109375" customWidth="1"/>
    <col min="6916" max="6916" width="12.7109375" bestFit="1" customWidth="1"/>
    <col min="6917" max="6917" width="17.28515625" customWidth="1"/>
    <col min="6918" max="6918" width="12.7109375" bestFit="1" customWidth="1"/>
    <col min="6919" max="6919" width="16" customWidth="1"/>
    <col min="6920" max="6920" width="15.28515625" customWidth="1"/>
    <col min="6921" max="6921" width="13.140625" bestFit="1" customWidth="1"/>
    <col min="7169" max="7169" width="22" customWidth="1"/>
    <col min="7170" max="7170" width="17.140625" customWidth="1"/>
    <col min="7171" max="7171" width="15.7109375" customWidth="1"/>
    <col min="7172" max="7172" width="12.7109375" bestFit="1" customWidth="1"/>
    <col min="7173" max="7173" width="17.28515625" customWidth="1"/>
    <col min="7174" max="7174" width="12.7109375" bestFit="1" customWidth="1"/>
    <col min="7175" max="7175" width="16" customWidth="1"/>
    <col min="7176" max="7176" width="15.28515625" customWidth="1"/>
    <col min="7177" max="7177" width="13.140625" bestFit="1" customWidth="1"/>
    <col min="7425" max="7425" width="22" customWidth="1"/>
    <col min="7426" max="7426" width="17.140625" customWidth="1"/>
    <col min="7427" max="7427" width="15.7109375" customWidth="1"/>
    <col min="7428" max="7428" width="12.7109375" bestFit="1" customWidth="1"/>
    <col min="7429" max="7429" width="17.28515625" customWidth="1"/>
    <col min="7430" max="7430" width="12.7109375" bestFit="1" customWidth="1"/>
    <col min="7431" max="7431" width="16" customWidth="1"/>
    <col min="7432" max="7432" width="15.28515625" customWidth="1"/>
    <col min="7433" max="7433" width="13.140625" bestFit="1" customWidth="1"/>
    <col min="7681" max="7681" width="22" customWidth="1"/>
    <col min="7682" max="7682" width="17.140625" customWidth="1"/>
    <col min="7683" max="7683" width="15.7109375" customWidth="1"/>
    <col min="7684" max="7684" width="12.7109375" bestFit="1" customWidth="1"/>
    <col min="7685" max="7685" width="17.28515625" customWidth="1"/>
    <col min="7686" max="7686" width="12.7109375" bestFit="1" customWidth="1"/>
    <col min="7687" max="7687" width="16" customWidth="1"/>
    <col min="7688" max="7688" width="15.28515625" customWidth="1"/>
    <col min="7689" max="7689" width="13.140625" bestFit="1" customWidth="1"/>
    <col min="7937" max="7937" width="22" customWidth="1"/>
    <col min="7938" max="7938" width="17.140625" customWidth="1"/>
    <col min="7939" max="7939" width="15.7109375" customWidth="1"/>
    <col min="7940" max="7940" width="12.7109375" bestFit="1" customWidth="1"/>
    <col min="7941" max="7941" width="17.28515625" customWidth="1"/>
    <col min="7942" max="7942" width="12.7109375" bestFit="1" customWidth="1"/>
    <col min="7943" max="7943" width="16" customWidth="1"/>
    <col min="7944" max="7944" width="15.28515625" customWidth="1"/>
    <col min="7945" max="7945" width="13.140625" bestFit="1" customWidth="1"/>
    <col min="8193" max="8193" width="22" customWidth="1"/>
    <col min="8194" max="8194" width="17.140625" customWidth="1"/>
    <col min="8195" max="8195" width="15.7109375" customWidth="1"/>
    <col min="8196" max="8196" width="12.7109375" bestFit="1" customWidth="1"/>
    <col min="8197" max="8197" width="17.28515625" customWidth="1"/>
    <col min="8198" max="8198" width="12.7109375" bestFit="1" customWidth="1"/>
    <col min="8199" max="8199" width="16" customWidth="1"/>
    <col min="8200" max="8200" width="15.28515625" customWidth="1"/>
    <col min="8201" max="8201" width="13.140625" bestFit="1" customWidth="1"/>
    <col min="8449" max="8449" width="22" customWidth="1"/>
    <col min="8450" max="8450" width="17.140625" customWidth="1"/>
    <col min="8451" max="8451" width="15.7109375" customWidth="1"/>
    <col min="8452" max="8452" width="12.7109375" bestFit="1" customWidth="1"/>
    <col min="8453" max="8453" width="17.28515625" customWidth="1"/>
    <col min="8454" max="8454" width="12.7109375" bestFit="1" customWidth="1"/>
    <col min="8455" max="8455" width="16" customWidth="1"/>
    <col min="8456" max="8456" width="15.28515625" customWidth="1"/>
    <col min="8457" max="8457" width="13.140625" bestFit="1" customWidth="1"/>
    <col min="8705" max="8705" width="22" customWidth="1"/>
    <col min="8706" max="8706" width="17.140625" customWidth="1"/>
    <col min="8707" max="8707" width="15.7109375" customWidth="1"/>
    <col min="8708" max="8708" width="12.7109375" bestFit="1" customWidth="1"/>
    <col min="8709" max="8709" width="17.28515625" customWidth="1"/>
    <col min="8710" max="8710" width="12.7109375" bestFit="1" customWidth="1"/>
    <col min="8711" max="8711" width="16" customWidth="1"/>
    <col min="8712" max="8712" width="15.28515625" customWidth="1"/>
    <col min="8713" max="8713" width="13.140625" bestFit="1" customWidth="1"/>
    <col min="8961" max="8961" width="22" customWidth="1"/>
    <col min="8962" max="8962" width="17.140625" customWidth="1"/>
    <col min="8963" max="8963" width="15.7109375" customWidth="1"/>
    <col min="8964" max="8964" width="12.7109375" bestFit="1" customWidth="1"/>
    <col min="8965" max="8965" width="17.28515625" customWidth="1"/>
    <col min="8966" max="8966" width="12.7109375" bestFit="1" customWidth="1"/>
    <col min="8967" max="8967" width="16" customWidth="1"/>
    <col min="8968" max="8968" width="15.28515625" customWidth="1"/>
    <col min="8969" max="8969" width="13.140625" bestFit="1" customWidth="1"/>
    <col min="9217" max="9217" width="22" customWidth="1"/>
    <col min="9218" max="9218" width="17.140625" customWidth="1"/>
    <col min="9219" max="9219" width="15.7109375" customWidth="1"/>
    <col min="9220" max="9220" width="12.7109375" bestFit="1" customWidth="1"/>
    <col min="9221" max="9221" width="17.28515625" customWidth="1"/>
    <col min="9222" max="9222" width="12.7109375" bestFit="1" customWidth="1"/>
    <col min="9223" max="9223" width="16" customWidth="1"/>
    <col min="9224" max="9224" width="15.28515625" customWidth="1"/>
    <col min="9225" max="9225" width="13.140625" bestFit="1" customWidth="1"/>
    <col min="9473" max="9473" width="22" customWidth="1"/>
    <col min="9474" max="9474" width="17.140625" customWidth="1"/>
    <col min="9475" max="9475" width="15.7109375" customWidth="1"/>
    <col min="9476" max="9476" width="12.7109375" bestFit="1" customWidth="1"/>
    <col min="9477" max="9477" width="17.28515625" customWidth="1"/>
    <col min="9478" max="9478" width="12.7109375" bestFit="1" customWidth="1"/>
    <col min="9479" max="9479" width="16" customWidth="1"/>
    <col min="9480" max="9480" width="15.28515625" customWidth="1"/>
    <col min="9481" max="9481" width="13.140625" bestFit="1" customWidth="1"/>
    <col min="9729" max="9729" width="22" customWidth="1"/>
    <col min="9730" max="9730" width="17.140625" customWidth="1"/>
    <col min="9731" max="9731" width="15.7109375" customWidth="1"/>
    <col min="9732" max="9732" width="12.7109375" bestFit="1" customWidth="1"/>
    <col min="9733" max="9733" width="17.28515625" customWidth="1"/>
    <col min="9734" max="9734" width="12.7109375" bestFit="1" customWidth="1"/>
    <col min="9735" max="9735" width="16" customWidth="1"/>
    <col min="9736" max="9736" width="15.28515625" customWidth="1"/>
    <col min="9737" max="9737" width="13.140625" bestFit="1" customWidth="1"/>
    <col min="9985" max="9985" width="22" customWidth="1"/>
    <col min="9986" max="9986" width="17.140625" customWidth="1"/>
    <col min="9987" max="9987" width="15.7109375" customWidth="1"/>
    <col min="9988" max="9988" width="12.7109375" bestFit="1" customWidth="1"/>
    <col min="9989" max="9989" width="17.28515625" customWidth="1"/>
    <col min="9990" max="9990" width="12.7109375" bestFit="1" customWidth="1"/>
    <col min="9991" max="9991" width="16" customWidth="1"/>
    <col min="9992" max="9992" width="15.28515625" customWidth="1"/>
    <col min="9993" max="9993" width="13.140625" bestFit="1" customWidth="1"/>
    <col min="10241" max="10241" width="22" customWidth="1"/>
    <col min="10242" max="10242" width="17.140625" customWidth="1"/>
    <col min="10243" max="10243" width="15.7109375" customWidth="1"/>
    <col min="10244" max="10244" width="12.7109375" bestFit="1" customWidth="1"/>
    <col min="10245" max="10245" width="17.28515625" customWidth="1"/>
    <col min="10246" max="10246" width="12.7109375" bestFit="1" customWidth="1"/>
    <col min="10247" max="10247" width="16" customWidth="1"/>
    <col min="10248" max="10248" width="15.28515625" customWidth="1"/>
    <col min="10249" max="10249" width="13.140625" bestFit="1" customWidth="1"/>
    <col min="10497" max="10497" width="22" customWidth="1"/>
    <col min="10498" max="10498" width="17.140625" customWidth="1"/>
    <col min="10499" max="10499" width="15.7109375" customWidth="1"/>
    <col min="10500" max="10500" width="12.7109375" bestFit="1" customWidth="1"/>
    <col min="10501" max="10501" width="17.28515625" customWidth="1"/>
    <col min="10502" max="10502" width="12.7109375" bestFit="1" customWidth="1"/>
    <col min="10503" max="10503" width="16" customWidth="1"/>
    <col min="10504" max="10504" width="15.28515625" customWidth="1"/>
    <col min="10505" max="10505" width="13.140625" bestFit="1" customWidth="1"/>
    <col min="10753" max="10753" width="22" customWidth="1"/>
    <col min="10754" max="10754" width="17.140625" customWidth="1"/>
    <col min="10755" max="10755" width="15.7109375" customWidth="1"/>
    <col min="10756" max="10756" width="12.7109375" bestFit="1" customWidth="1"/>
    <col min="10757" max="10757" width="17.28515625" customWidth="1"/>
    <col min="10758" max="10758" width="12.7109375" bestFit="1" customWidth="1"/>
    <col min="10759" max="10759" width="16" customWidth="1"/>
    <col min="10760" max="10760" width="15.28515625" customWidth="1"/>
    <col min="10761" max="10761" width="13.140625" bestFit="1" customWidth="1"/>
    <col min="11009" max="11009" width="22" customWidth="1"/>
    <col min="11010" max="11010" width="17.140625" customWidth="1"/>
    <col min="11011" max="11011" width="15.7109375" customWidth="1"/>
    <col min="11012" max="11012" width="12.7109375" bestFit="1" customWidth="1"/>
    <col min="11013" max="11013" width="17.28515625" customWidth="1"/>
    <col min="11014" max="11014" width="12.7109375" bestFit="1" customWidth="1"/>
    <col min="11015" max="11015" width="16" customWidth="1"/>
    <col min="11016" max="11016" width="15.28515625" customWidth="1"/>
    <col min="11017" max="11017" width="13.140625" bestFit="1" customWidth="1"/>
    <col min="11265" max="11265" width="22" customWidth="1"/>
    <col min="11266" max="11266" width="17.140625" customWidth="1"/>
    <col min="11267" max="11267" width="15.7109375" customWidth="1"/>
    <col min="11268" max="11268" width="12.7109375" bestFit="1" customWidth="1"/>
    <col min="11269" max="11269" width="17.28515625" customWidth="1"/>
    <col min="11270" max="11270" width="12.7109375" bestFit="1" customWidth="1"/>
    <col min="11271" max="11271" width="16" customWidth="1"/>
    <col min="11272" max="11272" width="15.28515625" customWidth="1"/>
    <col min="11273" max="11273" width="13.140625" bestFit="1" customWidth="1"/>
    <col min="11521" max="11521" width="22" customWidth="1"/>
    <col min="11522" max="11522" width="17.140625" customWidth="1"/>
    <col min="11523" max="11523" width="15.7109375" customWidth="1"/>
    <col min="11524" max="11524" width="12.7109375" bestFit="1" customWidth="1"/>
    <col min="11525" max="11525" width="17.28515625" customWidth="1"/>
    <col min="11526" max="11526" width="12.7109375" bestFit="1" customWidth="1"/>
    <col min="11527" max="11527" width="16" customWidth="1"/>
    <col min="11528" max="11528" width="15.28515625" customWidth="1"/>
    <col min="11529" max="11529" width="13.140625" bestFit="1" customWidth="1"/>
    <col min="11777" max="11777" width="22" customWidth="1"/>
    <col min="11778" max="11778" width="17.140625" customWidth="1"/>
    <col min="11779" max="11779" width="15.7109375" customWidth="1"/>
    <col min="11780" max="11780" width="12.7109375" bestFit="1" customWidth="1"/>
    <col min="11781" max="11781" width="17.28515625" customWidth="1"/>
    <col min="11782" max="11782" width="12.7109375" bestFit="1" customWidth="1"/>
    <col min="11783" max="11783" width="16" customWidth="1"/>
    <col min="11784" max="11784" width="15.28515625" customWidth="1"/>
    <col min="11785" max="11785" width="13.140625" bestFit="1" customWidth="1"/>
    <col min="12033" max="12033" width="22" customWidth="1"/>
    <col min="12034" max="12034" width="17.140625" customWidth="1"/>
    <col min="12035" max="12035" width="15.7109375" customWidth="1"/>
    <col min="12036" max="12036" width="12.7109375" bestFit="1" customWidth="1"/>
    <col min="12037" max="12037" width="17.28515625" customWidth="1"/>
    <col min="12038" max="12038" width="12.7109375" bestFit="1" customWidth="1"/>
    <col min="12039" max="12039" width="16" customWidth="1"/>
    <col min="12040" max="12040" width="15.28515625" customWidth="1"/>
    <col min="12041" max="12041" width="13.140625" bestFit="1" customWidth="1"/>
    <col min="12289" max="12289" width="22" customWidth="1"/>
    <col min="12290" max="12290" width="17.140625" customWidth="1"/>
    <col min="12291" max="12291" width="15.7109375" customWidth="1"/>
    <col min="12292" max="12292" width="12.7109375" bestFit="1" customWidth="1"/>
    <col min="12293" max="12293" width="17.28515625" customWidth="1"/>
    <col min="12294" max="12294" width="12.7109375" bestFit="1" customWidth="1"/>
    <col min="12295" max="12295" width="16" customWidth="1"/>
    <col min="12296" max="12296" width="15.28515625" customWidth="1"/>
    <col min="12297" max="12297" width="13.140625" bestFit="1" customWidth="1"/>
    <col min="12545" max="12545" width="22" customWidth="1"/>
    <col min="12546" max="12546" width="17.140625" customWidth="1"/>
    <col min="12547" max="12547" width="15.7109375" customWidth="1"/>
    <col min="12548" max="12548" width="12.7109375" bestFit="1" customWidth="1"/>
    <col min="12549" max="12549" width="17.28515625" customWidth="1"/>
    <col min="12550" max="12550" width="12.7109375" bestFit="1" customWidth="1"/>
    <col min="12551" max="12551" width="16" customWidth="1"/>
    <col min="12552" max="12552" width="15.28515625" customWidth="1"/>
    <col min="12553" max="12553" width="13.140625" bestFit="1" customWidth="1"/>
    <col min="12801" max="12801" width="22" customWidth="1"/>
    <col min="12802" max="12802" width="17.140625" customWidth="1"/>
    <col min="12803" max="12803" width="15.7109375" customWidth="1"/>
    <col min="12804" max="12804" width="12.7109375" bestFit="1" customWidth="1"/>
    <col min="12805" max="12805" width="17.28515625" customWidth="1"/>
    <col min="12806" max="12806" width="12.7109375" bestFit="1" customWidth="1"/>
    <col min="12807" max="12807" width="16" customWidth="1"/>
    <col min="12808" max="12808" width="15.28515625" customWidth="1"/>
    <col min="12809" max="12809" width="13.140625" bestFit="1" customWidth="1"/>
    <col min="13057" max="13057" width="22" customWidth="1"/>
    <col min="13058" max="13058" width="17.140625" customWidth="1"/>
    <col min="13059" max="13059" width="15.7109375" customWidth="1"/>
    <col min="13060" max="13060" width="12.7109375" bestFit="1" customWidth="1"/>
    <col min="13061" max="13061" width="17.28515625" customWidth="1"/>
    <col min="13062" max="13062" width="12.7109375" bestFit="1" customWidth="1"/>
    <col min="13063" max="13063" width="16" customWidth="1"/>
    <col min="13064" max="13064" width="15.28515625" customWidth="1"/>
    <col min="13065" max="13065" width="13.140625" bestFit="1" customWidth="1"/>
    <col min="13313" max="13313" width="22" customWidth="1"/>
    <col min="13314" max="13314" width="17.140625" customWidth="1"/>
    <col min="13315" max="13315" width="15.7109375" customWidth="1"/>
    <col min="13316" max="13316" width="12.7109375" bestFit="1" customWidth="1"/>
    <col min="13317" max="13317" width="17.28515625" customWidth="1"/>
    <col min="13318" max="13318" width="12.7109375" bestFit="1" customWidth="1"/>
    <col min="13319" max="13319" width="16" customWidth="1"/>
    <col min="13320" max="13320" width="15.28515625" customWidth="1"/>
    <col min="13321" max="13321" width="13.140625" bestFit="1" customWidth="1"/>
    <col min="13569" max="13569" width="22" customWidth="1"/>
    <col min="13570" max="13570" width="17.140625" customWidth="1"/>
    <col min="13571" max="13571" width="15.7109375" customWidth="1"/>
    <col min="13572" max="13572" width="12.7109375" bestFit="1" customWidth="1"/>
    <col min="13573" max="13573" width="17.28515625" customWidth="1"/>
    <col min="13574" max="13574" width="12.7109375" bestFit="1" customWidth="1"/>
    <col min="13575" max="13575" width="16" customWidth="1"/>
    <col min="13576" max="13576" width="15.28515625" customWidth="1"/>
    <col min="13577" max="13577" width="13.140625" bestFit="1" customWidth="1"/>
    <col min="13825" max="13825" width="22" customWidth="1"/>
    <col min="13826" max="13826" width="17.140625" customWidth="1"/>
    <col min="13827" max="13827" width="15.7109375" customWidth="1"/>
    <col min="13828" max="13828" width="12.7109375" bestFit="1" customWidth="1"/>
    <col min="13829" max="13829" width="17.28515625" customWidth="1"/>
    <col min="13830" max="13830" width="12.7109375" bestFit="1" customWidth="1"/>
    <col min="13831" max="13831" width="16" customWidth="1"/>
    <col min="13832" max="13832" width="15.28515625" customWidth="1"/>
    <col min="13833" max="13833" width="13.140625" bestFit="1" customWidth="1"/>
    <col min="14081" max="14081" width="22" customWidth="1"/>
    <col min="14082" max="14082" width="17.140625" customWidth="1"/>
    <col min="14083" max="14083" width="15.7109375" customWidth="1"/>
    <col min="14084" max="14084" width="12.7109375" bestFit="1" customWidth="1"/>
    <col min="14085" max="14085" width="17.28515625" customWidth="1"/>
    <col min="14086" max="14086" width="12.7109375" bestFit="1" customWidth="1"/>
    <col min="14087" max="14087" width="16" customWidth="1"/>
    <col min="14088" max="14088" width="15.28515625" customWidth="1"/>
    <col min="14089" max="14089" width="13.140625" bestFit="1" customWidth="1"/>
    <col min="14337" max="14337" width="22" customWidth="1"/>
    <col min="14338" max="14338" width="17.140625" customWidth="1"/>
    <col min="14339" max="14339" width="15.7109375" customWidth="1"/>
    <col min="14340" max="14340" width="12.7109375" bestFit="1" customWidth="1"/>
    <col min="14341" max="14341" width="17.28515625" customWidth="1"/>
    <col min="14342" max="14342" width="12.7109375" bestFit="1" customWidth="1"/>
    <col min="14343" max="14343" width="16" customWidth="1"/>
    <col min="14344" max="14344" width="15.28515625" customWidth="1"/>
    <col min="14345" max="14345" width="13.140625" bestFit="1" customWidth="1"/>
    <col min="14593" max="14593" width="22" customWidth="1"/>
    <col min="14594" max="14594" width="17.140625" customWidth="1"/>
    <col min="14595" max="14595" width="15.7109375" customWidth="1"/>
    <col min="14596" max="14596" width="12.7109375" bestFit="1" customWidth="1"/>
    <col min="14597" max="14597" width="17.28515625" customWidth="1"/>
    <col min="14598" max="14598" width="12.7109375" bestFit="1" customWidth="1"/>
    <col min="14599" max="14599" width="16" customWidth="1"/>
    <col min="14600" max="14600" width="15.28515625" customWidth="1"/>
    <col min="14601" max="14601" width="13.140625" bestFit="1" customWidth="1"/>
    <col min="14849" max="14849" width="22" customWidth="1"/>
    <col min="14850" max="14850" width="17.140625" customWidth="1"/>
    <col min="14851" max="14851" width="15.7109375" customWidth="1"/>
    <col min="14852" max="14852" width="12.7109375" bestFit="1" customWidth="1"/>
    <col min="14853" max="14853" width="17.28515625" customWidth="1"/>
    <col min="14854" max="14854" width="12.7109375" bestFit="1" customWidth="1"/>
    <col min="14855" max="14855" width="16" customWidth="1"/>
    <col min="14856" max="14856" width="15.28515625" customWidth="1"/>
    <col min="14857" max="14857" width="13.140625" bestFit="1" customWidth="1"/>
    <col min="15105" max="15105" width="22" customWidth="1"/>
    <col min="15106" max="15106" width="17.140625" customWidth="1"/>
    <col min="15107" max="15107" width="15.7109375" customWidth="1"/>
    <col min="15108" max="15108" width="12.7109375" bestFit="1" customWidth="1"/>
    <col min="15109" max="15109" width="17.28515625" customWidth="1"/>
    <col min="15110" max="15110" width="12.7109375" bestFit="1" customWidth="1"/>
    <col min="15111" max="15111" width="16" customWidth="1"/>
    <col min="15112" max="15112" width="15.28515625" customWidth="1"/>
    <col min="15113" max="15113" width="13.140625" bestFit="1" customWidth="1"/>
    <col min="15361" max="15361" width="22" customWidth="1"/>
    <col min="15362" max="15362" width="17.140625" customWidth="1"/>
    <col min="15363" max="15363" width="15.7109375" customWidth="1"/>
    <col min="15364" max="15364" width="12.7109375" bestFit="1" customWidth="1"/>
    <col min="15365" max="15365" width="17.28515625" customWidth="1"/>
    <col min="15366" max="15366" width="12.7109375" bestFit="1" customWidth="1"/>
    <col min="15367" max="15367" width="16" customWidth="1"/>
    <col min="15368" max="15368" width="15.28515625" customWidth="1"/>
    <col min="15369" max="15369" width="13.140625" bestFit="1" customWidth="1"/>
    <col min="15617" max="15617" width="22" customWidth="1"/>
    <col min="15618" max="15618" width="17.140625" customWidth="1"/>
    <col min="15619" max="15619" width="15.7109375" customWidth="1"/>
    <col min="15620" max="15620" width="12.7109375" bestFit="1" customWidth="1"/>
    <col min="15621" max="15621" width="17.28515625" customWidth="1"/>
    <col min="15622" max="15622" width="12.7109375" bestFit="1" customWidth="1"/>
    <col min="15623" max="15623" width="16" customWidth="1"/>
    <col min="15624" max="15624" width="15.28515625" customWidth="1"/>
    <col min="15625" max="15625" width="13.140625" bestFit="1" customWidth="1"/>
    <col min="15873" max="15873" width="22" customWidth="1"/>
    <col min="15874" max="15874" width="17.140625" customWidth="1"/>
    <col min="15875" max="15875" width="15.7109375" customWidth="1"/>
    <col min="15876" max="15876" width="12.7109375" bestFit="1" customWidth="1"/>
    <col min="15877" max="15877" width="17.28515625" customWidth="1"/>
    <col min="15878" max="15878" width="12.7109375" bestFit="1" customWidth="1"/>
    <col min="15879" max="15879" width="16" customWidth="1"/>
    <col min="15880" max="15880" width="15.28515625" customWidth="1"/>
    <col min="15881" max="15881" width="13.140625" bestFit="1" customWidth="1"/>
    <col min="16129" max="16129" width="22" customWidth="1"/>
    <col min="16130" max="16130" width="17.140625" customWidth="1"/>
    <col min="16131" max="16131" width="15.7109375" customWidth="1"/>
    <col min="16132" max="16132" width="12.7109375" bestFit="1" customWidth="1"/>
    <col min="16133" max="16133" width="17.28515625" customWidth="1"/>
    <col min="16134" max="16134" width="12.7109375" bestFit="1" customWidth="1"/>
    <col min="16135" max="16135" width="16" customWidth="1"/>
    <col min="16136" max="16136" width="15.28515625" customWidth="1"/>
    <col min="16137" max="16137" width="13.140625" bestFit="1" customWidth="1"/>
  </cols>
  <sheetData>
    <row r="1" spans="1:12" ht="23.25" customHeight="1" x14ac:dyDescent="0.2">
      <c r="A1" s="519" t="s">
        <v>768</v>
      </c>
      <c r="B1" s="519"/>
      <c r="C1" s="519"/>
      <c r="D1" s="519"/>
      <c r="E1" s="519"/>
      <c r="F1" s="519"/>
      <c r="G1" s="519"/>
      <c r="H1" s="519"/>
      <c r="I1" s="519"/>
      <c r="J1" s="175"/>
      <c r="K1" s="175"/>
      <c r="L1" s="175"/>
    </row>
    <row r="2" spans="1:12" ht="62.25" customHeight="1" x14ac:dyDescent="0.2">
      <c r="A2" s="176" t="s">
        <v>313</v>
      </c>
      <c r="B2" s="176" t="s">
        <v>0</v>
      </c>
      <c r="C2" s="264" t="s">
        <v>1</v>
      </c>
      <c r="D2" s="64" t="s">
        <v>166</v>
      </c>
      <c r="E2" s="264" t="s">
        <v>167</v>
      </c>
      <c r="F2" s="64" t="s">
        <v>168</v>
      </c>
      <c r="G2" s="64" t="s">
        <v>169</v>
      </c>
      <c r="H2" s="65" t="s">
        <v>170</v>
      </c>
      <c r="I2" s="265" t="s">
        <v>171</v>
      </c>
    </row>
    <row r="3" spans="1:12" ht="94.5" customHeight="1" x14ac:dyDescent="0.2">
      <c r="A3" s="13" t="s">
        <v>769</v>
      </c>
      <c r="B3" s="13" t="s">
        <v>770</v>
      </c>
      <c r="C3" s="289">
        <v>450000</v>
      </c>
      <c r="D3" s="290">
        <v>165600</v>
      </c>
      <c r="E3" s="268" t="s">
        <v>517</v>
      </c>
      <c r="F3" s="291">
        <v>0</v>
      </c>
      <c r="G3" s="290">
        <v>165600</v>
      </c>
      <c r="H3" s="13" t="s">
        <v>616</v>
      </c>
      <c r="I3" s="267">
        <v>43466</v>
      </c>
    </row>
    <row r="4" spans="1:12" ht="84.75" customHeight="1" x14ac:dyDescent="0.2">
      <c r="A4" s="57" t="s">
        <v>771</v>
      </c>
      <c r="B4" s="29" t="s">
        <v>772</v>
      </c>
      <c r="C4" s="289">
        <v>419375</v>
      </c>
      <c r="D4" s="290">
        <v>200000</v>
      </c>
      <c r="E4" s="268" t="s">
        <v>517</v>
      </c>
      <c r="F4" s="291">
        <v>0</v>
      </c>
      <c r="G4" s="289">
        <v>200000</v>
      </c>
      <c r="H4" s="13" t="s">
        <v>616</v>
      </c>
      <c r="I4" s="292">
        <v>43466</v>
      </c>
    </row>
    <row r="5" spans="1:12" ht="158.25" customHeight="1" x14ac:dyDescent="0.2">
      <c r="A5" s="13" t="s">
        <v>773</v>
      </c>
      <c r="B5" s="13" t="s">
        <v>774</v>
      </c>
      <c r="C5" s="289">
        <v>706050</v>
      </c>
      <c r="D5" s="290">
        <v>556050</v>
      </c>
      <c r="E5" s="13" t="s">
        <v>775</v>
      </c>
      <c r="F5" s="291">
        <v>0</v>
      </c>
      <c r="G5" s="290">
        <v>556050</v>
      </c>
      <c r="H5" s="13" t="s">
        <v>616</v>
      </c>
      <c r="I5" s="267">
        <v>43466</v>
      </c>
    </row>
    <row r="6" spans="1:12" ht="110.25" customHeight="1" x14ac:dyDescent="0.2">
      <c r="A6" s="13" t="s">
        <v>776</v>
      </c>
      <c r="B6" s="13" t="s">
        <v>777</v>
      </c>
      <c r="C6" s="289">
        <v>119306</v>
      </c>
      <c r="D6" s="290">
        <v>95445</v>
      </c>
      <c r="E6" s="13" t="s">
        <v>517</v>
      </c>
      <c r="F6" s="291">
        <v>0</v>
      </c>
      <c r="G6" s="289">
        <v>95445</v>
      </c>
      <c r="H6" s="13" t="s">
        <v>616</v>
      </c>
      <c r="I6" s="269">
        <v>43466</v>
      </c>
      <c r="J6" s="173"/>
    </row>
    <row r="7" spans="1:12" ht="49.5" customHeight="1" x14ac:dyDescent="0.2">
      <c r="A7" s="13" t="s">
        <v>778</v>
      </c>
      <c r="B7" s="13" t="s">
        <v>779</v>
      </c>
      <c r="C7" s="289">
        <v>350356</v>
      </c>
      <c r="D7" s="290">
        <v>280285</v>
      </c>
      <c r="E7" s="13" t="s">
        <v>517</v>
      </c>
      <c r="F7" s="291">
        <v>0</v>
      </c>
      <c r="G7" s="289">
        <v>280285</v>
      </c>
      <c r="H7" s="13" t="s">
        <v>616</v>
      </c>
      <c r="I7" s="269">
        <v>43466</v>
      </c>
      <c r="J7" s="173"/>
    </row>
    <row r="8" spans="1:12" ht="13.5" customHeight="1" x14ac:dyDescent="0.2">
      <c r="A8" s="181"/>
      <c r="B8" s="181"/>
      <c r="C8" s="188">
        <f>SUM(C3:C7)</f>
        <v>2045087</v>
      </c>
      <c r="D8" s="188">
        <f>SUM(D3:D7)</f>
        <v>1297380</v>
      </c>
      <c r="E8" s="188"/>
      <c r="F8" s="188">
        <f>SUM(F3:F7)</f>
        <v>0</v>
      </c>
      <c r="G8" s="188">
        <f>SUM(G3:G7)</f>
        <v>1297380</v>
      </c>
      <c r="H8" s="182"/>
      <c r="I8" s="182"/>
    </row>
    <row r="9" spans="1:12" s="3" customFormat="1" ht="13.5" customHeight="1" x14ac:dyDescent="0.2">
      <c r="A9" s="468"/>
      <c r="B9" s="468"/>
      <c r="C9" s="338"/>
      <c r="D9" s="338"/>
      <c r="E9" s="338"/>
      <c r="F9" s="338"/>
      <c r="G9" s="338"/>
      <c r="H9" s="469"/>
      <c r="I9" s="469"/>
    </row>
    <row r="10" spans="1:12" ht="23.25" customHeight="1" x14ac:dyDescent="0.2">
      <c r="A10" s="519" t="s">
        <v>612</v>
      </c>
      <c r="B10" s="519"/>
      <c r="C10" s="519"/>
      <c r="D10" s="519"/>
      <c r="E10" s="519"/>
      <c r="F10" s="519"/>
      <c r="G10" s="519"/>
      <c r="H10" s="519"/>
      <c r="I10" s="519"/>
      <c r="J10" s="175"/>
      <c r="K10" s="175"/>
      <c r="L10" s="175"/>
    </row>
    <row r="11" spans="1:12" ht="62.25" customHeight="1" x14ac:dyDescent="0.2">
      <c r="A11" s="176" t="s">
        <v>313</v>
      </c>
      <c r="B11" s="176" t="s">
        <v>0</v>
      </c>
      <c r="C11" s="264" t="s">
        <v>1</v>
      </c>
      <c r="D11" s="64" t="s">
        <v>166</v>
      </c>
      <c r="E11" s="264" t="s">
        <v>167</v>
      </c>
      <c r="F11" s="64" t="s">
        <v>168</v>
      </c>
      <c r="G11" s="64" t="s">
        <v>169</v>
      </c>
      <c r="H11" s="65" t="s">
        <v>170</v>
      </c>
      <c r="I11" s="265" t="s">
        <v>171</v>
      </c>
    </row>
    <row r="12" spans="1:12" ht="50.25" customHeight="1" x14ac:dyDescent="0.2">
      <c r="A12" s="13" t="s">
        <v>613</v>
      </c>
      <c r="B12" s="10" t="s">
        <v>614</v>
      </c>
      <c r="C12" s="289">
        <v>654315</v>
      </c>
      <c r="D12" s="290">
        <v>523452</v>
      </c>
      <c r="E12" s="266" t="s">
        <v>615</v>
      </c>
      <c r="F12" s="291">
        <v>0</v>
      </c>
      <c r="G12" s="290">
        <v>523452</v>
      </c>
      <c r="H12" s="13" t="s">
        <v>520</v>
      </c>
      <c r="I12" s="267">
        <v>43101</v>
      </c>
    </row>
    <row r="13" spans="1:12" ht="43.5" customHeight="1" x14ac:dyDescent="0.2">
      <c r="A13" s="57" t="s">
        <v>617</v>
      </c>
      <c r="B13" s="29" t="s">
        <v>618</v>
      </c>
      <c r="C13" s="289">
        <v>9614000</v>
      </c>
      <c r="D13" s="290">
        <v>500000</v>
      </c>
      <c r="E13" s="268" t="s">
        <v>517</v>
      </c>
      <c r="F13" s="291">
        <v>0</v>
      </c>
      <c r="G13" s="289">
        <v>0</v>
      </c>
      <c r="H13" s="13" t="s">
        <v>780</v>
      </c>
      <c r="I13" s="292" t="s">
        <v>397</v>
      </c>
    </row>
    <row r="14" spans="1:12" ht="63" customHeight="1" x14ac:dyDescent="0.2">
      <c r="A14" s="13" t="s">
        <v>619</v>
      </c>
      <c r="B14" s="13" t="s">
        <v>620</v>
      </c>
      <c r="C14" s="289">
        <v>10000000</v>
      </c>
      <c r="D14" s="290">
        <v>1700000</v>
      </c>
      <c r="E14" s="13" t="s">
        <v>517</v>
      </c>
      <c r="F14" s="291">
        <v>0</v>
      </c>
      <c r="G14" s="290">
        <v>1700000</v>
      </c>
      <c r="H14" s="13" t="s">
        <v>616</v>
      </c>
      <c r="I14" s="267">
        <v>43101</v>
      </c>
    </row>
    <row r="15" spans="1:12" ht="52.5" customHeight="1" x14ac:dyDescent="0.2">
      <c r="A15" s="13" t="s">
        <v>621</v>
      </c>
      <c r="B15" s="13" t="s">
        <v>622</v>
      </c>
      <c r="C15" s="289">
        <v>2100000</v>
      </c>
      <c r="D15" s="290">
        <v>1600000</v>
      </c>
      <c r="E15" s="10" t="s">
        <v>615</v>
      </c>
      <c r="F15" s="291">
        <v>0</v>
      </c>
      <c r="G15" s="289">
        <v>1600000</v>
      </c>
      <c r="H15" s="13" t="s">
        <v>520</v>
      </c>
      <c r="I15" s="269">
        <v>43101</v>
      </c>
      <c r="J15" s="173"/>
    </row>
    <row r="16" spans="1:12" ht="49.5" customHeight="1" x14ac:dyDescent="0.2">
      <c r="A16" s="13" t="s">
        <v>623</v>
      </c>
      <c r="B16" s="13" t="s">
        <v>624</v>
      </c>
      <c r="C16" s="289">
        <v>286000</v>
      </c>
      <c r="D16" s="290">
        <v>228800</v>
      </c>
      <c r="E16" s="10" t="s">
        <v>615</v>
      </c>
      <c r="F16" s="291">
        <v>0</v>
      </c>
      <c r="G16" s="289">
        <v>228800</v>
      </c>
      <c r="H16" s="13" t="s">
        <v>520</v>
      </c>
      <c r="I16" s="269">
        <v>43101</v>
      </c>
      <c r="J16" s="173"/>
    </row>
    <row r="17" spans="1:12" ht="36.75" customHeight="1" x14ac:dyDescent="0.2">
      <c r="A17" s="11" t="s">
        <v>625</v>
      </c>
      <c r="B17" s="11" t="s">
        <v>626</v>
      </c>
      <c r="C17" s="289">
        <v>130000</v>
      </c>
      <c r="D17" s="183">
        <v>100000</v>
      </c>
      <c r="E17" s="10" t="s">
        <v>627</v>
      </c>
      <c r="F17" s="167">
        <v>0</v>
      </c>
      <c r="G17" s="187">
        <v>100000</v>
      </c>
      <c r="H17" s="11" t="s">
        <v>520</v>
      </c>
      <c r="I17" s="269">
        <v>42552</v>
      </c>
    </row>
    <row r="18" spans="1:12" ht="13.5" customHeight="1" x14ac:dyDescent="0.2">
      <c r="A18" s="181"/>
      <c r="B18" s="181"/>
      <c r="C18" s="188">
        <f>SUM(C12:C17)</f>
        <v>22784315</v>
      </c>
      <c r="D18" s="188">
        <f>SUM(D12:D17)</f>
        <v>4652252</v>
      </c>
      <c r="E18" s="188"/>
      <c r="F18" s="188">
        <f>SUM(F12:F17)</f>
        <v>0</v>
      </c>
      <c r="G18" s="188">
        <f>SUM(G12:G17)</f>
        <v>4152252</v>
      </c>
      <c r="H18" s="182"/>
      <c r="I18" s="182"/>
    </row>
    <row r="19" spans="1:12" s="3" customFormat="1" ht="13.5" customHeight="1" x14ac:dyDescent="0.2">
      <c r="A19" s="470"/>
      <c r="B19" s="470"/>
      <c r="C19" s="471"/>
      <c r="D19" s="471"/>
      <c r="E19" s="471"/>
      <c r="F19" s="471"/>
      <c r="G19" s="471"/>
      <c r="H19" s="472"/>
      <c r="I19" s="472"/>
    </row>
    <row r="20" spans="1:12" ht="23.25" customHeight="1" x14ac:dyDescent="0.2">
      <c r="A20" s="520" t="s">
        <v>512</v>
      </c>
      <c r="B20" s="520"/>
      <c r="C20" s="520"/>
      <c r="D20" s="520"/>
      <c r="E20" s="520"/>
      <c r="F20" s="520"/>
      <c r="G20" s="520"/>
      <c r="H20" s="520"/>
      <c r="I20" s="520"/>
      <c r="J20" s="175"/>
      <c r="K20" s="175"/>
      <c r="L20" s="175"/>
    </row>
    <row r="21" spans="1:12" ht="62.25" customHeight="1" x14ac:dyDescent="0.2">
      <c r="A21" s="176" t="s">
        <v>313</v>
      </c>
      <c r="B21" s="176" t="s">
        <v>0</v>
      </c>
      <c r="C21" s="264" t="s">
        <v>1</v>
      </c>
      <c r="D21" s="64" t="s">
        <v>166</v>
      </c>
      <c r="E21" s="264" t="s">
        <v>167</v>
      </c>
      <c r="F21" s="64" t="s">
        <v>168</v>
      </c>
      <c r="G21" s="64" t="s">
        <v>169</v>
      </c>
      <c r="H21" s="65" t="s">
        <v>170</v>
      </c>
      <c r="I21" s="265" t="s">
        <v>171</v>
      </c>
    </row>
    <row r="22" spans="1:12" ht="44.25" customHeight="1" x14ac:dyDescent="0.2">
      <c r="A22" s="11" t="s">
        <v>513</v>
      </c>
      <c r="B22" s="2" t="s">
        <v>514</v>
      </c>
      <c r="C22" s="289">
        <v>150000000</v>
      </c>
      <c r="D22" s="183">
        <v>324000</v>
      </c>
      <c r="E22" s="266" t="s">
        <v>327</v>
      </c>
      <c r="F22" s="167">
        <v>324000</v>
      </c>
      <c r="G22" s="177">
        <v>0</v>
      </c>
      <c r="H22" s="11" t="s">
        <v>229</v>
      </c>
      <c r="I22" s="267">
        <v>42109</v>
      </c>
    </row>
    <row r="23" spans="1:12" ht="37.5" customHeight="1" x14ac:dyDescent="0.2">
      <c r="A23" s="260" t="s">
        <v>515</v>
      </c>
      <c r="B23" s="29" t="s">
        <v>516</v>
      </c>
      <c r="C23" s="289">
        <v>14832000</v>
      </c>
      <c r="D23" s="183">
        <v>419000</v>
      </c>
      <c r="E23" s="268" t="s">
        <v>517</v>
      </c>
      <c r="F23" s="167">
        <v>419000</v>
      </c>
      <c r="G23" s="178">
        <v>0</v>
      </c>
      <c r="H23" s="11" t="s">
        <v>628</v>
      </c>
      <c r="I23" s="267">
        <v>41801</v>
      </c>
    </row>
    <row r="24" spans="1:12" ht="42.75" customHeight="1" x14ac:dyDescent="0.2">
      <c r="A24" s="11" t="s">
        <v>518</v>
      </c>
      <c r="B24" s="11" t="s">
        <v>519</v>
      </c>
      <c r="C24" s="289">
        <v>30000000</v>
      </c>
      <c r="D24" s="183">
        <v>108000</v>
      </c>
      <c r="E24" s="13" t="s">
        <v>517</v>
      </c>
      <c r="F24" s="167">
        <v>0</v>
      </c>
      <c r="G24" s="177">
        <v>108000</v>
      </c>
      <c r="H24" s="11" t="s">
        <v>520</v>
      </c>
      <c r="I24" s="267">
        <v>42917</v>
      </c>
    </row>
    <row r="25" spans="1:12" ht="42" customHeight="1" x14ac:dyDescent="0.2">
      <c r="A25" s="11" t="s">
        <v>521</v>
      </c>
      <c r="B25" s="11" t="s">
        <v>522</v>
      </c>
      <c r="C25" s="289">
        <v>24000000</v>
      </c>
      <c r="D25" s="183">
        <v>1450000</v>
      </c>
      <c r="E25" s="10" t="s">
        <v>517</v>
      </c>
      <c r="F25" s="167">
        <v>1450000</v>
      </c>
      <c r="G25" s="178">
        <v>0</v>
      </c>
      <c r="H25" s="11" t="s">
        <v>781</v>
      </c>
      <c r="I25" s="269">
        <v>42325</v>
      </c>
      <c r="J25" s="173"/>
    </row>
    <row r="26" spans="1:12" ht="30" customHeight="1" x14ac:dyDescent="0.2">
      <c r="A26" s="11" t="s">
        <v>523</v>
      </c>
      <c r="B26" s="11" t="s">
        <v>524</v>
      </c>
      <c r="C26" s="289">
        <v>2840000</v>
      </c>
      <c r="D26" s="183">
        <v>725000</v>
      </c>
      <c r="E26" s="10" t="s">
        <v>517</v>
      </c>
      <c r="F26" s="167">
        <v>725000</v>
      </c>
      <c r="G26" s="178">
        <v>0</v>
      </c>
      <c r="H26" s="11" t="s">
        <v>628</v>
      </c>
      <c r="I26" s="269">
        <v>42143</v>
      </c>
      <c r="J26" s="173"/>
    </row>
    <row r="27" spans="1:12" ht="46.5" customHeight="1" x14ac:dyDescent="0.2">
      <c r="A27" s="11" t="s">
        <v>525</v>
      </c>
      <c r="B27" s="11" t="s">
        <v>333</v>
      </c>
      <c r="C27" s="289">
        <v>118000</v>
      </c>
      <c r="D27" s="183">
        <v>94400</v>
      </c>
      <c r="E27" s="10" t="s">
        <v>316</v>
      </c>
      <c r="F27" s="167">
        <v>91160</v>
      </c>
      <c r="G27" s="178">
        <v>3240</v>
      </c>
      <c r="H27" s="11" t="s">
        <v>782</v>
      </c>
      <c r="I27" s="269">
        <v>42370</v>
      </c>
    </row>
    <row r="28" spans="1:12" ht="13.5" customHeight="1" x14ac:dyDescent="0.2">
      <c r="A28" s="181"/>
      <c r="B28" s="181"/>
      <c r="C28" s="188">
        <f>SUM(C22:C27)</f>
        <v>221790000</v>
      </c>
      <c r="D28" s="188">
        <f>SUM(D22:D27)</f>
        <v>3120400</v>
      </c>
      <c r="E28" s="188"/>
      <c r="F28" s="188">
        <f>SUM(F22:F27)</f>
        <v>3009160</v>
      </c>
      <c r="G28" s="188">
        <f>SUM(G22:G27)</f>
        <v>111240</v>
      </c>
      <c r="H28" s="182"/>
      <c r="I28" s="182"/>
    </row>
    <row r="30" spans="1:12" s="175" customFormat="1" ht="33.75" customHeight="1" x14ac:dyDescent="0.2">
      <c r="A30" s="519" t="s">
        <v>324</v>
      </c>
      <c r="B30" s="519"/>
      <c r="C30" s="519"/>
      <c r="D30" s="519"/>
      <c r="E30" s="519"/>
      <c r="F30" s="519"/>
      <c r="G30" s="519"/>
      <c r="H30" s="519"/>
      <c r="I30" s="519"/>
    </row>
    <row r="31" spans="1:12" ht="60" x14ac:dyDescent="0.2">
      <c r="A31" s="176" t="s">
        <v>313</v>
      </c>
      <c r="B31" s="176" t="s">
        <v>0</v>
      </c>
      <c r="C31" s="64" t="s">
        <v>1</v>
      </c>
      <c r="D31" s="64" t="s">
        <v>166</v>
      </c>
      <c r="E31" s="64" t="s">
        <v>167</v>
      </c>
      <c r="F31" s="64" t="s">
        <v>168</v>
      </c>
      <c r="G31" s="64" t="s">
        <v>169</v>
      </c>
      <c r="H31" s="65" t="s">
        <v>170</v>
      </c>
      <c r="I31" s="65" t="s">
        <v>171</v>
      </c>
    </row>
    <row r="32" spans="1:12" ht="25.5" x14ac:dyDescent="0.2">
      <c r="A32" s="11" t="s">
        <v>325</v>
      </c>
      <c r="B32" s="2" t="s">
        <v>326</v>
      </c>
      <c r="C32" s="183">
        <v>2840400</v>
      </c>
      <c r="D32" s="183">
        <v>1500000</v>
      </c>
      <c r="E32" s="166" t="s">
        <v>327</v>
      </c>
      <c r="F32" s="167">
        <v>1500000</v>
      </c>
      <c r="G32" s="187">
        <v>0</v>
      </c>
      <c r="H32" s="2" t="s">
        <v>343</v>
      </c>
      <c r="I32" s="169">
        <v>41744</v>
      </c>
    </row>
    <row r="33" spans="1:10" ht="25.5" x14ac:dyDescent="0.2">
      <c r="A33" s="13" t="s">
        <v>328</v>
      </c>
      <c r="B33" s="29" t="s">
        <v>329</v>
      </c>
      <c r="C33" s="290">
        <v>5711369</v>
      </c>
      <c r="D33" s="290">
        <v>900000</v>
      </c>
      <c r="E33" s="268" t="s">
        <v>316</v>
      </c>
      <c r="F33" s="291">
        <v>0</v>
      </c>
      <c r="G33" s="289">
        <v>900000</v>
      </c>
      <c r="H33" s="13" t="s">
        <v>520</v>
      </c>
      <c r="I33" s="267">
        <v>42885</v>
      </c>
    </row>
    <row r="34" spans="1:10" ht="25.5" x14ac:dyDescent="0.2">
      <c r="A34" s="11" t="s">
        <v>330</v>
      </c>
      <c r="B34" s="11" t="s">
        <v>331</v>
      </c>
      <c r="C34" s="187">
        <v>4397880</v>
      </c>
      <c r="D34" s="183">
        <v>1116000</v>
      </c>
      <c r="E34" s="11" t="s">
        <v>327</v>
      </c>
      <c r="F34" s="167">
        <v>1116000</v>
      </c>
      <c r="G34" s="177">
        <v>0</v>
      </c>
      <c r="H34" s="11" t="s">
        <v>629</v>
      </c>
      <c r="I34" s="169">
        <v>42399</v>
      </c>
    </row>
    <row r="35" spans="1:10" s="3" customFormat="1" ht="25.5" x14ac:dyDescent="0.2">
      <c r="A35" s="13" t="s">
        <v>332</v>
      </c>
      <c r="B35" s="13" t="s">
        <v>333</v>
      </c>
      <c r="C35" s="290">
        <v>50000</v>
      </c>
      <c r="D35" s="290">
        <v>40000</v>
      </c>
      <c r="E35" s="10" t="s">
        <v>316</v>
      </c>
      <c r="F35" s="291">
        <v>0</v>
      </c>
      <c r="G35" s="289">
        <v>40000</v>
      </c>
      <c r="H35" s="13" t="s">
        <v>520</v>
      </c>
      <c r="I35" s="269">
        <v>42491</v>
      </c>
      <c r="J35" s="473"/>
    </row>
    <row r="36" spans="1:10" ht="38.25" x14ac:dyDescent="0.2">
      <c r="A36" s="13" t="s">
        <v>334</v>
      </c>
      <c r="B36" s="13" t="s">
        <v>333</v>
      </c>
      <c r="C36" s="290">
        <v>125000</v>
      </c>
      <c r="D36" s="290">
        <v>100000</v>
      </c>
      <c r="E36" s="10" t="s">
        <v>316</v>
      </c>
      <c r="F36" s="291">
        <v>46067</v>
      </c>
      <c r="G36" s="289">
        <v>1700</v>
      </c>
      <c r="H36" s="13" t="s">
        <v>343</v>
      </c>
      <c r="I36" s="269">
        <v>41914</v>
      </c>
    </row>
    <row r="37" spans="1:10" ht="25.5" x14ac:dyDescent="0.2">
      <c r="A37" s="11" t="s">
        <v>335</v>
      </c>
      <c r="B37" s="11" t="s">
        <v>333</v>
      </c>
      <c r="C37" s="183">
        <v>125000</v>
      </c>
      <c r="D37" s="183">
        <v>100000</v>
      </c>
      <c r="E37" s="2" t="s">
        <v>316</v>
      </c>
      <c r="F37" s="167">
        <v>100000</v>
      </c>
      <c r="G37" s="187">
        <v>0</v>
      </c>
      <c r="H37" s="11" t="s">
        <v>630</v>
      </c>
      <c r="I37" s="270">
        <v>41913</v>
      </c>
    </row>
    <row r="38" spans="1:10" ht="25.5" x14ac:dyDescent="0.2">
      <c r="A38" s="11" t="s">
        <v>336</v>
      </c>
      <c r="B38" s="11" t="s">
        <v>333</v>
      </c>
      <c r="C38" s="183">
        <v>98000</v>
      </c>
      <c r="D38" s="183">
        <v>78400</v>
      </c>
      <c r="E38" s="2" t="s">
        <v>316</v>
      </c>
      <c r="F38" s="167">
        <v>78400</v>
      </c>
      <c r="G38" s="187">
        <v>0</v>
      </c>
      <c r="H38" s="11" t="s">
        <v>630</v>
      </c>
      <c r="I38" s="270">
        <v>41919</v>
      </c>
    </row>
    <row r="39" spans="1:10" ht="25.5" x14ac:dyDescent="0.2">
      <c r="A39" s="11" t="s">
        <v>337</v>
      </c>
      <c r="B39" s="11" t="s">
        <v>333</v>
      </c>
      <c r="C39" s="183">
        <v>100000</v>
      </c>
      <c r="D39" s="183">
        <v>80000</v>
      </c>
      <c r="E39" s="11" t="s">
        <v>316</v>
      </c>
      <c r="F39" s="167">
        <v>0</v>
      </c>
      <c r="G39" s="187">
        <v>0</v>
      </c>
      <c r="H39" s="11" t="s">
        <v>631</v>
      </c>
      <c r="I39" s="293" t="s">
        <v>397</v>
      </c>
    </row>
    <row r="40" spans="1:10" s="3" customFormat="1" ht="25.5" x14ac:dyDescent="0.2">
      <c r="A40" s="13" t="s">
        <v>338</v>
      </c>
      <c r="B40" s="13" t="s">
        <v>333</v>
      </c>
      <c r="C40" s="290">
        <v>350000</v>
      </c>
      <c r="D40" s="290">
        <v>100000</v>
      </c>
      <c r="E40" s="10" t="s">
        <v>316</v>
      </c>
      <c r="F40" s="291">
        <v>0</v>
      </c>
      <c r="G40" s="289">
        <v>100000</v>
      </c>
      <c r="H40" s="13" t="s">
        <v>783</v>
      </c>
      <c r="I40" s="269">
        <v>42644</v>
      </c>
    </row>
    <row r="41" spans="1:10" x14ac:dyDescent="0.2">
      <c r="A41" s="181"/>
      <c r="B41" s="181"/>
      <c r="C41" s="188">
        <f>SUM(C32:C40)</f>
        <v>13797649</v>
      </c>
      <c r="D41" s="188">
        <f>SUM(D32:D40)</f>
        <v>4014400</v>
      </c>
      <c r="E41" s="188"/>
      <c r="F41" s="188">
        <f>SUM(F32:F40)</f>
        <v>2840467</v>
      </c>
      <c r="G41" s="188">
        <f>SUM(G32:G40)</f>
        <v>1041700</v>
      </c>
      <c r="H41" s="181"/>
      <c r="I41" s="170"/>
    </row>
    <row r="43" spans="1:10" ht="15.75" x14ac:dyDescent="0.2">
      <c r="A43" s="519" t="s">
        <v>339</v>
      </c>
      <c r="B43" s="519"/>
      <c r="C43" s="519"/>
      <c r="D43" s="519"/>
      <c r="E43" s="519"/>
      <c r="F43" s="519"/>
      <c r="G43" s="519"/>
      <c r="H43" s="519"/>
      <c r="I43" s="519"/>
    </row>
    <row r="44" spans="1:10" ht="60" x14ac:dyDescent="0.2">
      <c r="A44" s="176" t="s">
        <v>313</v>
      </c>
      <c r="B44" s="176" t="s">
        <v>0</v>
      </c>
      <c r="C44" s="64" t="s">
        <v>1</v>
      </c>
      <c r="D44" s="64" t="s">
        <v>166</v>
      </c>
      <c r="E44" s="64" t="s">
        <v>167</v>
      </c>
      <c r="F44" s="64" t="s">
        <v>168</v>
      </c>
      <c r="G44" s="64" t="s">
        <v>169</v>
      </c>
      <c r="H44" s="65" t="s">
        <v>170</v>
      </c>
      <c r="I44" s="65" t="s">
        <v>171</v>
      </c>
    </row>
    <row r="45" spans="1:10" s="3" customFormat="1" ht="38.25" x14ac:dyDescent="0.2">
      <c r="A45" s="13" t="s">
        <v>340</v>
      </c>
      <c r="B45" s="13" t="s">
        <v>331</v>
      </c>
      <c r="C45" s="290">
        <v>197435</v>
      </c>
      <c r="D45" s="294">
        <v>157948</v>
      </c>
      <c r="E45" s="266" t="s">
        <v>327</v>
      </c>
      <c r="F45" s="291">
        <v>87025.34</v>
      </c>
      <c r="G45" s="290">
        <v>70923</v>
      </c>
      <c r="H45" s="13" t="s">
        <v>784</v>
      </c>
      <c r="I45" s="295">
        <v>42430</v>
      </c>
    </row>
    <row r="46" spans="1:10" s="3" customFormat="1" ht="25.5" x14ac:dyDescent="0.2">
      <c r="A46" s="10" t="s">
        <v>341</v>
      </c>
      <c r="B46" s="10" t="s">
        <v>331</v>
      </c>
      <c r="C46" s="290">
        <v>1758922</v>
      </c>
      <c r="D46" s="296">
        <v>705621</v>
      </c>
      <c r="E46" s="268" t="s">
        <v>316</v>
      </c>
      <c r="F46" s="291">
        <v>477295</v>
      </c>
      <c r="G46" s="290">
        <v>228326</v>
      </c>
      <c r="H46" s="13" t="s">
        <v>473</v>
      </c>
      <c r="I46" s="295">
        <v>42430</v>
      </c>
    </row>
    <row r="47" spans="1:10" ht="25.5" x14ac:dyDescent="0.2">
      <c r="A47" s="2" t="s">
        <v>342</v>
      </c>
      <c r="B47" s="2" t="s">
        <v>331</v>
      </c>
      <c r="C47" s="183">
        <v>771818</v>
      </c>
      <c r="D47" s="185">
        <v>617454</v>
      </c>
      <c r="E47" s="2" t="s">
        <v>316</v>
      </c>
      <c r="F47" s="184">
        <v>617454</v>
      </c>
      <c r="G47" s="186">
        <v>0</v>
      </c>
      <c r="H47" s="11" t="s">
        <v>343</v>
      </c>
      <c r="I47" s="179">
        <v>41016</v>
      </c>
    </row>
    <row r="48" spans="1:10" ht="25.5" x14ac:dyDescent="0.2">
      <c r="A48" s="10" t="s">
        <v>344</v>
      </c>
      <c r="B48" s="10" t="s">
        <v>326</v>
      </c>
      <c r="C48" s="290">
        <v>3200000</v>
      </c>
      <c r="D48" s="296">
        <v>1613596</v>
      </c>
      <c r="E48" s="10" t="s">
        <v>327</v>
      </c>
      <c r="F48" s="291">
        <v>0</v>
      </c>
      <c r="G48" s="290">
        <v>0</v>
      </c>
      <c r="H48" s="10" t="s">
        <v>343</v>
      </c>
      <c r="I48" s="295">
        <v>41744</v>
      </c>
    </row>
    <row r="49" spans="1:9" ht="25.5" x14ac:dyDescent="0.2">
      <c r="A49" s="2" t="s">
        <v>345</v>
      </c>
      <c r="B49" s="2" t="s">
        <v>346</v>
      </c>
      <c r="C49" s="183">
        <v>358525</v>
      </c>
      <c r="D49" s="185">
        <v>72000</v>
      </c>
      <c r="E49" s="2" t="s">
        <v>316</v>
      </c>
      <c r="F49" s="167">
        <v>0</v>
      </c>
      <c r="G49" s="183">
        <v>0</v>
      </c>
      <c r="H49" s="11" t="s">
        <v>349</v>
      </c>
      <c r="I49" s="179" t="s">
        <v>350</v>
      </c>
    </row>
    <row r="50" spans="1:9" ht="25.5" x14ac:dyDescent="0.2">
      <c r="A50" s="2" t="s">
        <v>347</v>
      </c>
      <c r="B50" s="2" t="s">
        <v>348</v>
      </c>
      <c r="C50" s="183">
        <v>2500000</v>
      </c>
      <c r="D50" s="185">
        <v>1000000</v>
      </c>
      <c r="E50" s="2" t="s">
        <v>327</v>
      </c>
      <c r="F50" s="167">
        <v>0</v>
      </c>
      <c r="G50" s="187">
        <v>0</v>
      </c>
      <c r="H50" s="11" t="s">
        <v>349</v>
      </c>
      <c r="I50" s="180" t="s">
        <v>350</v>
      </c>
    </row>
    <row r="51" spans="1:9" ht="25.5" x14ac:dyDescent="0.2">
      <c r="A51" s="11" t="s">
        <v>351</v>
      </c>
      <c r="B51" s="11" t="s">
        <v>348</v>
      </c>
      <c r="C51" s="183">
        <v>1900000</v>
      </c>
      <c r="D51" s="185">
        <v>400000</v>
      </c>
      <c r="E51" s="11" t="s">
        <v>316</v>
      </c>
      <c r="F51" s="167">
        <v>400000</v>
      </c>
      <c r="G51" s="183">
        <v>0</v>
      </c>
      <c r="H51" s="11" t="s">
        <v>343</v>
      </c>
      <c r="I51" s="180">
        <v>41025</v>
      </c>
    </row>
    <row r="52" spans="1:9" ht="25.5" x14ac:dyDescent="0.2">
      <c r="A52" s="11" t="s">
        <v>352</v>
      </c>
      <c r="B52" s="11" t="s">
        <v>331</v>
      </c>
      <c r="C52" s="187" t="s">
        <v>353</v>
      </c>
      <c r="D52" s="185">
        <v>218652</v>
      </c>
      <c r="E52" s="11" t="s">
        <v>327</v>
      </c>
      <c r="F52" s="167">
        <v>218652</v>
      </c>
      <c r="G52" s="183">
        <v>0</v>
      </c>
      <c r="H52" s="11" t="s">
        <v>343</v>
      </c>
      <c r="I52" s="179">
        <v>41017</v>
      </c>
    </row>
    <row r="53" spans="1:9" s="3" customFormat="1" ht="25.5" x14ac:dyDescent="0.2">
      <c r="A53" s="13" t="s">
        <v>354</v>
      </c>
      <c r="B53" s="13" t="s">
        <v>331</v>
      </c>
      <c r="C53" s="290">
        <v>538100</v>
      </c>
      <c r="D53" s="297">
        <v>204000</v>
      </c>
      <c r="E53" s="13" t="s">
        <v>327</v>
      </c>
      <c r="F53" s="291">
        <v>204000</v>
      </c>
      <c r="G53" s="289">
        <v>0</v>
      </c>
      <c r="H53" s="13" t="s">
        <v>343</v>
      </c>
      <c r="I53" s="295">
        <v>41953</v>
      </c>
    </row>
    <row r="54" spans="1:9" x14ac:dyDescent="0.2">
      <c r="A54" s="181"/>
      <c r="B54" s="181"/>
      <c r="C54" s="188">
        <f>SUM(C45:C53)</f>
        <v>11224800</v>
      </c>
      <c r="D54" s="171">
        <f>SUM(D45:D53)</f>
        <v>4989271</v>
      </c>
      <c r="E54" s="170"/>
      <c r="F54" s="188">
        <f>SUM(F45:F53)</f>
        <v>2004426.3399999999</v>
      </c>
      <c r="G54" s="188">
        <f>SUM(G45:G53)</f>
        <v>299249</v>
      </c>
      <c r="H54" s="181"/>
      <c r="I54" s="170"/>
    </row>
    <row r="55" spans="1:9" x14ac:dyDescent="0.2">
      <c r="B55" s="173" t="s">
        <v>543</v>
      </c>
      <c r="H55" s="1"/>
    </row>
    <row r="56" spans="1:9" ht="18" x14ac:dyDescent="0.25">
      <c r="A56" s="521" t="s">
        <v>355</v>
      </c>
      <c r="B56" s="521"/>
      <c r="C56" s="521"/>
      <c r="D56" s="521"/>
      <c r="E56" s="521"/>
      <c r="F56" s="521"/>
      <c r="G56" s="521"/>
      <c r="H56" s="521"/>
      <c r="I56" s="521"/>
    </row>
    <row r="57" spans="1:9" ht="60" x14ac:dyDescent="0.2">
      <c r="A57" s="161" t="s">
        <v>313</v>
      </c>
      <c r="B57" s="162" t="s">
        <v>0</v>
      </c>
      <c r="C57" s="163" t="s">
        <v>1</v>
      </c>
      <c r="D57" s="163" t="s">
        <v>166</v>
      </c>
      <c r="E57" s="163" t="s">
        <v>167</v>
      </c>
      <c r="F57" s="163" t="s">
        <v>168</v>
      </c>
      <c r="G57" s="163" t="s">
        <v>169</v>
      </c>
      <c r="H57" s="164" t="s">
        <v>170</v>
      </c>
      <c r="I57" s="164" t="s">
        <v>171</v>
      </c>
    </row>
    <row r="58" spans="1:9" ht="25.5" x14ac:dyDescent="0.2">
      <c r="A58" s="2" t="s">
        <v>356</v>
      </c>
      <c r="B58" s="2" t="s">
        <v>357</v>
      </c>
      <c r="C58" s="298">
        <v>1758922</v>
      </c>
      <c r="D58" s="185">
        <v>879461</v>
      </c>
      <c r="E58" s="166" t="s">
        <v>316</v>
      </c>
      <c r="F58" s="167">
        <v>0</v>
      </c>
      <c r="G58" s="189">
        <v>0</v>
      </c>
      <c r="H58" s="166" t="s">
        <v>358</v>
      </c>
      <c r="I58" s="26" t="s">
        <v>350</v>
      </c>
    </row>
    <row r="59" spans="1:9" ht="25.5" x14ac:dyDescent="0.2">
      <c r="A59" s="10" t="s">
        <v>359</v>
      </c>
      <c r="B59" s="13" t="s">
        <v>360</v>
      </c>
      <c r="C59" s="294">
        <v>8474244</v>
      </c>
      <c r="D59" s="296">
        <v>2000000</v>
      </c>
      <c r="E59" s="10" t="s">
        <v>361</v>
      </c>
      <c r="F59" s="291">
        <v>2000000</v>
      </c>
      <c r="G59" s="294">
        <v>0</v>
      </c>
      <c r="H59" s="10" t="s">
        <v>785</v>
      </c>
      <c r="I59" s="299">
        <v>42399</v>
      </c>
    </row>
    <row r="60" spans="1:9" x14ac:dyDescent="0.2">
      <c r="A60" s="2" t="s">
        <v>362</v>
      </c>
      <c r="B60" s="2" t="s">
        <v>346</v>
      </c>
      <c r="C60" s="184">
        <v>138560</v>
      </c>
      <c r="D60" s="185">
        <v>110848</v>
      </c>
      <c r="E60" s="2" t="s">
        <v>327</v>
      </c>
      <c r="F60" s="167">
        <v>0</v>
      </c>
      <c r="G60" s="189">
        <v>0</v>
      </c>
      <c r="H60" s="166" t="s">
        <v>358</v>
      </c>
      <c r="I60" s="26" t="s">
        <v>350</v>
      </c>
    </row>
    <row r="61" spans="1:9" ht="38.25" x14ac:dyDescent="0.2">
      <c r="A61" s="2" t="s">
        <v>363</v>
      </c>
      <c r="B61" s="2" t="s">
        <v>346</v>
      </c>
      <c r="C61" s="184">
        <v>255951</v>
      </c>
      <c r="D61" s="185">
        <v>174022</v>
      </c>
      <c r="E61" s="2" t="s">
        <v>327</v>
      </c>
      <c r="F61" s="190">
        <v>174022</v>
      </c>
      <c r="G61" s="189">
        <v>0</v>
      </c>
      <c r="H61" s="11" t="s">
        <v>185</v>
      </c>
      <c r="I61" s="50" t="s">
        <v>364</v>
      </c>
    </row>
    <row r="62" spans="1:9" x14ac:dyDescent="0.2">
      <c r="A62" s="170"/>
      <c r="B62" s="170"/>
      <c r="C62" s="171">
        <f>SUM(C58:C61)</f>
        <v>10627677</v>
      </c>
      <c r="D62" s="191">
        <f>SUM(D58:D61)</f>
        <v>3164331</v>
      </c>
      <c r="E62" s="170"/>
      <c r="F62" s="191">
        <f>SUM(F58:F61)</f>
        <v>2174022</v>
      </c>
      <c r="G62" s="191">
        <f>SUM(G58:G61)</f>
        <v>0</v>
      </c>
      <c r="H62" s="170"/>
      <c r="I62" s="170"/>
    </row>
    <row r="64" spans="1:9" ht="26.25" customHeight="1" x14ac:dyDescent="0.2">
      <c r="A64" s="522" t="s">
        <v>365</v>
      </c>
      <c r="B64" s="523"/>
      <c r="C64" s="523"/>
      <c r="D64" s="523"/>
      <c r="E64" s="523"/>
      <c r="F64" s="523"/>
      <c r="G64" s="523"/>
      <c r="H64" s="523"/>
      <c r="I64" s="523"/>
    </row>
    <row r="65" spans="1:9" ht="60" x14ac:dyDescent="0.2">
      <c r="A65" s="192" t="s">
        <v>313</v>
      </c>
      <c r="B65" s="176" t="s">
        <v>0</v>
      </c>
      <c r="C65" s="64" t="s">
        <v>1</v>
      </c>
      <c r="D65" s="64" t="s">
        <v>166</v>
      </c>
      <c r="E65" s="64" t="s">
        <v>167</v>
      </c>
      <c r="F65" s="64" t="s">
        <v>168</v>
      </c>
      <c r="G65" s="64" t="s">
        <v>169</v>
      </c>
      <c r="H65" s="65" t="s">
        <v>170</v>
      </c>
      <c r="I65" s="65" t="s">
        <v>171</v>
      </c>
    </row>
    <row r="66" spans="1:9" ht="45" x14ac:dyDescent="0.2">
      <c r="A66" s="73" t="s">
        <v>366</v>
      </c>
      <c r="B66" s="72" t="s">
        <v>367</v>
      </c>
      <c r="C66" s="193">
        <v>88000</v>
      </c>
      <c r="D66" s="77">
        <v>55400</v>
      </c>
      <c r="E66" s="68" t="s">
        <v>368</v>
      </c>
      <c r="F66" s="194">
        <v>55400</v>
      </c>
      <c r="G66" s="195">
        <v>0</v>
      </c>
      <c r="H66" s="69" t="s">
        <v>185</v>
      </c>
      <c r="I66" s="70">
        <v>40553</v>
      </c>
    </row>
    <row r="67" spans="1:9" ht="45" x14ac:dyDescent="0.2">
      <c r="A67" s="73" t="s">
        <v>369</v>
      </c>
      <c r="B67" s="72" t="s">
        <v>370</v>
      </c>
      <c r="C67" s="193">
        <v>886500</v>
      </c>
      <c r="D67" s="77">
        <v>700000</v>
      </c>
      <c r="E67" s="196" t="s">
        <v>368</v>
      </c>
      <c r="F67" s="194">
        <v>700000</v>
      </c>
      <c r="G67" s="195">
        <v>0</v>
      </c>
      <c r="H67" s="73" t="s">
        <v>185</v>
      </c>
      <c r="I67" s="70">
        <v>40647</v>
      </c>
    </row>
    <row r="68" spans="1:9" ht="30" x14ac:dyDescent="0.2">
      <c r="A68" s="73" t="s">
        <v>371</v>
      </c>
      <c r="B68" s="72" t="s">
        <v>372</v>
      </c>
      <c r="C68" s="193">
        <v>450000</v>
      </c>
      <c r="D68" s="77">
        <v>225000</v>
      </c>
      <c r="E68" s="113" t="s">
        <v>327</v>
      </c>
      <c r="F68" s="195">
        <v>145187</v>
      </c>
      <c r="G68" s="145">
        <v>0</v>
      </c>
      <c r="H68" s="71" t="s">
        <v>185</v>
      </c>
      <c r="I68" s="70">
        <v>41333</v>
      </c>
    </row>
    <row r="69" spans="1:9" ht="45" x14ac:dyDescent="0.2">
      <c r="A69" s="73" t="s">
        <v>373</v>
      </c>
      <c r="B69" s="72" t="s">
        <v>329</v>
      </c>
      <c r="C69" s="193">
        <v>467589</v>
      </c>
      <c r="D69" s="77">
        <v>311071</v>
      </c>
      <c r="E69" s="68" t="s">
        <v>327</v>
      </c>
      <c r="F69" s="194">
        <v>311071</v>
      </c>
      <c r="G69" s="145">
        <v>0</v>
      </c>
      <c r="H69" s="69" t="s">
        <v>185</v>
      </c>
      <c r="I69" s="70">
        <v>40831</v>
      </c>
    </row>
    <row r="70" spans="1:9" ht="30" x14ac:dyDescent="0.2">
      <c r="A70" s="73" t="s">
        <v>374</v>
      </c>
      <c r="B70" s="72" t="s">
        <v>372</v>
      </c>
      <c r="C70" s="193">
        <v>252005</v>
      </c>
      <c r="D70" s="77">
        <v>126000</v>
      </c>
      <c r="E70" s="68" t="s">
        <v>375</v>
      </c>
      <c r="F70" s="195">
        <v>118691</v>
      </c>
      <c r="G70" s="145">
        <v>0</v>
      </c>
      <c r="H70" s="69" t="s">
        <v>185</v>
      </c>
      <c r="I70" s="70">
        <v>41639</v>
      </c>
    </row>
    <row r="71" spans="1:9" ht="45" x14ac:dyDescent="0.2">
      <c r="A71" s="73" t="s">
        <v>376</v>
      </c>
      <c r="B71" s="72" t="s">
        <v>377</v>
      </c>
      <c r="C71" s="193">
        <v>10900000</v>
      </c>
      <c r="D71" s="77">
        <v>900000</v>
      </c>
      <c r="E71" s="68" t="s">
        <v>378</v>
      </c>
      <c r="F71" s="195">
        <v>0</v>
      </c>
      <c r="G71" s="145" t="s">
        <v>632</v>
      </c>
      <c r="H71" s="69" t="s">
        <v>379</v>
      </c>
      <c r="I71" s="70" t="s">
        <v>350</v>
      </c>
    </row>
    <row r="72" spans="1:9" ht="45" x14ac:dyDescent="0.2">
      <c r="A72" s="73" t="s">
        <v>380</v>
      </c>
      <c r="B72" s="72" t="s">
        <v>381</v>
      </c>
      <c r="C72" s="193">
        <v>5437200</v>
      </c>
      <c r="D72" s="77">
        <v>1000000</v>
      </c>
      <c r="E72" s="68" t="s">
        <v>382</v>
      </c>
      <c r="F72" s="195">
        <v>1000000</v>
      </c>
      <c r="G72" s="145">
        <f>D72-F72</f>
        <v>0</v>
      </c>
      <c r="H72" s="69" t="s">
        <v>185</v>
      </c>
      <c r="I72" s="70">
        <v>40178</v>
      </c>
    </row>
    <row r="73" spans="1:9" ht="15" x14ac:dyDescent="0.2">
      <c r="A73" s="197"/>
      <c r="B73" s="192" t="s">
        <v>223</v>
      </c>
      <c r="C73" s="198">
        <f>SUM(C66:C72)</f>
        <v>18481294</v>
      </c>
      <c r="D73" s="198">
        <f>SUM(D66:D72)</f>
        <v>3317471</v>
      </c>
      <c r="E73" s="64"/>
      <c r="F73" s="199">
        <f>SUM(F66:F72)</f>
        <v>2330349</v>
      </c>
      <c r="G73" s="199">
        <f>SUM(G66:G72)</f>
        <v>0</v>
      </c>
      <c r="H73" s="200"/>
      <c r="I73" s="65"/>
    </row>
    <row r="75" spans="1:9" ht="24" customHeight="1" x14ac:dyDescent="0.2">
      <c r="A75" s="522" t="s">
        <v>383</v>
      </c>
      <c r="B75" s="523"/>
      <c r="C75" s="523"/>
      <c r="D75" s="523"/>
      <c r="E75" s="523"/>
      <c r="F75" s="523"/>
      <c r="G75" s="523"/>
      <c r="H75" s="523"/>
      <c r="I75" s="523"/>
    </row>
    <row r="76" spans="1:9" ht="60" x14ac:dyDescent="0.2">
      <c r="A76" s="192" t="s">
        <v>384</v>
      </c>
      <c r="B76" s="176" t="s">
        <v>0</v>
      </c>
      <c r="C76" s="201" t="s">
        <v>1</v>
      </c>
      <c r="D76" s="201" t="s">
        <v>166</v>
      </c>
      <c r="E76" s="64" t="s">
        <v>167</v>
      </c>
      <c r="F76" s="64" t="s">
        <v>168</v>
      </c>
      <c r="G76" s="64" t="s">
        <v>169</v>
      </c>
      <c r="H76" s="65" t="s">
        <v>170</v>
      </c>
      <c r="I76" s="65" t="s">
        <v>171</v>
      </c>
    </row>
    <row r="77" spans="1:9" ht="45" x14ac:dyDescent="0.2">
      <c r="A77" s="73" t="s">
        <v>366</v>
      </c>
      <c r="B77" s="72" t="s">
        <v>385</v>
      </c>
      <c r="C77" s="193">
        <v>89333</v>
      </c>
      <c r="D77" s="77">
        <v>71000</v>
      </c>
      <c r="E77" s="68" t="s">
        <v>368</v>
      </c>
      <c r="F77" s="194">
        <v>61164</v>
      </c>
      <c r="G77" s="195">
        <v>0</v>
      </c>
      <c r="H77" s="69" t="s">
        <v>185</v>
      </c>
      <c r="I77" s="70">
        <v>39814</v>
      </c>
    </row>
    <row r="78" spans="1:9" ht="45" x14ac:dyDescent="0.2">
      <c r="A78" s="73" t="s">
        <v>369</v>
      </c>
      <c r="B78" s="72" t="s">
        <v>385</v>
      </c>
      <c r="C78" s="193">
        <v>400000</v>
      </c>
      <c r="D78" s="77">
        <v>320000</v>
      </c>
      <c r="E78" s="196" t="s">
        <v>368</v>
      </c>
      <c r="F78" s="194">
        <v>320000</v>
      </c>
      <c r="G78" s="195">
        <v>0</v>
      </c>
      <c r="H78" s="73" t="s">
        <v>185</v>
      </c>
      <c r="I78" s="70">
        <v>39753</v>
      </c>
    </row>
    <row r="79" spans="1:9" ht="45" x14ac:dyDescent="0.2">
      <c r="A79" s="73" t="s">
        <v>386</v>
      </c>
      <c r="B79" s="72" t="s">
        <v>385</v>
      </c>
      <c r="C79" s="193">
        <v>693120</v>
      </c>
      <c r="D79" s="77">
        <v>554000</v>
      </c>
      <c r="E79" s="113" t="s">
        <v>368</v>
      </c>
      <c r="F79" s="195">
        <v>405346</v>
      </c>
      <c r="G79" s="145">
        <v>0</v>
      </c>
      <c r="H79" s="71" t="s">
        <v>185</v>
      </c>
      <c r="I79" s="70">
        <v>39873</v>
      </c>
    </row>
    <row r="80" spans="1:9" ht="45" x14ac:dyDescent="0.2">
      <c r="A80" s="73" t="s">
        <v>387</v>
      </c>
      <c r="B80" s="72" t="s">
        <v>385</v>
      </c>
      <c r="C80" s="193">
        <v>1771463</v>
      </c>
      <c r="D80" s="77">
        <v>1417000</v>
      </c>
      <c r="E80" s="68" t="s">
        <v>368</v>
      </c>
      <c r="F80" s="194">
        <v>1406627</v>
      </c>
      <c r="G80" s="145">
        <v>0</v>
      </c>
      <c r="H80" s="69" t="s">
        <v>185</v>
      </c>
      <c r="I80" s="70">
        <v>40087</v>
      </c>
    </row>
    <row r="81" spans="1:9" ht="45" x14ac:dyDescent="0.2">
      <c r="A81" s="73" t="s">
        <v>388</v>
      </c>
      <c r="B81" s="72" t="s">
        <v>385</v>
      </c>
      <c r="C81" s="193">
        <v>964707</v>
      </c>
      <c r="D81" s="77">
        <v>772000</v>
      </c>
      <c r="E81" s="68" t="s">
        <v>368</v>
      </c>
      <c r="F81" s="195">
        <v>650000</v>
      </c>
      <c r="G81" s="145">
        <v>0</v>
      </c>
      <c r="H81" s="69" t="s">
        <v>185</v>
      </c>
      <c r="I81" s="70">
        <v>39873</v>
      </c>
    </row>
    <row r="82" spans="1:9" ht="45" x14ac:dyDescent="0.2">
      <c r="A82" s="73" t="s">
        <v>389</v>
      </c>
      <c r="B82" s="72" t="s">
        <v>385</v>
      </c>
      <c r="C82" s="193">
        <v>851704</v>
      </c>
      <c r="D82" s="77">
        <v>681000</v>
      </c>
      <c r="E82" s="68" t="s">
        <v>368</v>
      </c>
      <c r="F82" s="195">
        <v>616420</v>
      </c>
      <c r="G82" s="145">
        <v>0</v>
      </c>
      <c r="H82" s="69" t="s">
        <v>185</v>
      </c>
      <c r="I82" s="70">
        <v>39753</v>
      </c>
    </row>
    <row r="83" spans="1:9" ht="45" x14ac:dyDescent="0.2">
      <c r="A83" s="73" t="s">
        <v>347</v>
      </c>
      <c r="B83" s="72" t="s">
        <v>385</v>
      </c>
      <c r="C83" s="193">
        <v>230000</v>
      </c>
      <c r="D83" s="77">
        <v>184000</v>
      </c>
      <c r="E83" s="68" t="s">
        <v>368</v>
      </c>
      <c r="F83" s="195">
        <v>184000</v>
      </c>
      <c r="G83" s="145">
        <f>D83-F83</f>
        <v>0</v>
      </c>
      <c r="H83" s="69" t="s">
        <v>185</v>
      </c>
      <c r="I83" s="70">
        <v>40178</v>
      </c>
    </row>
    <row r="84" spans="1:9" ht="15" x14ac:dyDescent="0.2">
      <c r="A84" s="197"/>
      <c r="B84" s="192" t="s">
        <v>223</v>
      </c>
      <c r="C84" s="198">
        <f>SUM(C77:C83)</f>
        <v>5000327</v>
      </c>
      <c r="D84" s="198">
        <f>SUM(D77:D83)</f>
        <v>3999000</v>
      </c>
      <c r="E84" s="64"/>
      <c r="F84" s="199">
        <f>SUM(F77:F83)</f>
        <v>3643557</v>
      </c>
      <c r="G84" s="199">
        <f>SUM(G77:G83)</f>
        <v>0</v>
      </c>
      <c r="H84" s="200"/>
      <c r="I84" s="65"/>
    </row>
    <row r="85" spans="1:9" x14ac:dyDescent="0.2">
      <c r="A85" s="56"/>
      <c r="B85" s="56"/>
      <c r="C85" s="202"/>
      <c r="D85" s="202"/>
      <c r="E85" s="54"/>
      <c r="F85" s="203"/>
      <c r="G85" s="203"/>
      <c r="H85" s="204"/>
      <c r="I85" s="55"/>
    </row>
    <row r="86" spans="1:9" ht="20.25" x14ac:dyDescent="0.3">
      <c r="A86" s="56"/>
      <c r="B86" s="517" t="s">
        <v>390</v>
      </c>
      <c r="C86" s="518"/>
      <c r="D86" s="518"/>
      <c r="E86" s="518"/>
      <c r="F86" s="518"/>
      <c r="G86" s="518"/>
      <c r="H86" s="518"/>
      <c r="I86" s="518"/>
    </row>
    <row r="87" spans="1:9" ht="38.25" x14ac:dyDescent="0.2">
      <c r="A87" s="56"/>
      <c r="B87" s="205" t="s">
        <v>0</v>
      </c>
      <c r="C87" s="18" t="s">
        <v>1</v>
      </c>
      <c r="D87" s="18" t="s">
        <v>166</v>
      </c>
      <c r="E87" s="206" t="s">
        <v>391</v>
      </c>
      <c r="F87" s="206" t="s">
        <v>392</v>
      </c>
      <c r="G87" s="206" t="s">
        <v>393</v>
      </c>
      <c r="H87" s="206" t="s">
        <v>394</v>
      </c>
      <c r="I87" s="205" t="s">
        <v>171</v>
      </c>
    </row>
    <row r="88" spans="1:9" ht="63.75" x14ac:dyDescent="0.2">
      <c r="A88" s="56"/>
      <c r="B88" s="207" t="s">
        <v>395</v>
      </c>
      <c r="C88" s="208">
        <v>884000</v>
      </c>
      <c r="D88" s="208">
        <v>242000</v>
      </c>
      <c r="E88" s="209" t="s">
        <v>396</v>
      </c>
      <c r="F88" s="208">
        <v>0</v>
      </c>
      <c r="G88" s="210">
        <v>0</v>
      </c>
      <c r="H88" s="58" t="s">
        <v>379</v>
      </c>
      <c r="I88" s="26" t="s">
        <v>397</v>
      </c>
    </row>
    <row r="89" spans="1:9" ht="38.25" x14ac:dyDescent="0.2">
      <c r="A89" s="56"/>
      <c r="B89" s="207" t="s">
        <v>398</v>
      </c>
      <c r="C89" s="208">
        <v>8500000</v>
      </c>
      <c r="D89" s="208">
        <v>75000</v>
      </c>
      <c r="E89" s="209" t="s">
        <v>399</v>
      </c>
      <c r="F89" s="208">
        <v>0</v>
      </c>
      <c r="G89" s="210">
        <v>0</v>
      </c>
      <c r="H89" s="58" t="s">
        <v>379</v>
      </c>
      <c r="I89" s="26" t="s">
        <v>397</v>
      </c>
    </row>
    <row r="90" spans="1:9" ht="51" x14ac:dyDescent="0.2">
      <c r="A90" s="56"/>
      <c r="B90" s="207" t="s">
        <v>400</v>
      </c>
      <c r="C90" s="208">
        <v>1072933</v>
      </c>
      <c r="D90" s="208">
        <v>840000</v>
      </c>
      <c r="E90" s="209" t="s">
        <v>396</v>
      </c>
      <c r="F90" s="208">
        <v>0</v>
      </c>
      <c r="G90" s="208">
        <v>0</v>
      </c>
      <c r="H90" s="209" t="s">
        <v>401</v>
      </c>
      <c r="I90" s="33" t="s">
        <v>397</v>
      </c>
    </row>
    <row r="91" spans="1:9" ht="38.25" x14ac:dyDescent="0.2">
      <c r="A91" s="56"/>
      <c r="B91" s="207" t="s">
        <v>402</v>
      </c>
      <c r="C91" s="208">
        <v>1398000</v>
      </c>
      <c r="D91" s="208">
        <v>810000</v>
      </c>
      <c r="E91" s="209" t="s">
        <v>399</v>
      </c>
      <c r="F91" s="208">
        <v>810000</v>
      </c>
      <c r="G91" s="208">
        <v>0</v>
      </c>
      <c r="H91" s="209" t="s">
        <v>185</v>
      </c>
      <c r="I91" s="33">
        <v>40086</v>
      </c>
    </row>
    <row r="92" spans="1:9" ht="38.25" x14ac:dyDescent="0.2">
      <c r="A92" s="56"/>
      <c r="B92" s="211" t="s">
        <v>403</v>
      </c>
      <c r="C92" s="212">
        <v>7146000</v>
      </c>
      <c r="D92" s="212">
        <v>75000</v>
      </c>
      <c r="E92" s="209" t="s">
        <v>399</v>
      </c>
      <c r="F92" s="213">
        <v>0</v>
      </c>
      <c r="G92" s="208">
        <v>0</v>
      </c>
      <c r="H92" s="209" t="s">
        <v>404</v>
      </c>
      <c r="I92" s="33" t="s">
        <v>350</v>
      </c>
    </row>
    <row r="93" spans="1:9" ht="51" x14ac:dyDescent="0.2">
      <c r="A93" s="56"/>
      <c r="B93" s="211" t="s">
        <v>405</v>
      </c>
      <c r="C93" s="212">
        <v>6055075</v>
      </c>
      <c r="D93" s="212">
        <v>75000</v>
      </c>
      <c r="E93" s="209" t="s">
        <v>406</v>
      </c>
      <c r="F93" s="213">
        <v>0</v>
      </c>
      <c r="G93" s="208">
        <v>0</v>
      </c>
      <c r="H93" s="209" t="s">
        <v>407</v>
      </c>
      <c r="I93" s="26" t="s">
        <v>397</v>
      </c>
    </row>
    <row r="94" spans="1:9" ht="25.5" x14ac:dyDescent="0.2">
      <c r="A94" s="56"/>
      <c r="B94" s="211" t="s">
        <v>408</v>
      </c>
      <c r="C94" s="212">
        <v>2250000</v>
      </c>
      <c r="D94" s="212">
        <v>50000</v>
      </c>
      <c r="E94" s="209" t="s">
        <v>399</v>
      </c>
      <c r="F94" s="213">
        <v>0</v>
      </c>
      <c r="G94" s="210">
        <v>0</v>
      </c>
      <c r="H94" s="60" t="s">
        <v>379</v>
      </c>
      <c r="I94" s="26" t="s">
        <v>397</v>
      </c>
    </row>
    <row r="95" spans="1:9" ht="25.5" x14ac:dyDescent="0.2">
      <c r="A95" s="56"/>
      <c r="B95" s="211" t="s">
        <v>409</v>
      </c>
      <c r="C95" s="212">
        <v>414489</v>
      </c>
      <c r="D95" s="212">
        <v>165795</v>
      </c>
      <c r="E95" s="209" t="s">
        <v>399</v>
      </c>
      <c r="F95" s="213">
        <v>0</v>
      </c>
      <c r="G95" s="210">
        <v>0</v>
      </c>
      <c r="H95" s="60" t="s">
        <v>379</v>
      </c>
      <c r="I95" s="26" t="s">
        <v>397</v>
      </c>
    </row>
    <row r="96" spans="1:9" ht="38.25" x14ac:dyDescent="0.2">
      <c r="A96" s="56"/>
      <c r="B96" s="211" t="s">
        <v>410</v>
      </c>
      <c r="C96" s="212">
        <v>9500000</v>
      </c>
      <c r="D96" s="212">
        <v>270000</v>
      </c>
      <c r="E96" s="209" t="s">
        <v>411</v>
      </c>
      <c r="F96" s="213">
        <v>0</v>
      </c>
      <c r="G96" s="208">
        <v>0</v>
      </c>
      <c r="H96" s="209" t="s">
        <v>412</v>
      </c>
      <c r="I96" s="33" t="s">
        <v>397</v>
      </c>
    </row>
    <row r="97" spans="1:9" ht="38.25" x14ac:dyDescent="0.2">
      <c r="A97" s="56"/>
      <c r="B97" s="211" t="s">
        <v>413</v>
      </c>
      <c r="C97" s="212">
        <v>9500000</v>
      </c>
      <c r="D97" s="212">
        <v>270000</v>
      </c>
      <c r="E97" s="209" t="s">
        <v>414</v>
      </c>
      <c r="F97" s="213">
        <v>0</v>
      </c>
      <c r="G97" s="208">
        <v>0</v>
      </c>
      <c r="H97" s="209" t="s">
        <v>412</v>
      </c>
      <c r="I97" s="33" t="s">
        <v>397</v>
      </c>
    </row>
    <row r="98" spans="1:9" x14ac:dyDescent="0.2">
      <c r="A98" s="56"/>
      <c r="B98" s="59"/>
      <c r="C98" s="61">
        <f>SUM(C88:C97)</f>
        <v>46720497</v>
      </c>
      <c r="D98" s="214">
        <f>SUM(D88:D97)</f>
        <v>2872795</v>
      </c>
      <c r="E98" s="214"/>
      <c r="F98" s="18">
        <f>SUM(F88:F97)</f>
        <v>810000</v>
      </c>
      <c r="G98" s="62">
        <f>SUM(G88:G97)</f>
        <v>0</v>
      </c>
      <c r="H98" s="62"/>
      <c r="I98" s="63"/>
    </row>
    <row r="99" spans="1:9" x14ac:dyDescent="0.2">
      <c r="A99" s="56"/>
      <c r="B99" s="1"/>
      <c r="C99" s="186"/>
      <c r="D99" s="186"/>
      <c r="E99" s="215"/>
      <c r="F99" s="186"/>
      <c r="G99" s="186"/>
      <c r="H99" s="215"/>
      <c r="I99" s="216"/>
    </row>
    <row r="100" spans="1:9" ht="20.25" x14ac:dyDescent="0.3">
      <c r="A100" s="56"/>
      <c r="B100" s="517" t="s">
        <v>415</v>
      </c>
      <c r="C100" s="518"/>
      <c r="D100" s="518"/>
      <c r="E100" s="518"/>
      <c r="F100" s="518"/>
      <c r="G100" s="518"/>
      <c r="H100" s="518"/>
      <c r="I100" s="518"/>
    </row>
    <row r="101" spans="1:9" ht="38.25" x14ac:dyDescent="0.2">
      <c r="A101" s="56"/>
      <c r="B101" s="205" t="s">
        <v>0</v>
      </c>
      <c r="C101" s="18" t="s">
        <v>1</v>
      </c>
      <c r="D101" s="18" t="s">
        <v>166</v>
      </c>
      <c r="E101" s="206" t="s">
        <v>391</v>
      </c>
      <c r="F101" s="206" t="s">
        <v>416</v>
      </c>
      <c r="G101" s="206" t="s">
        <v>417</v>
      </c>
      <c r="H101" s="206" t="s">
        <v>394</v>
      </c>
      <c r="I101" s="205" t="s">
        <v>171</v>
      </c>
    </row>
    <row r="102" spans="1:9" ht="51" x14ac:dyDescent="0.2">
      <c r="A102" s="56"/>
      <c r="B102" s="207" t="s">
        <v>418</v>
      </c>
      <c r="C102" s="208">
        <v>24240300</v>
      </c>
      <c r="D102" s="208">
        <v>239000</v>
      </c>
      <c r="E102" s="209" t="s">
        <v>396</v>
      </c>
      <c r="F102" s="208">
        <v>0</v>
      </c>
      <c r="G102" s="208">
        <v>0</v>
      </c>
      <c r="H102" s="60" t="s">
        <v>379</v>
      </c>
      <c r="I102" s="26" t="s">
        <v>397</v>
      </c>
    </row>
    <row r="103" spans="1:9" ht="51" x14ac:dyDescent="0.2">
      <c r="A103" s="56"/>
      <c r="B103" s="207" t="s">
        <v>400</v>
      </c>
      <c r="C103" s="208">
        <v>11852896</v>
      </c>
      <c r="D103" s="208">
        <v>489000</v>
      </c>
      <c r="E103" s="209" t="s">
        <v>396</v>
      </c>
      <c r="F103" s="208">
        <v>0</v>
      </c>
      <c r="G103" s="208">
        <v>0</v>
      </c>
      <c r="H103" s="60" t="s">
        <v>379</v>
      </c>
      <c r="I103" s="33" t="s">
        <v>397</v>
      </c>
    </row>
    <row r="104" spans="1:9" ht="25.5" x14ac:dyDescent="0.2">
      <c r="A104" s="56"/>
      <c r="B104" s="207" t="s">
        <v>419</v>
      </c>
      <c r="C104" s="208">
        <v>457513</v>
      </c>
      <c r="D104" s="208">
        <v>326000</v>
      </c>
      <c r="E104" s="209" t="s">
        <v>399</v>
      </c>
      <c r="F104" s="208">
        <v>326000</v>
      </c>
      <c r="G104" s="208">
        <f>D104-F104</f>
        <v>0</v>
      </c>
      <c r="H104" s="60" t="s">
        <v>343</v>
      </c>
      <c r="I104" s="33">
        <v>40324</v>
      </c>
    </row>
    <row r="105" spans="1:9" ht="51" x14ac:dyDescent="0.2">
      <c r="A105" s="56"/>
      <c r="B105" s="207" t="s">
        <v>420</v>
      </c>
      <c r="C105" s="208">
        <v>1300000</v>
      </c>
      <c r="D105" s="208">
        <v>250000</v>
      </c>
      <c r="E105" s="209" t="s">
        <v>396</v>
      </c>
      <c r="F105" s="208">
        <v>0</v>
      </c>
      <c r="G105" s="208">
        <v>0</v>
      </c>
      <c r="H105" s="60" t="s">
        <v>379</v>
      </c>
      <c r="I105" s="217" t="s">
        <v>397</v>
      </c>
    </row>
    <row r="106" spans="1:9" x14ac:dyDescent="0.2">
      <c r="A106" s="56"/>
      <c r="B106" s="218"/>
      <c r="C106" s="219">
        <f>SUM(C102:C105)</f>
        <v>37850709</v>
      </c>
      <c r="D106" s="219">
        <f>SUM(D102:D105)</f>
        <v>1304000</v>
      </c>
      <c r="E106" s="220"/>
      <c r="F106" s="219">
        <f>SUM(F102:F105)</f>
        <v>326000</v>
      </c>
      <c r="G106" s="219">
        <f>SUM(G102:G105)</f>
        <v>0</v>
      </c>
      <c r="H106" s="220"/>
      <c r="I106" s="221"/>
    </row>
    <row r="107" spans="1:9" x14ac:dyDescent="0.2">
      <c r="A107" s="56"/>
    </row>
    <row r="108" spans="1:9" ht="20.25" x14ac:dyDescent="0.3">
      <c r="A108" s="56"/>
      <c r="B108" s="517" t="s">
        <v>421</v>
      </c>
      <c r="C108" s="518"/>
      <c r="D108" s="518"/>
      <c r="E108" s="518"/>
      <c r="F108" s="518"/>
      <c r="G108" s="518"/>
      <c r="H108" s="518"/>
      <c r="I108" s="518"/>
    </row>
    <row r="109" spans="1:9" ht="38.25" x14ac:dyDescent="0.2">
      <c r="A109" s="56"/>
      <c r="B109" s="205" t="s">
        <v>0</v>
      </c>
      <c r="C109" s="18" t="s">
        <v>1</v>
      </c>
      <c r="D109" s="18" t="s">
        <v>166</v>
      </c>
      <c r="E109" s="206" t="s">
        <v>391</v>
      </c>
      <c r="F109" s="206" t="s">
        <v>422</v>
      </c>
      <c r="G109" s="206" t="s">
        <v>423</v>
      </c>
      <c r="H109" s="206" t="s">
        <v>394</v>
      </c>
      <c r="I109" s="205" t="s">
        <v>171</v>
      </c>
    </row>
    <row r="110" spans="1:9" ht="51" x14ac:dyDescent="0.2">
      <c r="A110" s="56"/>
      <c r="B110" s="207" t="s">
        <v>424</v>
      </c>
      <c r="C110" s="208">
        <v>3712220</v>
      </c>
      <c r="D110" s="208">
        <v>500000</v>
      </c>
      <c r="E110" s="209" t="s">
        <v>396</v>
      </c>
      <c r="F110" s="208">
        <v>500000</v>
      </c>
      <c r="G110" s="208">
        <f t="shared" ref="G110:G115" si="0">D110-F110</f>
        <v>0</v>
      </c>
      <c r="H110" s="60" t="s">
        <v>343</v>
      </c>
      <c r="I110" s="26">
        <v>39483</v>
      </c>
    </row>
    <row r="111" spans="1:9" ht="51" x14ac:dyDescent="0.2">
      <c r="A111" s="56"/>
      <c r="B111" s="207" t="s">
        <v>425</v>
      </c>
      <c r="C111" s="208">
        <v>694000</v>
      </c>
      <c r="D111" s="208">
        <v>534000</v>
      </c>
      <c r="E111" s="209" t="s">
        <v>396</v>
      </c>
      <c r="F111" s="208">
        <v>534000</v>
      </c>
      <c r="G111" s="208">
        <f t="shared" si="0"/>
        <v>0</v>
      </c>
      <c r="H111" s="60" t="s">
        <v>343</v>
      </c>
      <c r="I111" s="26">
        <v>39344</v>
      </c>
    </row>
    <row r="112" spans="1:9" ht="51" x14ac:dyDescent="0.2">
      <c r="A112" s="56"/>
      <c r="B112" s="207" t="s">
        <v>426</v>
      </c>
      <c r="C112" s="208">
        <v>4660791</v>
      </c>
      <c r="D112" s="208">
        <v>760791</v>
      </c>
      <c r="E112" s="209" t="s">
        <v>427</v>
      </c>
      <c r="F112" s="210">
        <v>729711</v>
      </c>
      <c r="G112" s="210">
        <v>31079</v>
      </c>
      <c r="H112" s="209" t="s">
        <v>428</v>
      </c>
      <c r="I112" s="26">
        <v>42185</v>
      </c>
    </row>
    <row r="113" spans="1:9" ht="51" x14ac:dyDescent="0.2">
      <c r="A113" s="56"/>
      <c r="B113" s="207" t="s">
        <v>429</v>
      </c>
      <c r="C113" s="208">
        <v>5700000</v>
      </c>
      <c r="D113" s="208">
        <v>280000</v>
      </c>
      <c r="E113" s="209" t="s">
        <v>396</v>
      </c>
      <c r="F113" s="208">
        <v>126000</v>
      </c>
      <c r="G113" s="208">
        <v>0</v>
      </c>
      <c r="H113" s="209" t="s">
        <v>526</v>
      </c>
      <c r="I113" s="33">
        <v>41333</v>
      </c>
    </row>
    <row r="114" spans="1:9" ht="51" x14ac:dyDescent="0.2">
      <c r="A114" s="56"/>
      <c r="B114" s="207" t="s">
        <v>430</v>
      </c>
      <c r="C114" s="208">
        <v>2800000</v>
      </c>
      <c r="D114" s="208">
        <v>280000</v>
      </c>
      <c r="E114" s="209" t="s">
        <v>396</v>
      </c>
      <c r="F114" s="208">
        <v>280000</v>
      </c>
      <c r="G114" s="208">
        <f t="shared" si="0"/>
        <v>0</v>
      </c>
      <c r="H114" s="60" t="s">
        <v>343</v>
      </c>
      <c r="I114" s="33">
        <v>39721</v>
      </c>
    </row>
    <row r="115" spans="1:9" ht="51" x14ac:dyDescent="0.2">
      <c r="A115" s="56"/>
      <c r="B115" s="207" t="s">
        <v>431</v>
      </c>
      <c r="C115" s="208">
        <v>1258532</v>
      </c>
      <c r="D115" s="208">
        <v>300000</v>
      </c>
      <c r="E115" s="209" t="s">
        <v>396</v>
      </c>
      <c r="F115" s="208">
        <v>300000</v>
      </c>
      <c r="G115" s="208">
        <f t="shared" si="0"/>
        <v>0</v>
      </c>
      <c r="H115" s="60" t="s">
        <v>343</v>
      </c>
      <c r="I115" s="33">
        <v>39387</v>
      </c>
    </row>
    <row r="116" spans="1:9" ht="51" x14ac:dyDescent="0.2">
      <c r="A116" s="56"/>
      <c r="B116" s="207" t="s">
        <v>432</v>
      </c>
      <c r="C116" s="208">
        <v>2154086</v>
      </c>
      <c r="D116" s="208">
        <v>319209</v>
      </c>
      <c r="E116" s="209" t="s">
        <v>396</v>
      </c>
      <c r="F116" s="208">
        <v>0</v>
      </c>
      <c r="G116" s="208">
        <v>0</v>
      </c>
      <c r="H116" s="209" t="s">
        <v>433</v>
      </c>
      <c r="I116" s="33" t="s">
        <v>350</v>
      </c>
    </row>
    <row r="117" spans="1:9" ht="51" x14ac:dyDescent="0.2">
      <c r="A117" s="56"/>
      <c r="B117" s="207" t="s">
        <v>434</v>
      </c>
      <c r="C117" s="208">
        <v>30000</v>
      </c>
      <c r="D117" s="208">
        <v>22500</v>
      </c>
      <c r="E117" s="209" t="s">
        <v>399</v>
      </c>
      <c r="F117" s="208">
        <v>0</v>
      </c>
      <c r="G117" s="208">
        <v>0</v>
      </c>
      <c r="H117" s="60" t="s">
        <v>379</v>
      </c>
      <c r="I117" s="26" t="s">
        <v>350</v>
      </c>
    </row>
    <row r="118" spans="1:9" x14ac:dyDescent="0.2">
      <c r="A118" s="56"/>
      <c r="B118" s="207" t="s">
        <v>435</v>
      </c>
      <c r="C118" s="208">
        <v>406711</v>
      </c>
      <c r="D118" s="208">
        <v>60000</v>
      </c>
      <c r="E118" s="209" t="s">
        <v>436</v>
      </c>
      <c r="F118" s="208">
        <v>42691</v>
      </c>
      <c r="G118" s="208">
        <v>0</v>
      </c>
      <c r="H118" s="60" t="s">
        <v>343</v>
      </c>
      <c r="I118" s="33">
        <v>39387</v>
      </c>
    </row>
    <row r="119" spans="1:9" x14ac:dyDescent="0.2">
      <c r="A119" s="56"/>
      <c r="B119" s="218"/>
      <c r="C119" s="219">
        <f>SUM(C110:C118)</f>
        <v>21416340</v>
      </c>
      <c r="D119" s="219">
        <f>SUM(D110:D118)</f>
        <v>3056500</v>
      </c>
      <c r="E119" s="220"/>
      <c r="F119" s="219">
        <f>SUM(F110:F118)</f>
        <v>2512402</v>
      </c>
      <c r="G119" s="219">
        <f>SUM(G110:G118)</f>
        <v>31079</v>
      </c>
      <c r="H119" s="220"/>
      <c r="I119" s="221"/>
    </row>
  </sheetData>
  <mergeCells count="11">
    <mergeCell ref="B100:I100"/>
    <mergeCell ref="B108:I108"/>
    <mergeCell ref="A1:I1"/>
    <mergeCell ref="A10:I10"/>
    <mergeCell ref="A20:I20"/>
    <mergeCell ref="A30:I30"/>
    <mergeCell ref="A43:I43"/>
    <mergeCell ref="A56:I56"/>
    <mergeCell ref="A64:I64"/>
    <mergeCell ref="A75:I75"/>
    <mergeCell ref="B86:I8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sqref="A1:I1"/>
    </sheetView>
  </sheetViews>
  <sheetFormatPr defaultRowHeight="12.75" x14ac:dyDescent="0.2"/>
  <cols>
    <col min="1" max="1" width="17.5703125" bestFit="1" customWidth="1"/>
    <col min="2" max="2" width="12.85546875" customWidth="1"/>
    <col min="3" max="3" width="33.85546875" customWidth="1"/>
    <col min="4" max="4" width="14.7109375" customWidth="1"/>
    <col min="5" max="6" width="12.7109375" customWidth="1"/>
    <col min="7" max="7" width="15.5703125" customWidth="1"/>
    <col min="8" max="8" width="17.7109375" customWidth="1"/>
    <col min="9" max="9" width="16.85546875" customWidth="1"/>
    <col min="257" max="257" width="17.5703125" bestFit="1" customWidth="1"/>
    <col min="258" max="258" width="12.85546875" customWidth="1"/>
    <col min="259" max="259" width="33.85546875" customWidth="1"/>
    <col min="260" max="260" width="14.7109375" customWidth="1"/>
    <col min="261" max="262" width="12.7109375" customWidth="1"/>
    <col min="263" max="263" width="15.5703125" customWidth="1"/>
    <col min="264" max="264" width="17.7109375" customWidth="1"/>
    <col min="265" max="265" width="16.85546875" customWidth="1"/>
    <col min="513" max="513" width="17.5703125" bestFit="1" customWidth="1"/>
    <col min="514" max="514" width="12.85546875" customWidth="1"/>
    <col min="515" max="515" width="33.85546875" customWidth="1"/>
    <col min="516" max="516" width="14.7109375" customWidth="1"/>
    <col min="517" max="518" width="12.7109375" customWidth="1"/>
    <col min="519" max="519" width="15.5703125" customWidth="1"/>
    <col min="520" max="520" width="17.7109375" customWidth="1"/>
    <col min="521" max="521" width="16.85546875" customWidth="1"/>
    <col min="769" max="769" width="17.5703125" bestFit="1" customWidth="1"/>
    <col min="770" max="770" width="12.85546875" customWidth="1"/>
    <col min="771" max="771" width="33.85546875" customWidth="1"/>
    <col min="772" max="772" width="14.7109375" customWidth="1"/>
    <col min="773" max="774" width="12.7109375" customWidth="1"/>
    <col min="775" max="775" width="15.5703125" customWidth="1"/>
    <col min="776" max="776" width="17.7109375" customWidth="1"/>
    <col min="777" max="777" width="16.85546875" customWidth="1"/>
    <col min="1025" max="1025" width="17.5703125" bestFit="1" customWidth="1"/>
    <col min="1026" max="1026" width="12.85546875" customWidth="1"/>
    <col min="1027" max="1027" width="33.85546875" customWidth="1"/>
    <col min="1028" max="1028" width="14.7109375" customWidth="1"/>
    <col min="1029" max="1030" width="12.7109375" customWidth="1"/>
    <col min="1031" max="1031" width="15.5703125" customWidth="1"/>
    <col min="1032" max="1032" width="17.7109375" customWidth="1"/>
    <col min="1033" max="1033" width="16.85546875" customWidth="1"/>
    <col min="1281" max="1281" width="17.5703125" bestFit="1" customWidth="1"/>
    <col min="1282" max="1282" width="12.85546875" customWidth="1"/>
    <col min="1283" max="1283" width="33.85546875" customWidth="1"/>
    <col min="1284" max="1284" width="14.7109375" customWidth="1"/>
    <col min="1285" max="1286" width="12.7109375" customWidth="1"/>
    <col min="1287" max="1287" width="15.5703125" customWidth="1"/>
    <col min="1288" max="1288" width="17.7109375" customWidth="1"/>
    <col min="1289" max="1289" width="16.85546875" customWidth="1"/>
    <col min="1537" max="1537" width="17.5703125" bestFit="1" customWidth="1"/>
    <col min="1538" max="1538" width="12.85546875" customWidth="1"/>
    <col min="1539" max="1539" width="33.85546875" customWidth="1"/>
    <col min="1540" max="1540" width="14.7109375" customWidth="1"/>
    <col min="1541" max="1542" width="12.7109375" customWidth="1"/>
    <col min="1543" max="1543" width="15.5703125" customWidth="1"/>
    <col min="1544" max="1544" width="17.7109375" customWidth="1"/>
    <col min="1545" max="1545" width="16.85546875" customWidth="1"/>
    <col min="1793" max="1793" width="17.5703125" bestFit="1" customWidth="1"/>
    <col min="1794" max="1794" width="12.85546875" customWidth="1"/>
    <col min="1795" max="1795" width="33.85546875" customWidth="1"/>
    <col min="1796" max="1796" width="14.7109375" customWidth="1"/>
    <col min="1797" max="1798" width="12.7109375" customWidth="1"/>
    <col min="1799" max="1799" width="15.5703125" customWidth="1"/>
    <col min="1800" max="1800" width="17.7109375" customWidth="1"/>
    <col min="1801" max="1801" width="16.85546875" customWidth="1"/>
    <col min="2049" max="2049" width="17.5703125" bestFit="1" customWidth="1"/>
    <col min="2050" max="2050" width="12.85546875" customWidth="1"/>
    <col min="2051" max="2051" width="33.85546875" customWidth="1"/>
    <col min="2052" max="2052" width="14.7109375" customWidth="1"/>
    <col min="2053" max="2054" width="12.7109375" customWidth="1"/>
    <col min="2055" max="2055" width="15.5703125" customWidth="1"/>
    <col min="2056" max="2056" width="17.7109375" customWidth="1"/>
    <col min="2057" max="2057" width="16.85546875" customWidth="1"/>
    <col min="2305" max="2305" width="17.5703125" bestFit="1" customWidth="1"/>
    <col min="2306" max="2306" width="12.85546875" customWidth="1"/>
    <col min="2307" max="2307" width="33.85546875" customWidth="1"/>
    <col min="2308" max="2308" width="14.7109375" customWidth="1"/>
    <col min="2309" max="2310" width="12.7109375" customWidth="1"/>
    <col min="2311" max="2311" width="15.5703125" customWidth="1"/>
    <col min="2312" max="2312" width="17.7109375" customWidth="1"/>
    <col min="2313" max="2313" width="16.85546875" customWidth="1"/>
    <col min="2561" max="2561" width="17.5703125" bestFit="1" customWidth="1"/>
    <col min="2562" max="2562" width="12.85546875" customWidth="1"/>
    <col min="2563" max="2563" width="33.85546875" customWidth="1"/>
    <col min="2564" max="2564" width="14.7109375" customWidth="1"/>
    <col min="2565" max="2566" width="12.7109375" customWidth="1"/>
    <col min="2567" max="2567" width="15.5703125" customWidth="1"/>
    <col min="2568" max="2568" width="17.7109375" customWidth="1"/>
    <col min="2569" max="2569" width="16.85546875" customWidth="1"/>
    <col min="2817" max="2817" width="17.5703125" bestFit="1" customWidth="1"/>
    <col min="2818" max="2818" width="12.85546875" customWidth="1"/>
    <col min="2819" max="2819" width="33.85546875" customWidth="1"/>
    <col min="2820" max="2820" width="14.7109375" customWidth="1"/>
    <col min="2821" max="2822" width="12.7109375" customWidth="1"/>
    <col min="2823" max="2823" width="15.5703125" customWidth="1"/>
    <col min="2824" max="2824" width="17.7109375" customWidth="1"/>
    <col min="2825" max="2825" width="16.85546875" customWidth="1"/>
    <col min="3073" max="3073" width="17.5703125" bestFit="1" customWidth="1"/>
    <col min="3074" max="3074" width="12.85546875" customWidth="1"/>
    <col min="3075" max="3075" width="33.85546875" customWidth="1"/>
    <col min="3076" max="3076" width="14.7109375" customWidth="1"/>
    <col min="3077" max="3078" width="12.7109375" customWidth="1"/>
    <col min="3079" max="3079" width="15.5703125" customWidth="1"/>
    <col min="3080" max="3080" width="17.7109375" customWidth="1"/>
    <col min="3081" max="3081" width="16.85546875" customWidth="1"/>
    <col min="3329" max="3329" width="17.5703125" bestFit="1" customWidth="1"/>
    <col min="3330" max="3330" width="12.85546875" customWidth="1"/>
    <col min="3331" max="3331" width="33.85546875" customWidth="1"/>
    <col min="3332" max="3332" width="14.7109375" customWidth="1"/>
    <col min="3333" max="3334" width="12.7109375" customWidth="1"/>
    <col min="3335" max="3335" width="15.5703125" customWidth="1"/>
    <col min="3336" max="3336" width="17.7109375" customWidth="1"/>
    <col min="3337" max="3337" width="16.85546875" customWidth="1"/>
    <col min="3585" max="3585" width="17.5703125" bestFit="1" customWidth="1"/>
    <col min="3586" max="3586" width="12.85546875" customWidth="1"/>
    <col min="3587" max="3587" width="33.85546875" customWidth="1"/>
    <col min="3588" max="3588" width="14.7109375" customWidth="1"/>
    <col min="3589" max="3590" width="12.7109375" customWidth="1"/>
    <col min="3591" max="3591" width="15.5703125" customWidth="1"/>
    <col min="3592" max="3592" width="17.7109375" customWidth="1"/>
    <col min="3593" max="3593" width="16.85546875" customWidth="1"/>
    <col min="3841" max="3841" width="17.5703125" bestFit="1" customWidth="1"/>
    <col min="3842" max="3842" width="12.85546875" customWidth="1"/>
    <col min="3843" max="3843" width="33.85546875" customWidth="1"/>
    <col min="3844" max="3844" width="14.7109375" customWidth="1"/>
    <col min="3845" max="3846" width="12.7109375" customWidth="1"/>
    <col min="3847" max="3847" width="15.5703125" customWidth="1"/>
    <col min="3848" max="3848" width="17.7109375" customWidth="1"/>
    <col min="3849" max="3849" width="16.85546875" customWidth="1"/>
    <col min="4097" max="4097" width="17.5703125" bestFit="1" customWidth="1"/>
    <col min="4098" max="4098" width="12.85546875" customWidth="1"/>
    <col min="4099" max="4099" width="33.85546875" customWidth="1"/>
    <col min="4100" max="4100" width="14.7109375" customWidth="1"/>
    <col min="4101" max="4102" width="12.7109375" customWidth="1"/>
    <col min="4103" max="4103" width="15.5703125" customWidth="1"/>
    <col min="4104" max="4104" width="17.7109375" customWidth="1"/>
    <col min="4105" max="4105" width="16.85546875" customWidth="1"/>
    <col min="4353" max="4353" width="17.5703125" bestFit="1" customWidth="1"/>
    <col min="4354" max="4354" width="12.85546875" customWidth="1"/>
    <col min="4355" max="4355" width="33.85546875" customWidth="1"/>
    <col min="4356" max="4356" width="14.7109375" customWidth="1"/>
    <col min="4357" max="4358" width="12.7109375" customWidth="1"/>
    <col min="4359" max="4359" width="15.5703125" customWidth="1"/>
    <col min="4360" max="4360" width="17.7109375" customWidth="1"/>
    <col min="4361" max="4361" width="16.85546875" customWidth="1"/>
    <col min="4609" max="4609" width="17.5703125" bestFit="1" customWidth="1"/>
    <col min="4610" max="4610" width="12.85546875" customWidth="1"/>
    <col min="4611" max="4611" width="33.85546875" customWidth="1"/>
    <col min="4612" max="4612" width="14.7109375" customWidth="1"/>
    <col min="4613" max="4614" width="12.7109375" customWidth="1"/>
    <col min="4615" max="4615" width="15.5703125" customWidth="1"/>
    <col min="4616" max="4616" width="17.7109375" customWidth="1"/>
    <col min="4617" max="4617" width="16.85546875" customWidth="1"/>
    <col min="4865" max="4865" width="17.5703125" bestFit="1" customWidth="1"/>
    <col min="4866" max="4866" width="12.85546875" customWidth="1"/>
    <col min="4867" max="4867" width="33.85546875" customWidth="1"/>
    <col min="4868" max="4868" width="14.7109375" customWidth="1"/>
    <col min="4869" max="4870" width="12.7109375" customWidth="1"/>
    <col min="4871" max="4871" width="15.5703125" customWidth="1"/>
    <col min="4872" max="4872" width="17.7109375" customWidth="1"/>
    <col min="4873" max="4873" width="16.85546875" customWidth="1"/>
    <col min="5121" max="5121" width="17.5703125" bestFit="1" customWidth="1"/>
    <col min="5122" max="5122" width="12.85546875" customWidth="1"/>
    <col min="5123" max="5123" width="33.85546875" customWidth="1"/>
    <col min="5124" max="5124" width="14.7109375" customWidth="1"/>
    <col min="5125" max="5126" width="12.7109375" customWidth="1"/>
    <col min="5127" max="5127" width="15.5703125" customWidth="1"/>
    <col min="5128" max="5128" width="17.7109375" customWidth="1"/>
    <col min="5129" max="5129" width="16.85546875" customWidth="1"/>
    <col min="5377" max="5377" width="17.5703125" bestFit="1" customWidth="1"/>
    <col min="5378" max="5378" width="12.85546875" customWidth="1"/>
    <col min="5379" max="5379" width="33.85546875" customWidth="1"/>
    <col min="5380" max="5380" width="14.7109375" customWidth="1"/>
    <col min="5381" max="5382" width="12.7109375" customWidth="1"/>
    <col min="5383" max="5383" width="15.5703125" customWidth="1"/>
    <col min="5384" max="5384" width="17.7109375" customWidth="1"/>
    <col min="5385" max="5385" width="16.85546875" customWidth="1"/>
    <col min="5633" max="5633" width="17.5703125" bestFit="1" customWidth="1"/>
    <col min="5634" max="5634" width="12.85546875" customWidth="1"/>
    <col min="5635" max="5635" width="33.85546875" customWidth="1"/>
    <col min="5636" max="5636" width="14.7109375" customWidth="1"/>
    <col min="5637" max="5638" width="12.7109375" customWidth="1"/>
    <col min="5639" max="5639" width="15.5703125" customWidth="1"/>
    <col min="5640" max="5640" width="17.7109375" customWidth="1"/>
    <col min="5641" max="5641" width="16.85546875" customWidth="1"/>
    <col min="5889" max="5889" width="17.5703125" bestFit="1" customWidth="1"/>
    <col min="5890" max="5890" width="12.85546875" customWidth="1"/>
    <col min="5891" max="5891" width="33.85546875" customWidth="1"/>
    <col min="5892" max="5892" width="14.7109375" customWidth="1"/>
    <col min="5893" max="5894" width="12.7109375" customWidth="1"/>
    <col min="5895" max="5895" width="15.5703125" customWidth="1"/>
    <col min="5896" max="5896" width="17.7109375" customWidth="1"/>
    <col min="5897" max="5897" width="16.85546875" customWidth="1"/>
    <col min="6145" max="6145" width="17.5703125" bestFit="1" customWidth="1"/>
    <col min="6146" max="6146" width="12.85546875" customWidth="1"/>
    <col min="6147" max="6147" width="33.85546875" customWidth="1"/>
    <col min="6148" max="6148" width="14.7109375" customWidth="1"/>
    <col min="6149" max="6150" width="12.7109375" customWidth="1"/>
    <col min="6151" max="6151" width="15.5703125" customWidth="1"/>
    <col min="6152" max="6152" width="17.7109375" customWidth="1"/>
    <col min="6153" max="6153" width="16.85546875" customWidth="1"/>
    <col min="6401" max="6401" width="17.5703125" bestFit="1" customWidth="1"/>
    <col min="6402" max="6402" width="12.85546875" customWidth="1"/>
    <col min="6403" max="6403" width="33.85546875" customWidth="1"/>
    <col min="6404" max="6404" width="14.7109375" customWidth="1"/>
    <col min="6405" max="6406" width="12.7109375" customWidth="1"/>
    <col min="6407" max="6407" width="15.5703125" customWidth="1"/>
    <col min="6408" max="6408" width="17.7109375" customWidth="1"/>
    <col min="6409" max="6409" width="16.85546875" customWidth="1"/>
    <col min="6657" max="6657" width="17.5703125" bestFit="1" customWidth="1"/>
    <col min="6658" max="6658" width="12.85546875" customWidth="1"/>
    <col min="6659" max="6659" width="33.85546875" customWidth="1"/>
    <col min="6660" max="6660" width="14.7109375" customWidth="1"/>
    <col min="6661" max="6662" width="12.7109375" customWidth="1"/>
    <col min="6663" max="6663" width="15.5703125" customWidth="1"/>
    <col min="6664" max="6664" width="17.7109375" customWidth="1"/>
    <col min="6665" max="6665" width="16.85546875" customWidth="1"/>
    <col min="6913" max="6913" width="17.5703125" bestFit="1" customWidth="1"/>
    <col min="6914" max="6914" width="12.85546875" customWidth="1"/>
    <col min="6915" max="6915" width="33.85546875" customWidth="1"/>
    <col min="6916" max="6916" width="14.7109375" customWidth="1"/>
    <col min="6917" max="6918" width="12.7109375" customWidth="1"/>
    <col min="6919" max="6919" width="15.5703125" customWidth="1"/>
    <col min="6920" max="6920" width="17.7109375" customWidth="1"/>
    <col min="6921" max="6921" width="16.85546875" customWidth="1"/>
    <col min="7169" max="7169" width="17.5703125" bestFit="1" customWidth="1"/>
    <col min="7170" max="7170" width="12.85546875" customWidth="1"/>
    <col min="7171" max="7171" width="33.85546875" customWidth="1"/>
    <col min="7172" max="7172" width="14.7109375" customWidth="1"/>
    <col min="7173" max="7174" width="12.7109375" customWidth="1"/>
    <col min="7175" max="7175" width="15.5703125" customWidth="1"/>
    <col min="7176" max="7176" width="17.7109375" customWidth="1"/>
    <col min="7177" max="7177" width="16.85546875" customWidth="1"/>
    <col min="7425" max="7425" width="17.5703125" bestFit="1" customWidth="1"/>
    <col min="7426" max="7426" width="12.85546875" customWidth="1"/>
    <col min="7427" max="7427" width="33.85546875" customWidth="1"/>
    <col min="7428" max="7428" width="14.7109375" customWidth="1"/>
    <col min="7429" max="7430" width="12.7109375" customWidth="1"/>
    <col min="7431" max="7431" width="15.5703125" customWidth="1"/>
    <col min="7432" max="7432" width="17.7109375" customWidth="1"/>
    <col min="7433" max="7433" width="16.85546875" customWidth="1"/>
    <col min="7681" max="7681" width="17.5703125" bestFit="1" customWidth="1"/>
    <col min="7682" max="7682" width="12.85546875" customWidth="1"/>
    <col min="7683" max="7683" width="33.85546875" customWidth="1"/>
    <col min="7684" max="7684" width="14.7109375" customWidth="1"/>
    <col min="7685" max="7686" width="12.7109375" customWidth="1"/>
    <col min="7687" max="7687" width="15.5703125" customWidth="1"/>
    <col min="7688" max="7688" width="17.7109375" customWidth="1"/>
    <col min="7689" max="7689" width="16.85546875" customWidth="1"/>
    <col min="7937" max="7937" width="17.5703125" bestFit="1" customWidth="1"/>
    <col min="7938" max="7938" width="12.85546875" customWidth="1"/>
    <col min="7939" max="7939" width="33.85546875" customWidth="1"/>
    <col min="7940" max="7940" width="14.7109375" customWidth="1"/>
    <col min="7941" max="7942" width="12.7109375" customWidth="1"/>
    <col min="7943" max="7943" width="15.5703125" customWidth="1"/>
    <col min="7944" max="7944" width="17.7109375" customWidth="1"/>
    <col min="7945" max="7945" width="16.85546875" customWidth="1"/>
    <col min="8193" max="8193" width="17.5703125" bestFit="1" customWidth="1"/>
    <col min="8194" max="8194" width="12.85546875" customWidth="1"/>
    <col min="8195" max="8195" width="33.85546875" customWidth="1"/>
    <col min="8196" max="8196" width="14.7109375" customWidth="1"/>
    <col min="8197" max="8198" width="12.7109375" customWidth="1"/>
    <col min="8199" max="8199" width="15.5703125" customWidth="1"/>
    <col min="8200" max="8200" width="17.7109375" customWidth="1"/>
    <col min="8201" max="8201" width="16.85546875" customWidth="1"/>
    <col min="8449" max="8449" width="17.5703125" bestFit="1" customWidth="1"/>
    <col min="8450" max="8450" width="12.85546875" customWidth="1"/>
    <col min="8451" max="8451" width="33.85546875" customWidth="1"/>
    <col min="8452" max="8452" width="14.7109375" customWidth="1"/>
    <col min="8453" max="8454" width="12.7109375" customWidth="1"/>
    <col min="8455" max="8455" width="15.5703125" customWidth="1"/>
    <col min="8456" max="8456" width="17.7109375" customWidth="1"/>
    <col min="8457" max="8457" width="16.85546875" customWidth="1"/>
    <col min="8705" max="8705" width="17.5703125" bestFit="1" customWidth="1"/>
    <col min="8706" max="8706" width="12.85546875" customWidth="1"/>
    <col min="8707" max="8707" width="33.85546875" customWidth="1"/>
    <col min="8708" max="8708" width="14.7109375" customWidth="1"/>
    <col min="8709" max="8710" width="12.7109375" customWidth="1"/>
    <col min="8711" max="8711" width="15.5703125" customWidth="1"/>
    <col min="8712" max="8712" width="17.7109375" customWidth="1"/>
    <col min="8713" max="8713" width="16.85546875" customWidth="1"/>
    <col min="8961" max="8961" width="17.5703125" bestFit="1" customWidth="1"/>
    <col min="8962" max="8962" width="12.85546875" customWidth="1"/>
    <col min="8963" max="8963" width="33.85546875" customWidth="1"/>
    <col min="8964" max="8964" width="14.7109375" customWidth="1"/>
    <col min="8965" max="8966" width="12.7109375" customWidth="1"/>
    <col min="8967" max="8967" width="15.5703125" customWidth="1"/>
    <col min="8968" max="8968" width="17.7109375" customWidth="1"/>
    <col min="8969" max="8969" width="16.85546875" customWidth="1"/>
    <col min="9217" max="9217" width="17.5703125" bestFit="1" customWidth="1"/>
    <col min="9218" max="9218" width="12.85546875" customWidth="1"/>
    <col min="9219" max="9219" width="33.85546875" customWidth="1"/>
    <col min="9220" max="9220" width="14.7109375" customWidth="1"/>
    <col min="9221" max="9222" width="12.7109375" customWidth="1"/>
    <col min="9223" max="9223" width="15.5703125" customWidth="1"/>
    <col min="9224" max="9224" width="17.7109375" customWidth="1"/>
    <col min="9225" max="9225" width="16.85546875" customWidth="1"/>
    <col min="9473" max="9473" width="17.5703125" bestFit="1" customWidth="1"/>
    <col min="9474" max="9474" width="12.85546875" customWidth="1"/>
    <col min="9475" max="9475" width="33.85546875" customWidth="1"/>
    <col min="9476" max="9476" width="14.7109375" customWidth="1"/>
    <col min="9477" max="9478" width="12.7109375" customWidth="1"/>
    <col min="9479" max="9479" width="15.5703125" customWidth="1"/>
    <col min="9480" max="9480" width="17.7109375" customWidth="1"/>
    <col min="9481" max="9481" width="16.85546875" customWidth="1"/>
    <col min="9729" max="9729" width="17.5703125" bestFit="1" customWidth="1"/>
    <col min="9730" max="9730" width="12.85546875" customWidth="1"/>
    <col min="9731" max="9731" width="33.85546875" customWidth="1"/>
    <col min="9732" max="9732" width="14.7109375" customWidth="1"/>
    <col min="9733" max="9734" width="12.7109375" customWidth="1"/>
    <col min="9735" max="9735" width="15.5703125" customWidth="1"/>
    <col min="9736" max="9736" width="17.7109375" customWidth="1"/>
    <col min="9737" max="9737" width="16.85546875" customWidth="1"/>
    <col min="9985" max="9985" width="17.5703125" bestFit="1" customWidth="1"/>
    <col min="9986" max="9986" width="12.85546875" customWidth="1"/>
    <col min="9987" max="9987" width="33.85546875" customWidth="1"/>
    <col min="9988" max="9988" width="14.7109375" customWidth="1"/>
    <col min="9989" max="9990" width="12.7109375" customWidth="1"/>
    <col min="9991" max="9991" width="15.5703125" customWidth="1"/>
    <col min="9992" max="9992" width="17.7109375" customWidth="1"/>
    <col min="9993" max="9993" width="16.85546875" customWidth="1"/>
    <col min="10241" max="10241" width="17.5703125" bestFit="1" customWidth="1"/>
    <col min="10242" max="10242" width="12.85546875" customWidth="1"/>
    <col min="10243" max="10243" width="33.85546875" customWidth="1"/>
    <col min="10244" max="10244" width="14.7109375" customWidth="1"/>
    <col min="10245" max="10246" width="12.7109375" customWidth="1"/>
    <col min="10247" max="10247" width="15.5703125" customWidth="1"/>
    <col min="10248" max="10248" width="17.7109375" customWidth="1"/>
    <col min="10249" max="10249" width="16.85546875" customWidth="1"/>
    <col min="10497" max="10497" width="17.5703125" bestFit="1" customWidth="1"/>
    <col min="10498" max="10498" width="12.85546875" customWidth="1"/>
    <col min="10499" max="10499" width="33.85546875" customWidth="1"/>
    <col min="10500" max="10500" width="14.7109375" customWidth="1"/>
    <col min="10501" max="10502" width="12.7109375" customWidth="1"/>
    <col min="10503" max="10503" width="15.5703125" customWidth="1"/>
    <col min="10504" max="10504" width="17.7109375" customWidth="1"/>
    <col min="10505" max="10505" width="16.85546875" customWidth="1"/>
    <col min="10753" max="10753" width="17.5703125" bestFit="1" customWidth="1"/>
    <col min="10754" max="10754" width="12.85546875" customWidth="1"/>
    <col min="10755" max="10755" width="33.85546875" customWidth="1"/>
    <col min="10756" max="10756" width="14.7109375" customWidth="1"/>
    <col min="10757" max="10758" width="12.7109375" customWidth="1"/>
    <col min="10759" max="10759" width="15.5703125" customWidth="1"/>
    <col min="10760" max="10760" width="17.7109375" customWidth="1"/>
    <col min="10761" max="10761" width="16.85546875" customWidth="1"/>
    <col min="11009" max="11009" width="17.5703125" bestFit="1" customWidth="1"/>
    <col min="11010" max="11010" width="12.85546875" customWidth="1"/>
    <col min="11011" max="11011" width="33.85546875" customWidth="1"/>
    <col min="11012" max="11012" width="14.7109375" customWidth="1"/>
    <col min="11013" max="11014" width="12.7109375" customWidth="1"/>
    <col min="11015" max="11015" width="15.5703125" customWidth="1"/>
    <col min="11016" max="11016" width="17.7109375" customWidth="1"/>
    <col min="11017" max="11017" width="16.85546875" customWidth="1"/>
    <col min="11265" max="11265" width="17.5703125" bestFit="1" customWidth="1"/>
    <col min="11266" max="11266" width="12.85546875" customWidth="1"/>
    <col min="11267" max="11267" width="33.85546875" customWidth="1"/>
    <col min="11268" max="11268" width="14.7109375" customWidth="1"/>
    <col min="11269" max="11270" width="12.7109375" customWidth="1"/>
    <col min="11271" max="11271" width="15.5703125" customWidth="1"/>
    <col min="11272" max="11272" width="17.7109375" customWidth="1"/>
    <col min="11273" max="11273" width="16.85546875" customWidth="1"/>
    <col min="11521" max="11521" width="17.5703125" bestFit="1" customWidth="1"/>
    <col min="11522" max="11522" width="12.85546875" customWidth="1"/>
    <col min="11523" max="11523" width="33.85546875" customWidth="1"/>
    <col min="11524" max="11524" width="14.7109375" customWidth="1"/>
    <col min="11525" max="11526" width="12.7109375" customWidth="1"/>
    <col min="11527" max="11527" width="15.5703125" customWidth="1"/>
    <col min="11528" max="11528" width="17.7109375" customWidth="1"/>
    <col min="11529" max="11529" width="16.85546875" customWidth="1"/>
    <col min="11777" max="11777" width="17.5703125" bestFit="1" customWidth="1"/>
    <col min="11778" max="11778" width="12.85546875" customWidth="1"/>
    <col min="11779" max="11779" width="33.85546875" customWidth="1"/>
    <col min="11780" max="11780" width="14.7109375" customWidth="1"/>
    <col min="11781" max="11782" width="12.7109375" customWidth="1"/>
    <col min="11783" max="11783" width="15.5703125" customWidth="1"/>
    <col min="11784" max="11784" width="17.7109375" customWidth="1"/>
    <col min="11785" max="11785" width="16.85546875" customWidth="1"/>
    <col min="12033" max="12033" width="17.5703125" bestFit="1" customWidth="1"/>
    <col min="12034" max="12034" width="12.85546875" customWidth="1"/>
    <col min="12035" max="12035" width="33.85546875" customWidth="1"/>
    <col min="12036" max="12036" width="14.7109375" customWidth="1"/>
    <col min="12037" max="12038" width="12.7109375" customWidth="1"/>
    <col min="12039" max="12039" width="15.5703125" customWidth="1"/>
    <col min="12040" max="12040" width="17.7109375" customWidth="1"/>
    <col min="12041" max="12041" width="16.85546875" customWidth="1"/>
    <col min="12289" max="12289" width="17.5703125" bestFit="1" customWidth="1"/>
    <col min="12290" max="12290" width="12.85546875" customWidth="1"/>
    <col min="12291" max="12291" width="33.85546875" customWidth="1"/>
    <col min="12292" max="12292" width="14.7109375" customWidth="1"/>
    <col min="12293" max="12294" width="12.7109375" customWidth="1"/>
    <col min="12295" max="12295" width="15.5703125" customWidth="1"/>
    <col min="12296" max="12296" width="17.7109375" customWidth="1"/>
    <col min="12297" max="12297" width="16.85546875" customWidth="1"/>
    <col min="12545" max="12545" width="17.5703125" bestFit="1" customWidth="1"/>
    <col min="12546" max="12546" width="12.85546875" customWidth="1"/>
    <col min="12547" max="12547" width="33.85546875" customWidth="1"/>
    <col min="12548" max="12548" width="14.7109375" customWidth="1"/>
    <col min="12549" max="12550" width="12.7109375" customWidth="1"/>
    <col min="12551" max="12551" width="15.5703125" customWidth="1"/>
    <col min="12552" max="12552" width="17.7109375" customWidth="1"/>
    <col min="12553" max="12553" width="16.85546875" customWidth="1"/>
    <col min="12801" max="12801" width="17.5703125" bestFit="1" customWidth="1"/>
    <col min="12802" max="12802" width="12.85546875" customWidth="1"/>
    <col min="12803" max="12803" width="33.85546875" customWidth="1"/>
    <col min="12804" max="12804" width="14.7109375" customWidth="1"/>
    <col min="12805" max="12806" width="12.7109375" customWidth="1"/>
    <col min="12807" max="12807" width="15.5703125" customWidth="1"/>
    <col min="12808" max="12808" width="17.7109375" customWidth="1"/>
    <col min="12809" max="12809" width="16.85546875" customWidth="1"/>
    <col min="13057" max="13057" width="17.5703125" bestFit="1" customWidth="1"/>
    <col min="13058" max="13058" width="12.85546875" customWidth="1"/>
    <col min="13059" max="13059" width="33.85546875" customWidth="1"/>
    <col min="13060" max="13060" width="14.7109375" customWidth="1"/>
    <col min="13061" max="13062" width="12.7109375" customWidth="1"/>
    <col min="13063" max="13063" width="15.5703125" customWidth="1"/>
    <col min="13064" max="13064" width="17.7109375" customWidth="1"/>
    <col min="13065" max="13065" width="16.85546875" customWidth="1"/>
    <col min="13313" max="13313" width="17.5703125" bestFit="1" customWidth="1"/>
    <col min="13314" max="13314" width="12.85546875" customWidth="1"/>
    <col min="13315" max="13315" width="33.85546875" customWidth="1"/>
    <col min="13316" max="13316" width="14.7109375" customWidth="1"/>
    <col min="13317" max="13318" width="12.7109375" customWidth="1"/>
    <col min="13319" max="13319" width="15.5703125" customWidth="1"/>
    <col min="13320" max="13320" width="17.7109375" customWidth="1"/>
    <col min="13321" max="13321" width="16.85546875" customWidth="1"/>
    <col min="13569" max="13569" width="17.5703125" bestFit="1" customWidth="1"/>
    <col min="13570" max="13570" width="12.85546875" customWidth="1"/>
    <col min="13571" max="13571" width="33.85546875" customWidth="1"/>
    <col min="13572" max="13572" width="14.7109375" customWidth="1"/>
    <col min="13573" max="13574" width="12.7109375" customWidth="1"/>
    <col min="13575" max="13575" width="15.5703125" customWidth="1"/>
    <col min="13576" max="13576" width="17.7109375" customWidth="1"/>
    <col min="13577" max="13577" width="16.85546875" customWidth="1"/>
    <col min="13825" max="13825" width="17.5703125" bestFit="1" customWidth="1"/>
    <col min="13826" max="13826" width="12.85546875" customWidth="1"/>
    <col min="13827" max="13827" width="33.85546875" customWidth="1"/>
    <col min="13828" max="13828" width="14.7109375" customWidth="1"/>
    <col min="13829" max="13830" width="12.7109375" customWidth="1"/>
    <col min="13831" max="13831" width="15.5703125" customWidth="1"/>
    <col min="13832" max="13832" width="17.7109375" customWidth="1"/>
    <col min="13833" max="13833" width="16.85546875" customWidth="1"/>
    <col min="14081" max="14081" width="17.5703125" bestFit="1" customWidth="1"/>
    <col min="14082" max="14082" width="12.85546875" customWidth="1"/>
    <col min="14083" max="14083" width="33.85546875" customWidth="1"/>
    <col min="14084" max="14084" width="14.7109375" customWidth="1"/>
    <col min="14085" max="14086" width="12.7109375" customWidth="1"/>
    <col min="14087" max="14087" width="15.5703125" customWidth="1"/>
    <col min="14088" max="14088" width="17.7109375" customWidth="1"/>
    <col min="14089" max="14089" width="16.85546875" customWidth="1"/>
    <col min="14337" max="14337" width="17.5703125" bestFit="1" customWidth="1"/>
    <col min="14338" max="14338" width="12.85546875" customWidth="1"/>
    <col min="14339" max="14339" width="33.85546875" customWidth="1"/>
    <col min="14340" max="14340" width="14.7109375" customWidth="1"/>
    <col min="14341" max="14342" width="12.7109375" customWidth="1"/>
    <col min="14343" max="14343" width="15.5703125" customWidth="1"/>
    <col min="14344" max="14344" width="17.7109375" customWidth="1"/>
    <col min="14345" max="14345" width="16.85546875" customWidth="1"/>
    <col min="14593" max="14593" width="17.5703125" bestFit="1" customWidth="1"/>
    <col min="14594" max="14594" width="12.85546875" customWidth="1"/>
    <col min="14595" max="14595" width="33.85546875" customWidth="1"/>
    <col min="14596" max="14596" width="14.7109375" customWidth="1"/>
    <col min="14597" max="14598" width="12.7109375" customWidth="1"/>
    <col min="14599" max="14599" width="15.5703125" customWidth="1"/>
    <col min="14600" max="14600" width="17.7109375" customWidth="1"/>
    <col min="14601" max="14601" width="16.85546875" customWidth="1"/>
    <col min="14849" max="14849" width="17.5703125" bestFit="1" customWidth="1"/>
    <col min="14850" max="14850" width="12.85546875" customWidth="1"/>
    <col min="14851" max="14851" width="33.85546875" customWidth="1"/>
    <col min="14852" max="14852" width="14.7109375" customWidth="1"/>
    <col min="14853" max="14854" width="12.7109375" customWidth="1"/>
    <col min="14855" max="14855" width="15.5703125" customWidth="1"/>
    <col min="14856" max="14856" width="17.7109375" customWidth="1"/>
    <col min="14857" max="14857" width="16.85546875" customWidth="1"/>
    <col min="15105" max="15105" width="17.5703125" bestFit="1" customWidth="1"/>
    <col min="15106" max="15106" width="12.85546875" customWidth="1"/>
    <col min="15107" max="15107" width="33.85546875" customWidth="1"/>
    <col min="15108" max="15108" width="14.7109375" customWidth="1"/>
    <col min="15109" max="15110" width="12.7109375" customWidth="1"/>
    <col min="15111" max="15111" width="15.5703125" customWidth="1"/>
    <col min="15112" max="15112" width="17.7109375" customWidth="1"/>
    <col min="15113" max="15113" width="16.85546875" customWidth="1"/>
    <col min="15361" max="15361" width="17.5703125" bestFit="1" customWidth="1"/>
    <col min="15362" max="15362" width="12.85546875" customWidth="1"/>
    <col min="15363" max="15363" width="33.85546875" customWidth="1"/>
    <col min="15364" max="15364" width="14.7109375" customWidth="1"/>
    <col min="15365" max="15366" width="12.7109375" customWidth="1"/>
    <col min="15367" max="15367" width="15.5703125" customWidth="1"/>
    <col min="15368" max="15368" width="17.7109375" customWidth="1"/>
    <col min="15369" max="15369" width="16.85546875" customWidth="1"/>
    <col min="15617" max="15617" width="17.5703125" bestFit="1" customWidth="1"/>
    <col min="15618" max="15618" width="12.85546875" customWidth="1"/>
    <col min="15619" max="15619" width="33.85546875" customWidth="1"/>
    <col min="15620" max="15620" width="14.7109375" customWidth="1"/>
    <col min="15621" max="15622" width="12.7109375" customWidth="1"/>
    <col min="15623" max="15623" width="15.5703125" customWidth="1"/>
    <col min="15624" max="15624" width="17.7109375" customWidth="1"/>
    <col min="15625" max="15625" width="16.85546875" customWidth="1"/>
    <col min="15873" max="15873" width="17.5703125" bestFit="1" customWidth="1"/>
    <col min="15874" max="15874" width="12.85546875" customWidth="1"/>
    <col min="15875" max="15875" width="33.85546875" customWidth="1"/>
    <col min="15876" max="15876" width="14.7109375" customWidth="1"/>
    <col min="15877" max="15878" width="12.7109375" customWidth="1"/>
    <col min="15879" max="15879" width="15.5703125" customWidth="1"/>
    <col min="15880" max="15880" width="17.7109375" customWidth="1"/>
    <col min="15881" max="15881" width="16.85546875" customWidth="1"/>
    <col min="16129" max="16129" width="17.5703125" bestFit="1" customWidth="1"/>
    <col min="16130" max="16130" width="12.85546875" customWidth="1"/>
    <col min="16131" max="16131" width="33.85546875" customWidth="1"/>
    <col min="16132" max="16132" width="14.7109375" customWidth="1"/>
    <col min="16133" max="16134" width="12.7109375" customWidth="1"/>
    <col min="16135" max="16135" width="15.5703125" customWidth="1"/>
    <col min="16136" max="16136" width="17.7109375" customWidth="1"/>
    <col min="16137" max="16137" width="16.85546875" customWidth="1"/>
  </cols>
  <sheetData>
    <row r="1" spans="1:9" s="160" customFormat="1" ht="18" x14ac:dyDescent="0.25">
      <c r="A1" s="521" t="s">
        <v>312</v>
      </c>
      <c r="B1" s="521"/>
      <c r="C1" s="521"/>
      <c r="D1" s="521"/>
      <c r="E1" s="521"/>
      <c r="F1" s="521"/>
      <c r="G1" s="521"/>
      <c r="H1" s="521"/>
      <c r="I1" s="521"/>
    </row>
    <row r="2" spans="1:9" ht="75" x14ac:dyDescent="0.2">
      <c r="A2" s="161" t="s">
        <v>313</v>
      </c>
      <c r="B2" s="162" t="s">
        <v>0</v>
      </c>
      <c r="C2" s="163" t="s">
        <v>1</v>
      </c>
      <c r="D2" s="163" t="s">
        <v>166</v>
      </c>
      <c r="E2" s="163" t="s">
        <v>167</v>
      </c>
      <c r="F2" s="163" t="s">
        <v>168</v>
      </c>
      <c r="G2" s="163" t="s">
        <v>169</v>
      </c>
      <c r="H2" s="164" t="s">
        <v>170</v>
      </c>
      <c r="I2" s="164" t="s">
        <v>171</v>
      </c>
    </row>
    <row r="3" spans="1:9" ht="51" x14ac:dyDescent="0.2">
      <c r="A3" s="2" t="s">
        <v>314</v>
      </c>
      <c r="B3" s="2" t="s">
        <v>315</v>
      </c>
      <c r="C3" s="300">
        <v>2112400</v>
      </c>
      <c r="D3" s="165">
        <v>1056200</v>
      </c>
      <c r="E3" s="166" t="s">
        <v>316</v>
      </c>
      <c r="F3" s="167">
        <v>1056200</v>
      </c>
      <c r="G3" s="168">
        <f>D3-F3</f>
        <v>0</v>
      </c>
      <c r="H3" s="2" t="s">
        <v>343</v>
      </c>
      <c r="I3" s="169">
        <v>41744</v>
      </c>
    </row>
    <row r="4" spans="1:9" ht="38.25" x14ac:dyDescent="0.2">
      <c r="A4" s="2" t="s">
        <v>317</v>
      </c>
      <c r="B4" s="2" t="s">
        <v>318</v>
      </c>
      <c r="C4" s="168">
        <v>6741980</v>
      </c>
      <c r="D4" s="165">
        <v>3000000</v>
      </c>
      <c r="E4" s="166" t="s">
        <v>316</v>
      </c>
      <c r="F4" s="167">
        <v>3000000</v>
      </c>
      <c r="G4" s="168">
        <v>0</v>
      </c>
      <c r="H4" s="11" t="s">
        <v>766</v>
      </c>
      <c r="I4" s="169">
        <v>42401</v>
      </c>
    </row>
    <row r="5" spans="1:9" ht="38.25" x14ac:dyDescent="0.2">
      <c r="A5" s="2" t="s">
        <v>319</v>
      </c>
      <c r="B5" s="2" t="s">
        <v>320</v>
      </c>
      <c r="C5" s="168">
        <v>8237468</v>
      </c>
      <c r="D5" s="165">
        <v>3000000</v>
      </c>
      <c r="E5" s="2" t="s">
        <v>321</v>
      </c>
      <c r="F5" s="167">
        <v>3000000</v>
      </c>
      <c r="G5" s="168">
        <v>0</v>
      </c>
      <c r="H5" s="467" t="s">
        <v>343</v>
      </c>
      <c r="I5" s="169">
        <v>42257</v>
      </c>
    </row>
    <row r="6" spans="1:9" ht="25.5" x14ac:dyDescent="0.2">
      <c r="A6" s="2" t="s">
        <v>322</v>
      </c>
      <c r="B6" s="2" t="s">
        <v>323</v>
      </c>
      <c r="C6" s="168">
        <v>2032300</v>
      </c>
      <c r="D6" s="165">
        <v>443800</v>
      </c>
      <c r="E6" s="166" t="s">
        <v>316</v>
      </c>
      <c r="F6" s="167">
        <v>329518.24</v>
      </c>
      <c r="G6" s="168">
        <v>114282</v>
      </c>
      <c r="H6" s="11" t="s">
        <v>767</v>
      </c>
      <c r="I6" s="169">
        <v>42399</v>
      </c>
    </row>
    <row r="7" spans="1:9" x14ac:dyDescent="0.2">
      <c r="A7" s="170"/>
      <c r="B7" s="170"/>
      <c r="C7" s="171">
        <f>SUM(C3:C6)</f>
        <v>19124148</v>
      </c>
      <c r="D7" s="172">
        <f>SUM(D3:D6)</f>
        <v>7500000</v>
      </c>
      <c r="E7" s="170"/>
      <c r="F7" s="172">
        <f>SUM(F3:F6)</f>
        <v>7385718.2400000002</v>
      </c>
      <c r="G7" s="172">
        <f>SUM(G3:G6)</f>
        <v>114282</v>
      </c>
      <c r="H7" s="170"/>
      <c r="I7" s="170"/>
    </row>
    <row r="10" spans="1:9" x14ac:dyDescent="0.2">
      <c r="H10" s="173"/>
    </row>
    <row r="22" spans="1:1" x14ac:dyDescent="0.2">
      <c r="A22" s="174"/>
    </row>
  </sheetData>
  <mergeCells count="1">
    <mergeCell ref="A1:I1"/>
  </mergeCells>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H1"/>
    </sheetView>
  </sheetViews>
  <sheetFormatPr defaultRowHeight="12.75" x14ac:dyDescent="0.2"/>
  <cols>
    <col min="1" max="1" width="58.85546875" customWidth="1"/>
    <col min="2" max="2" width="16.85546875" bestFit="1" customWidth="1"/>
    <col min="3" max="3" width="16.42578125" customWidth="1"/>
    <col min="4" max="4" width="23.42578125" customWidth="1"/>
    <col min="5" max="5" width="17.5703125" bestFit="1" customWidth="1"/>
    <col min="6" max="6" width="16.28515625" bestFit="1" customWidth="1"/>
    <col min="7" max="7" width="32.42578125" customWidth="1"/>
    <col min="8" max="8" width="17.42578125" customWidth="1"/>
    <col min="9" max="9" width="14" bestFit="1" customWidth="1"/>
  </cols>
  <sheetData>
    <row r="1" spans="1:9" ht="18" x14ac:dyDescent="0.2">
      <c r="A1" s="524" t="s">
        <v>437</v>
      </c>
      <c r="B1" s="524"/>
      <c r="C1" s="524"/>
      <c r="D1" s="524"/>
      <c r="E1" s="524"/>
      <c r="F1" s="524"/>
      <c r="G1" s="524"/>
      <c r="H1" s="524"/>
    </row>
    <row r="2" spans="1:9" ht="75" x14ac:dyDescent="0.2">
      <c r="A2" s="222" t="s">
        <v>0</v>
      </c>
      <c r="B2" s="223" t="s">
        <v>1</v>
      </c>
      <c r="C2" s="223" t="s">
        <v>166</v>
      </c>
      <c r="D2" s="223" t="s">
        <v>167</v>
      </c>
      <c r="E2" s="223" t="s">
        <v>168</v>
      </c>
      <c r="F2" s="223" t="s">
        <v>438</v>
      </c>
      <c r="G2" s="224" t="s">
        <v>170</v>
      </c>
      <c r="H2" s="224" t="s">
        <v>171</v>
      </c>
    </row>
    <row r="3" spans="1:9" ht="30" x14ac:dyDescent="0.2">
      <c r="A3" s="301" t="s">
        <v>439</v>
      </c>
      <c r="B3" s="225">
        <v>500000</v>
      </c>
      <c r="C3" s="302">
        <v>499935</v>
      </c>
      <c r="D3" s="303" t="s">
        <v>308</v>
      </c>
      <c r="E3" s="304">
        <v>499935</v>
      </c>
      <c r="F3" s="305">
        <f>C3-E3</f>
        <v>0</v>
      </c>
      <c r="G3" s="306" t="s">
        <v>185</v>
      </c>
      <c r="H3" s="307">
        <v>40644</v>
      </c>
    </row>
    <row r="4" spans="1:9" ht="45" x14ac:dyDescent="0.2">
      <c r="A4" s="301" t="s">
        <v>440</v>
      </c>
      <c r="B4" s="225">
        <v>2000000</v>
      </c>
      <c r="C4" s="302">
        <v>1016039.5</v>
      </c>
      <c r="D4" s="303" t="s">
        <v>441</v>
      </c>
      <c r="E4" s="304">
        <v>1016039.5</v>
      </c>
      <c r="F4" s="305">
        <f>C4-E4</f>
        <v>0</v>
      </c>
      <c r="G4" s="306" t="s">
        <v>185</v>
      </c>
      <c r="H4" s="307">
        <v>41648</v>
      </c>
    </row>
    <row r="5" spans="1:9" ht="75" x14ac:dyDescent="0.2">
      <c r="A5" s="301" t="s">
        <v>786</v>
      </c>
      <c r="B5" s="225">
        <v>6213000</v>
      </c>
      <c r="C5" s="302">
        <v>1242600</v>
      </c>
      <c r="D5" s="303" t="s">
        <v>443</v>
      </c>
      <c r="E5" s="304">
        <v>532186.11</v>
      </c>
      <c r="F5" s="474">
        <f>C5-E5</f>
        <v>710413.89</v>
      </c>
      <c r="G5" s="306" t="s">
        <v>442</v>
      </c>
      <c r="H5" s="307">
        <v>42917</v>
      </c>
      <c r="I5" s="475"/>
    </row>
    <row r="6" spans="1:9" ht="30" x14ac:dyDescent="0.2">
      <c r="A6" s="301" t="s">
        <v>787</v>
      </c>
      <c r="B6" s="225">
        <v>40000</v>
      </c>
      <c r="C6" s="302">
        <v>15000</v>
      </c>
      <c r="D6" s="303" t="s">
        <v>788</v>
      </c>
      <c r="E6" s="304">
        <v>14233.1</v>
      </c>
      <c r="F6" s="476">
        <v>0</v>
      </c>
      <c r="G6" s="306" t="s">
        <v>185</v>
      </c>
      <c r="H6" s="307">
        <v>42309</v>
      </c>
    </row>
    <row r="7" spans="1:9" ht="75" x14ac:dyDescent="0.2">
      <c r="A7" s="301" t="s">
        <v>789</v>
      </c>
      <c r="B7" s="225">
        <v>125000000</v>
      </c>
      <c r="C7" s="302">
        <f>3000000-SUM(C3:C6)</f>
        <v>226425.5</v>
      </c>
      <c r="D7" s="303" t="s">
        <v>443</v>
      </c>
      <c r="E7" s="304">
        <v>0</v>
      </c>
      <c r="F7" s="308">
        <f>C7-E7+C6-E6</f>
        <v>227192.4</v>
      </c>
      <c r="G7" s="306" t="s">
        <v>647</v>
      </c>
      <c r="H7" s="307" t="s">
        <v>790</v>
      </c>
    </row>
    <row r="8" spans="1:9" ht="15" x14ac:dyDescent="0.2">
      <c r="A8" s="226" t="s">
        <v>223</v>
      </c>
      <c r="B8" s="227">
        <f>SUM(B3:B7)</f>
        <v>133753000</v>
      </c>
      <c r="C8" s="477">
        <f>SUM(C3:C7)</f>
        <v>3000000</v>
      </c>
      <c r="D8" s="223"/>
      <c r="E8" s="309">
        <f>SUM(E3:E7)</f>
        <v>2062393.71</v>
      </c>
      <c r="F8" s="309">
        <f>SUM(F3:F7)</f>
        <v>937606.29</v>
      </c>
      <c r="G8" s="229"/>
      <c r="H8" s="224"/>
      <c r="I8" s="475"/>
    </row>
    <row r="9" spans="1:9" ht="15" x14ac:dyDescent="0.2">
      <c r="A9" s="230"/>
      <c r="B9" s="231"/>
      <c r="C9" s="231"/>
      <c r="D9" s="232"/>
      <c r="E9" s="233"/>
      <c r="F9" s="233"/>
      <c r="G9" s="234"/>
      <c r="H9" s="235"/>
    </row>
    <row r="10" spans="1:9" ht="18" x14ac:dyDescent="0.2">
      <c r="A10" s="524" t="s">
        <v>444</v>
      </c>
      <c r="B10" s="524"/>
      <c r="C10" s="524"/>
      <c r="D10" s="524"/>
      <c r="E10" s="524"/>
      <c r="F10" s="524"/>
      <c r="G10" s="524"/>
      <c r="H10" s="524"/>
    </row>
    <row r="11" spans="1:9" ht="75" x14ac:dyDescent="0.2">
      <c r="A11" s="222" t="s">
        <v>0</v>
      </c>
      <c r="B11" s="223" t="s">
        <v>1</v>
      </c>
      <c r="C11" s="223" t="s">
        <v>166</v>
      </c>
      <c r="D11" s="223" t="s">
        <v>167</v>
      </c>
      <c r="E11" s="223" t="s">
        <v>168</v>
      </c>
      <c r="F11" s="223" t="s">
        <v>438</v>
      </c>
      <c r="G11" s="224" t="s">
        <v>170</v>
      </c>
      <c r="H11" s="224" t="s">
        <v>171</v>
      </c>
    </row>
    <row r="12" spans="1:9" ht="75" x14ac:dyDescent="0.2">
      <c r="A12" s="310" t="s">
        <v>789</v>
      </c>
      <c r="B12" s="236">
        <v>125000000</v>
      </c>
      <c r="C12" s="311">
        <v>2000000</v>
      </c>
      <c r="D12" s="312" t="s">
        <v>443</v>
      </c>
      <c r="E12" s="237">
        <v>0</v>
      </c>
      <c r="F12" s="313">
        <v>2000000</v>
      </c>
      <c r="G12" s="314" t="s">
        <v>647</v>
      </c>
      <c r="H12" s="315" t="s">
        <v>790</v>
      </c>
    </row>
    <row r="13" spans="1:9" ht="15" x14ac:dyDescent="0.2">
      <c r="A13" s="226" t="s">
        <v>223</v>
      </c>
      <c r="B13" s="227">
        <f>B12</f>
        <v>125000000</v>
      </c>
      <c r="C13" s="227">
        <v>2000000</v>
      </c>
      <c r="D13" s="223"/>
      <c r="E13" s="228">
        <v>0</v>
      </c>
      <c r="F13" s="228">
        <v>2000000</v>
      </c>
      <c r="G13" s="229"/>
      <c r="H13" s="224"/>
    </row>
  </sheetData>
  <mergeCells count="2">
    <mergeCell ref="A1:H1"/>
    <mergeCell ref="A10:H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19"/>
  <sheetViews>
    <sheetView zoomScale="60" zoomScaleNormal="60" workbookViewId="0">
      <selection activeCell="B4" sqref="B4"/>
    </sheetView>
  </sheetViews>
  <sheetFormatPr defaultRowHeight="12.75" x14ac:dyDescent="0.2"/>
  <cols>
    <col min="1" max="1" width="10.28515625" customWidth="1"/>
    <col min="2" max="2" width="30.85546875" customWidth="1"/>
    <col min="3" max="3" width="82.42578125" customWidth="1"/>
    <col min="4" max="4" width="18.28515625" customWidth="1"/>
    <col min="5" max="5" width="19.7109375" customWidth="1"/>
    <col min="6" max="6" width="24.5703125" customWidth="1"/>
    <col min="7" max="7" width="25.140625" bestFit="1" customWidth="1"/>
    <col min="8" max="8" width="18" bestFit="1" customWidth="1"/>
    <col min="9" max="9" width="21.5703125" bestFit="1" customWidth="1"/>
    <col min="10" max="10" width="17" customWidth="1"/>
    <col min="11" max="11" width="13" customWidth="1"/>
  </cols>
  <sheetData>
    <row r="2" spans="1:11" ht="15.6" customHeight="1" x14ac:dyDescent="0.2">
      <c r="A2" s="530" t="s">
        <v>698</v>
      </c>
      <c r="B2" s="530"/>
      <c r="C2" s="530"/>
      <c r="D2" s="530"/>
      <c r="E2" s="530"/>
      <c r="F2" s="530"/>
      <c r="G2" s="530"/>
      <c r="H2" s="530"/>
      <c r="I2" s="530"/>
      <c r="J2" s="530"/>
      <c r="K2" s="530"/>
    </row>
    <row r="3" spans="1:11" ht="78.75" x14ac:dyDescent="0.25">
      <c r="A3" s="97" t="s">
        <v>238</v>
      </c>
      <c r="B3" s="95" t="s">
        <v>237</v>
      </c>
      <c r="C3" s="95" t="s">
        <v>0</v>
      </c>
      <c r="D3" s="96" t="s">
        <v>1</v>
      </c>
      <c r="E3" s="96" t="s">
        <v>166</v>
      </c>
      <c r="F3" s="154" t="s">
        <v>167</v>
      </c>
      <c r="G3" s="96" t="s">
        <v>236</v>
      </c>
      <c r="H3" s="96" t="s">
        <v>235</v>
      </c>
      <c r="I3" s="95" t="s">
        <v>170</v>
      </c>
      <c r="J3" s="95" t="s">
        <v>171</v>
      </c>
      <c r="K3" s="95" t="s">
        <v>234</v>
      </c>
    </row>
    <row r="4" spans="1:11" ht="15.75" x14ac:dyDescent="0.2">
      <c r="A4" s="316" t="s">
        <v>699</v>
      </c>
      <c r="B4" s="72" t="s">
        <v>309</v>
      </c>
      <c r="C4" s="317" t="s">
        <v>700</v>
      </c>
      <c r="D4" s="271">
        <v>645846</v>
      </c>
      <c r="E4" s="318">
        <v>480000</v>
      </c>
      <c r="F4" s="261" t="s">
        <v>311</v>
      </c>
      <c r="G4" s="272"/>
      <c r="H4" s="271">
        <f>E4-G4</f>
        <v>480000</v>
      </c>
      <c r="I4" s="87" t="s">
        <v>701</v>
      </c>
      <c r="J4" s="90" t="s">
        <v>702</v>
      </c>
      <c r="K4" s="273"/>
    </row>
    <row r="5" spans="1:11" ht="25.5" x14ac:dyDescent="0.2">
      <c r="A5" s="316" t="s">
        <v>703</v>
      </c>
      <c r="B5" s="72" t="s">
        <v>208</v>
      </c>
      <c r="C5" s="317" t="s">
        <v>704</v>
      </c>
      <c r="D5" s="271">
        <v>1050000</v>
      </c>
      <c r="E5" s="318">
        <v>369007</v>
      </c>
      <c r="F5" s="261" t="s">
        <v>705</v>
      </c>
      <c r="G5" s="272"/>
      <c r="H5" s="271">
        <f t="shared" ref="H5:H8" si="0">E5-G5</f>
        <v>369007</v>
      </c>
      <c r="I5" s="87" t="s">
        <v>701</v>
      </c>
      <c r="J5" s="90" t="s">
        <v>702</v>
      </c>
      <c r="K5" s="273"/>
    </row>
    <row r="6" spans="1:11" ht="30" x14ac:dyDescent="0.2">
      <c r="A6" s="316" t="s">
        <v>706</v>
      </c>
      <c r="B6" s="72" t="s">
        <v>215</v>
      </c>
      <c r="C6" s="317" t="s">
        <v>707</v>
      </c>
      <c r="D6" s="271">
        <v>17741</v>
      </c>
      <c r="E6" s="318">
        <f>110800-20143-69658-6794-12</f>
        <v>14193</v>
      </c>
      <c r="F6" s="261" t="s">
        <v>311</v>
      </c>
      <c r="G6" s="319">
        <f>42133-20143-21990</f>
        <v>0</v>
      </c>
      <c r="H6" s="271">
        <f t="shared" si="0"/>
        <v>14193</v>
      </c>
      <c r="I6" s="87" t="s">
        <v>701</v>
      </c>
      <c r="J6" s="90" t="s">
        <v>702</v>
      </c>
      <c r="K6" s="273"/>
    </row>
    <row r="7" spans="1:11" ht="15.75" x14ac:dyDescent="0.2">
      <c r="A7" s="316" t="s">
        <v>708</v>
      </c>
      <c r="B7" s="72" t="s">
        <v>709</v>
      </c>
      <c r="C7" s="317" t="s">
        <v>710</v>
      </c>
      <c r="D7" s="271">
        <v>763390</v>
      </c>
      <c r="E7" s="318">
        <v>600000</v>
      </c>
      <c r="F7" s="261" t="s">
        <v>311</v>
      </c>
      <c r="G7" s="272"/>
      <c r="H7" s="271">
        <f t="shared" si="0"/>
        <v>600000</v>
      </c>
      <c r="I7" s="87" t="s">
        <v>701</v>
      </c>
      <c r="J7" s="90" t="s">
        <v>702</v>
      </c>
      <c r="K7" s="273"/>
    </row>
    <row r="8" spans="1:11" ht="15.75" x14ac:dyDescent="0.2">
      <c r="A8" s="316" t="s">
        <v>711</v>
      </c>
      <c r="B8" s="72" t="s">
        <v>712</v>
      </c>
      <c r="C8" s="317" t="s">
        <v>713</v>
      </c>
      <c r="D8" s="271">
        <v>46000</v>
      </c>
      <c r="E8" s="318">
        <f>84000-47200</f>
        <v>36800</v>
      </c>
      <c r="F8" s="261" t="s">
        <v>311</v>
      </c>
      <c r="G8" s="319">
        <f>49340-47200</f>
        <v>2140</v>
      </c>
      <c r="H8" s="271">
        <f t="shared" si="0"/>
        <v>34660</v>
      </c>
      <c r="I8" s="87" t="s">
        <v>701</v>
      </c>
      <c r="J8" s="90" t="s">
        <v>702</v>
      </c>
      <c r="K8" s="273"/>
    </row>
    <row r="9" spans="1:11" ht="15.75" x14ac:dyDescent="0.25">
      <c r="A9" s="151"/>
      <c r="B9" s="111"/>
      <c r="C9" s="78" t="s">
        <v>225</v>
      </c>
      <c r="D9" s="136"/>
      <c r="E9" s="76">
        <f>1500000</f>
        <v>1500000</v>
      </c>
      <c r="F9" s="275"/>
      <c r="G9" s="151"/>
      <c r="H9" s="276">
        <f>SUM(H4:H8)</f>
        <v>1497860</v>
      </c>
      <c r="I9" s="150"/>
      <c r="J9" s="149"/>
      <c r="K9" s="148"/>
    </row>
    <row r="10" spans="1:11" ht="15.6" customHeight="1" x14ac:dyDescent="0.2">
      <c r="A10" s="399"/>
      <c r="B10" s="400"/>
      <c r="C10" s="401"/>
      <c r="D10" s="402"/>
      <c r="E10" s="402"/>
      <c r="F10" s="403"/>
      <c r="G10" s="402"/>
      <c r="H10" s="402"/>
      <c r="I10" s="404"/>
      <c r="J10" s="405"/>
      <c r="K10" s="404"/>
    </row>
    <row r="11" spans="1:11" ht="15.75" x14ac:dyDescent="0.2">
      <c r="A11" s="530" t="s">
        <v>633</v>
      </c>
      <c r="B11" s="530"/>
      <c r="C11" s="530"/>
      <c r="D11" s="530"/>
      <c r="E11" s="530"/>
      <c r="F11" s="530"/>
      <c r="G11" s="530"/>
      <c r="H11" s="530"/>
      <c r="I11" s="530"/>
      <c r="J11" s="530"/>
      <c r="K11" s="530"/>
    </row>
    <row r="12" spans="1:11" ht="78.75" x14ac:dyDescent="0.25">
      <c r="A12" s="97" t="s">
        <v>238</v>
      </c>
      <c r="B12" s="95" t="s">
        <v>237</v>
      </c>
      <c r="C12" s="95" t="s">
        <v>0</v>
      </c>
      <c r="D12" s="96" t="s">
        <v>1</v>
      </c>
      <c r="E12" s="96" t="s">
        <v>166</v>
      </c>
      <c r="F12" s="154" t="s">
        <v>167</v>
      </c>
      <c r="G12" s="96" t="s">
        <v>236</v>
      </c>
      <c r="H12" s="96" t="s">
        <v>235</v>
      </c>
      <c r="I12" s="95" t="s">
        <v>170</v>
      </c>
      <c r="J12" s="95" t="s">
        <v>171</v>
      </c>
      <c r="K12" s="95" t="s">
        <v>234</v>
      </c>
    </row>
    <row r="13" spans="1:11" ht="15" x14ac:dyDescent="0.2">
      <c r="A13" s="316" t="s">
        <v>634</v>
      </c>
      <c r="B13" s="72" t="s">
        <v>309</v>
      </c>
      <c r="C13" s="317" t="s">
        <v>635</v>
      </c>
      <c r="D13" s="271">
        <v>55000</v>
      </c>
      <c r="E13" s="318">
        <v>44000</v>
      </c>
      <c r="F13" s="261" t="s">
        <v>310</v>
      </c>
      <c r="G13" s="319">
        <v>44000</v>
      </c>
      <c r="H13" s="271">
        <f>E13-G13</f>
        <v>0</v>
      </c>
      <c r="I13" s="82" t="s">
        <v>229</v>
      </c>
      <c r="J13" s="90">
        <v>42116</v>
      </c>
      <c r="K13" s="90">
        <v>42116</v>
      </c>
    </row>
    <row r="14" spans="1:11" ht="25.5" x14ac:dyDescent="0.2">
      <c r="A14" s="316" t="s">
        <v>637</v>
      </c>
      <c r="B14" s="72" t="s">
        <v>208</v>
      </c>
      <c r="C14" s="317" t="s">
        <v>638</v>
      </c>
      <c r="D14" s="271">
        <v>965000</v>
      </c>
      <c r="E14" s="318">
        <v>600000</v>
      </c>
      <c r="F14" s="261" t="s">
        <v>302</v>
      </c>
      <c r="G14" s="319">
        <v>600000</v>
      </c>
      <c r="H14" s="271">
        <f t="shared" ref="H14:H17" si="1">E14-G14</f>
        <v>0</v>
      </c>
      <c r="I14" s="82" t="s">
        <v>229</v>
      </c>
      <c r="J14" s="90">
        <v>42354</v>
      </c>
      <c r="K14" s="90">
        <v>42354</v>
      </c>
    </row>
    <row r="15" spans="1:11" ht="30" customHeight="1" x14ac:dyDescent="0.2">
      <c r="A15" s="316" t="s">
        <v>639</v>
      </c>
      <c r="B15" s="72" t="s">
        <v>209</v>
      </c>
      <c r="C15" s="317" t="s">
        <v>640</v>
      </c>
      <c r="D15" s="271">
        <v>5184568</v>
      </c>
      <c r="E15" s="318">
        <v>600000</v>
      </c>
      <c r="F15" s="261" t="s">
        <v>302</v>
      </c>
      <c r="G15" s="272"/>
      <c r="H15" s="271">
        <f t="shared" si="1"/>
        <v>600000</v>
      </c>
      <c r="I15" s="87" t="s">
        <v>714</v>
      </c>
      <c r="J15" s="87" t="s">
        <v>636</v>
      </c>
      <c r="K15" s="273"/>
    </row>
    <row r="16" spans="1:11" ht="25.5" x14ac:dyDescent="0.2">
      <c r="A16" s="316" t="s">
        <v>641</v>
      </c>
      <c r="B16" s="72" t="s">
        <v>215</v>
      </c>
      <c r="C16" s="317" t="s">
        <v>642</v>
      </c>
      <c r="D16" s="271">
        <v>280000</v>
      </c>
      <c r="E16" s="318">
        <v>208800</v>
      </c>
      <c r="F16" s="261" t="s">
        <v>302</v>
      </c>
      <c r="G16" s="319">
        <v>140000</v>
      </c>
      <c r="H16" s="271">
        <f t="shared" si="1"/>
        <v>68800</v>
      </c>
      <c r="I16" s="87" t="s">
        <v>714</v>
      </c>
      <c r="J16" s="87" t="s">
        <v>636</v>
      </c>
      <c r="K16" s="273"/>
    </row>
    <row r="17" spans="1:11" ht="15" x14ac:dyDescent="0.2">
      <c r="A17" s="316" t="s">
        <v>711</v>
      </c>
      <c r="B17" s="72" t="s">
        <v>712</v>
      </c>
      <c r="C17" s="317" t="s">
        <v>715</v>
      </c>
      <c r="D17" s="156">
        <v>59000</v>
      </c>
      <c r="E17" s="155">
        <f>E18-SUM(E13:E16)</f>
        <v>47200</v>
      </c>
      <c r="F17" s="261" t="s">
        <v>311</v>
      </c>
      <c r="G17" s="88">
        <v>47200</v>
      </c>
      <c r="H17" s="271">
        <f t="shared" si="1"/>
        <v>0</v>
      </c>
      <c r="I17" s="87" t="s">
        <v>701</v>
      </c>
      <c r="J17" s="90" t="s">
        <v>702</v>
      </c>
      <c r="K17" s="406"/>
    </row>
    <row r="18" spans="1:11" ht="15.75" x14ac:dyDescent="0.25">
      <c r="A18" s="151"/>
      <c r="B18" s="111"/>
      <c r="C18" s="78" t="s">
        <v>225</v>
      </c>
      <c r="D18" s="136"/>
      <c r="E18" s="76">
        <f>1500000</f>
        <v>1500000</v>
      </c>
      <c r="F18" s="275"/>
      <c r="G18" s="151"/>
      <c r="H18" s="276">
        <f>SUM(H13:H17)</f>
        <v>668800</v>
      </c>
      <c r="I18" s="407"/>
      <c r="J18" s="408"/>
      <c r="K18" s="409"/>
    </row>
    <row r="19" spans="1:11" ht="15.75" x14ac:dyDescent="0.2">
      <c r="A19" s="410"/>
      <c r="B19" s="411"/>
      <c r="C19" s="401"/>
      <c r="D19" s="402"/>
      <c r="E19" s="402"/>
      <c r="F19" s="403"/>
      <c r="G19" s="402"/>
      <c r="H19" s="402"/>
      <c r="I19" s="404"/>
      <c r="J19" s="405"/>
      <c r="K19" s="404"/>
    </row>
    <row r="20" spans="1:11" ht="15.75" x14ac:dyDescent="0.2">
      <c r="A20" s="530" t="s">
        <v>527</v>
      </c>
      <c r="B20" s="530"/>
      <c r="C20" s="530"/>
      <c r="D20" s="530"/>
      <c r="E20" s="530"/>
      <c r="F20" s="530"/>
      <c r="G20" s="530"/>
      <c r="H20" s="530"/>
      <c r="I20" s="530"/>
      <c r="J20" s="530"/>
      <c r="K20" s="530"/>
    </row>
    <row r="21" spans="1:11" ht="78.75" x14ac:dyDescent="0.25">
      <c r="A21" s="97" t="s">
        <v>238</v>
      </c>
      <c r="B21" s="95" t="s">
        <v>237</v>
      </c>
      <c r="C21" s="95" t="s">
        <v>0</v>
      </c>
      <c r="D21" s="96" t="s">
        <v>1</v>
      </c>
      <c r="E21" s="96" t="s">
        <v>166</v>
      </c>
      <c r="F21" s="154" t="s">
        <v>167</v>
      </c>
      <c r="G21" s="96" t="s">
        <v>236</v>
      </c>
      <c r="H21" s="96" t="s">
        <v>235</v>
      </c>
      <c r="I21" s="95" t="s">
        <v>170</v>
      </c>
      <c r="J21" s="95" t="s">
        <v>171</v>
      </c>
      <c r="K21" s="95" t="s">
        <v>234</v>
      </c>
    </row>
    <row r="22" spans="1:11" ht="15" x14ac:dyDescent="0.2">
      <c r="A22" s="72">
        <v>15510</v>
      </c>
      <c r="B22" s="72" t="s">
        <v>528</v>
      </c>
      <c r="C22" s="72" t="s">
        <v>529</v>
      </c>
      <c r="D22" s="271">
        <v>433900</v>
      </c>
      <c r="E22" s="271">
        <v>347120</v>
      </c>
      <c r="F22" s="261" t="s">
        <v>311</v>
      </c>
      <c r="G22" s="319">
        <v>347120</v>
      </c>
      <c r="H22" s="271">
        <f>E22-G22</f>
        <v>0</v>
      </c>
      <c r="I22" s="82" t="s">
        <v>229</v>
      </c>
      <c r="J22" s="90">
        <v>42079</v>
      </c>
      <c r="K22" s="90">
        <v>42079</v>
      </c>
    </row>
    <row r="23" spans="1:11" ht="15.6" customHeight="1" x14ac:dyDescent="0.2">
      <c r="A23" s="72">
        <v>15511</v>
      </c>
      <c r="B23" s="72" t="s">
        <v>531</v>
      </c>
      <c r="C23" s="72" t="s">
        <v>532</v>
      </c>
      <c r="D23" s="271">
        <v>70000</v>
      </c>
      <c r="E23" s="271">
        <v>56000</v>
      </c>
      <c r="F23" s="261" t="s">
        <v>311</v>
      </c>
      <c r="G23" s="272"/>
      <c r="H23" s="271">
        <f t="shared" ref="H23:H30" si="2">E23-G23</f>
        <v>56000</v>
      </c>
      <c r="I23" s="87" t="s">
        <v>530</v>
      </c>
      <c r="J23" s="87" t="s">
        <v>716</v>
      </c>
      <c r="K23" s="273"/>
    </row>
    <row r="24" spans="1:11" ht="15" x14ac:dyDescent="0.2">
      <c r="A24" s="412">
        <v>15512</v>
      </c>
      <c r="B24" s="72" t="s">
        <v>533</v>
      </c>
      <c r="C24" s="72" t="s">
        <v>534</v>
      </c>
      <c r="D24" s="271">
        <v>202800</v>
      </c>
      <c r="E24" s="271">
        <v>162240</v>
      </c>
      <c r="F24" s="261" t="s">
        <v>311</v>
      </c>
      <c r="G24" s="319">
        <v>162240</v>
      </c>
      <c r="H24" s="271">
        <f t="shared" si="2"/>
        <v>0</v>
      </c>
      <c r="I24" s="87" t="s">
        <v>229</v>
      </c>
      <c r="J24" s="90">
        <v>41847</v>
      </c>
      <c r="K24" s="90">
        <v>41847</v>
      </c>
    </row>
    <row r="25" spans="1:11" ht="25.5" x14ac:dyDescent="0.2">
      <c r="A25" s="413">
        <v>15513</v>
      </c>
      <c r="B25" s="72" t="s">
        <v>208</v>
      </c>
      <c r="C25" s="72" t="s">
        <v>535</v>
      </c>
      <c r="D25" s="271">
        <v>688192.27749999997</v>
      </c>
      <c r="E25" s="271">
        <f>600000-95211-25058-3885</f>
        <v>475846</v>
      </c>
      <c r="F25" s="261" t="s">
        <v>302</v>
      </c>
      <c r="G25" s="319">
        <f>38106+437740</f>
        <v>475846</v>
      </c>
      <c r="H25" s="271">
        <f t="shared" si="2"/>
        <v>0</v>
      </c>
      <c r="I25" s="82" t="s">
        <v>229</v>
      </c>
      <c r="J25" s="277">
        <v>42320</v>
      </c>
      <c r="K25" s="277">
        <v>42321</v>
      </c>
    </row>
    <row r="26" spans="1:11" ht="15.75" x14ac:dyDescent="0.2">
      <c r="A26" s="413">
        <v>15513</v>
      </c>
      <c r="B26" s="72" t="s">
        <v>208</v>
      </c>
      <c r="C26" s="72" t="s">
        <v>536</v>
      </c>
      <c r="D26" s="271">
        <v>45000</v>
      </c>
      <c r="E26" s="271">
        <v>36000</v>
      </c>
      <c r="F26" s="261" t="s">
        <v>311</v>
      </c>
      <c r="G26" s="319">
        <v>30416</v>
      </c>
      <c r="H26" s="271">
        <f t="shared" si="2"/>
        <v>5584</v>
      </c>
      <c r="I26" s="87" t="s">
        <v>530</v>
      </c>
      <c r="J26" s="87" t="s">
        <v>716</v>
      </c>
      <c r="K26" s="273"/>
    </row>
    <row r="27" spans="1:11" ht="15" x14ac:dyDescent="0.2">
      <c r="A27" s="412">
        <v>15514</v>
      </c>
      <c r="B27" s="72" t="s">
        <v>215</v>
      </c>
      <c r="C27" s="72" t="s">
        <v>537</v>
      </c>
      <c r="D27" s="271">
        <v>300000</v>
      </c>
      <c r="E27" s="271">
        <v>240000</v>
      </c>
      <c r="F27" s="261" t="s">
        <v>311</v>
      </c>
      <c r="G27" s="319">
        <f>179335+20003</f>
        <v>199338</v>
      </c>
      <c r="H27" s="271">
        <f t="shared" si="2"/>
        <v>40662</v>
      </c>
      <c r="I27" s="87" t="s">
        <v>530</v>
      </c>
      <c r="J27" s="90">
        <v>42369</v>
      </c>
      <c r="K27" s="90">
        <v>42369</v>
      </c>
    </row>
    <row r="28" spans="1:11" ht="15" x14ac:dyDescent="0.2">
      <c r="A28" s="412">
        <v>15514</v>
      </c>
      <c r="B28" s="72" t="s">
        <v>215</v>
      </c>
      <c r="C28" s="72" t="s">
        <v>538</v>
      </c>
      <c r="D28" s="271">
        <v>185000</v>
      </c>
      <c r="E28" s="271">
        <v>136000</v>
      </c>
      <c r="F28" s="261" t="s">
        <v>311</v>
      </c>
      <c r="G28" s="319">
        <v>123546</v>
      </c>
      <c r="H28" s="271">
        <f t="shared" si="2"/>
        <v>12454</v>
      </c>
      <c r="I28" s="87" t="s">
        <v>530</v>
      </c>
      <c r="J28" s="90">
        <v>42369</v>
      </c>
      <c r="K28" s="90">
        <v>42369</v>
      </c>
    </row>
    <row r="29" spans="1:11" ht="34.5" customHeight="1" x14ac:dyDescent="0.2">
      <c r="A29" s="414">
        <v>15514</v>
      </c>
      <c r="B29" s="118" t="s">
        <v>215</v>
      </c>
      <c r="C29" s="274" t="s">
        <v>539</v>
      </c>
      <c r="D29" s="156">
        <v>50000</v>
      </c>
      <c r="E29" s="155">
        <v>40000</v>
      </c>
      <c r="F29" s="157" t="s">
        <v>302</v>
      </c>
      <c r="G29" s="88">
        <v>40000</v>
      </c>
      <c r="H29" s="271">
        <f t="shared" si="2"/>
        <v>0</v>
      </c>
      <c r="I29" s="87" t="s">
        <v>530</v>
      </c>
      <c r="J29" s="90">
        <v>41767</v>
      </c>
      <c r="K29" s="86">
        <v>41767</v>
      </c>
    </row>
    <row r="30" spans="1:11" ht="30" x14ac:dyDescent="0.2">
      <c r="A30" s="415">
        <v>17523</v>
      </c>
      <c r="B30" s="416" t="s">
        <v>215</v>
      </c>
      <c r="C30" s="317" t="s">
        <v>717</v>
      </c>
      <c r="D30" s="156">
        <v>8493</v>
      </c>
      <c r="E30" s="155">
        <v>6794</v>
      </c>
      <c r="F30" s="261" t="s">
        <v>311</v>
      </c>
      <c r="G30" s="77"/>
      <c r="H30" s="271">
        <f t="shared" si="2"/>
        <v>6794</v>
      </c>
      <c r="I30" s="87" t="s">
        <v>701</v>
      </c>
      <c r="J30" s="90" t="s">
        <v>702</v>
      </c>
      <c r="K30" s="75"/>
    </row>
    <row r="31" spans="1:11" s="320" customFormat="1" ht="15.75" x14ac:dyDescent="0.25">
      <c r="A31" s="151"/>
      <c r="B31" s="111"/>
      <c r="C31" s="78" t="s">
        <v>225</v>
      </c>
      <c r="D31" s="136"/>
      <c r="E31" s="76">
        <f>SUM(E22:E30)</f>
        <v>1500000</v>
      </c>
      <c r="F31" s="275"/>
      <c r="G31" s="151"/>
      <c r="H31" s="276">
        <f>SUM(H22:H30)</f>
        <v>121494</v>
      </c>
      <c r="I31" s="150"/>
      <c r="J31" s="149"/>
      <c r="K31" s="148"/>
    </row>
    <row r="32" spans="1:11" ht="15.6" customHeight="1" x14ac:dyDescent="0.2">
      <c r="A32" s="399"/>
      <c r="B32" s="400"/>
      <c r="C32" s="401"/>
      <c r="D32" s="402"/>
      <c r="E32" s="402"/>
      <c r="F32" s="403"/>
      <c r="G32" s="402"/>
      <c r="H32" s="402"/>
      <c r="I32" s="404"/>
      <c r="J32" s="405"/>
      <c r="K32" s="404"/>
    </row>
    <row r="33" spans="1:11" ht="15.75" x14ac:dyDescent="0.2">
      <c r="A33" s="530" t="s">
        <v>307</v>
      </c>
      <c r="B33" s="530"/>
      <c r="C33" s="530"/>
      <c r="D33" s="530"/>
      <c r="E33" s="530"/>
      <c r="F33" s="530"/>
      <c r="G33" s="530"/>
      <c r="H33" s="530"/>
      <c r="I33" s="530"/>
      <c r="J33" s="530"/>
      <c r="K33" s="530"/>
    </row>
    <row r="34" spans="1:11" ht="78.75" x14ac:dyDescent="0.25">
      <c r="A34" s="97" t="s">
        <v>238</v>
      </c>
      <c r="B34" s="95" t="s">
        <v>237</v>
      </c>
      <c r="C34" s="95" t="s">
        <v>0</v>
      </c>
      <c r="D34" s="96" t="s">
        <v>1</v>
      </c>
      <c r="E34" s="96" t="s">
        <v>166</v>
      </c>
      <c r="F34" s="154" t="s">
        <v>167</v>
      </c>
      <c r="G34" s="96" t="s">
        <v>236</v>
      </c>
      <c r="H34" s="96" t="s">
        <v>235</v>
      </c>
      <c r="I34" s="95" t="s">
        <v>170</v>
      </c>
      <c r="J34" s="95" t="s">
        <v>171</v>
      </c>
      <c r="K34" s="95" t="s">
        <v>234</v>
      </c>
    </row>
    <row r="35" spans="1:11" ht="25.5" x14ac:dyDescent="0.2">
      <c r="A35" s="414">
        <v>14370</v>
      </c>
      <c r="B35" s="159" t="s">
        <v>298</v>
      </c>
      <c r="C35" s="117" t="s">
        <v>306</v>
      </c>
      <c r="D35" s="156">
        <v>5294251</v>
      </c>
      <c r="E35" s="155">
        <v>600000</v>
      </c>
      <c r="F35" s="157" t="s">
        <v>302</v>
      </c>
      <c r="G35" s="88">
        <v>600000</v>
      </c>
      <c r="H35" s="123">
        <f>E35-G35</f>
        <v>0</v>
      </c>
      <c r="I35" s="82" t="s">
        <v>229</v>
      </c>
      <c r="J35" s="277">
        <v>41571</v>
      </c>
      <c r="K35" s="277">
        <v>41571</v>
      </c>
    </row>
    <row r="36" spans="1:11" ht="15" x14ac:dyDescent="0.2">
      <c r="A36" s="414">
        <v>14371</v>
      </c>
      <c r="B36" s="79" t="s">
        <v>204</v>
      </c>
      <c r="C36" s="117" t="s">
        <v>305</v>
      </c>
      <c r="D36" s="156">
        <v>384736.25</v>
      </c>
      <c r="E36" s="155">
        <f>428264-111821-8654</f>
        <v>307789</v>
      </c>
      <c r="F36" s="158" t="s">
        <v>226</v>
      </c>
      <c r="G36" s="88">
        <v>307789</v>
      </c>
      <c r="H36" s="123">
        <f>E36-G36</f>
        <v>0</v>
      </c>
      <c r="I36" s="82" t="s">
        <v>229</v>
      </c>
      <c r="J36" s="277">
        <v>41864</v>
      </c>
      <c r="K36" s="86">
        <v>41864</v>
      </c>
    </row>
    <row r="37" spans="1:11" ht="25.5" x14ac:dyDescent="0.2">
      <c r="A37" s="414">
        <v>14372</v>
      </c>
      <c r="B37" s="79" t="s">
        <v>208</v>
      </c>
      <c r="C37" s="117" t="s">
        <v>304</v>
      </c>
      <c r="D37" s="156">
        <v>467000</v>
      </c>
      <c r="E37" s="155">
        <v>352000</v>
      </c>
      <c r="F37" s="157" t="s">
        <v>302</v>
      </c>
      <c r="G37" s="88">
        <v>352000</v>
      </c>
      <c r="H37" s="123">
        <f>E37-G37</f>
        <v>0</v>
      </c>
      <c r="I37" s="82" t="s">
        <v>229</v>
      </c>
      <c r="J37" s="277">
        <v>41946</v>
      </c>
      <c r="K37" s="86">
        <v>41946</v>
      </c>
    </row>
    <row r="38" spans="1:11" ht="25.5" x14ac:dyDescent="0.2">
      <c r="A38" s="414">
        <v>14373</v>
      </c>
      <c r="B38" s="79" t="s">
        <v>208</v>
      </c>
      <c r="C38" s="117" t="s">
        <v>303</v>
      </c>
      <c r="D38" s="156">
        <v>192500</v>
      </c>
      <c r="E38" s="155">
        <v>145000</v>
      </c>
      <c r="F38" s="157" t="s">
        <v>302</v>
      </c>
      <c r="G38" s="88">
        <v>145000</v>
      </c>
      <c r="H38" s="123">
        <f>E38-G38</f>
        <v>0</v>
      </c>
      <c r="I38" s="82" t="s">
        <v>229</v>
      </c>
      <c r="J38" s="277">
        <v>41925</v>
      </c>
      <c r="K38" s="86">
        <v>41925</v>
      </c>
    </row>
    <row r="39" spans="1:11" ht="15" x14ac:dyDescent="0.2">
      <c r="A39" s="413">
        <v>15513</v>
      </c>
      <c r="B39" s="417" t="s">
        <v>208</v>
      </c>
      <c r="C39" s="72" t="s">
        <v>540</v>
      </c>
      <c r="D39" s="156">
        <v>137698.90875</v>
      </c>
      <c r="E39" s="155">
        <f>86557+8654</f>
        <v>95211</v>
      </c>
      <c r="F39" s="153"/>
      <c r="G39" s="88">
        <v>95211</v>
      </c>
      <c r="H39" s="123">
        <f>E39-G39</f>
        <v>0</v>
      </c>
      <c r="I39" s="82" t="s">
        <v>229</v>
      </c>
      <c r="J39" s="277">
        <v>42320</v>
      </c>
      <c r="K39" s="277">
        <v>42321</v>
      </c>
    </row>
    <row r="40" spans="1:11" ht="15.75" x14ac:dyDescent="0.25">
      <c r="A40" s="151"/>
      <c r="B40" s="111"/>
      <c r="C40" s="78" t="s">
        <v>225</v>
      </c>
      <c r="D40" s="136"/>
      <c r="E40" s="76">
        <f>SUM(E35:E39)</f>
        <v>1500000</v>
      </c>
      <c r="F40" s="152"/>
      <c r="G40" s="151"/>
      <c r="H40" s="136">
        <f>SUM(H35:H39)</f>
        <v>0</v>
      </c>
      <c r="I40" s="150"/>
      <c r="J40" s="149"/>
      <c r="K40" s="148"/>
    </row>
    <row r="41" spans="1:11" ht="15.75" x14ac:dyDescent="0.2">
      <c r="A41" s="530" t="s">
        <v>301</v>
      </c>
      <c r="B41" s="530"/>
      <c r="C41" s="530"/>
      <c r="D41" s="530"/>
      <c r="E41" s="530"/>
      <c r="F41" s="530"/>
      <c r="G41" s="530"/>
      <c r="H41" s="530"/>
      <c r="I41" s="530"/>
      <c r="J41" s="530"/>
      <c r="K41" s="530"/>
    </row>
    <row r="42" spans="1:11" ht="78.75" x14ac:dyDescent="0.25">
      <c r="A42" s="97" t="s">
        <v>238</v>
      </c>
      <c r="B42" s="95" t="s">
        <v>237</v>
      </c>
      <c r="C42" s="95" t="s">
        <v>0</v>
      </c>
      <c r="D42" s="96" t="s">
        <v>1</v>
      </c>
      <c r="E42" s="96" t="s">
        <v>166</v>
      </c>
      <c r="F42" s="154" t="s">
        <v>167</v>
      </c>
      <c r="G42" s="96" t="s">
        <v>236</v>
      </c>
      <c r="H42" s="96" t="s">
        <v>235</v>
      </c>
      <c r="I42" s="95" t="s">
        <v>170</v>
      </c>
      <c r="J42" s="95" t="s">
        <v>171</v>
      </c>
      <c r="K42" s="95" t="s">
        <v>234</v>
      </c>
    </row>
    <row r="43" spans="1:11" ht="15.6" customHeight="1" x14ac:dyDescent="0.2">
      <c r="A43" s="80">
        <v>13415</v>
      </c>
      <c r="B43" s="79" t="s">
        <v>300</v>
      </c>
      <c r="C43" s="418" t="s">
        <v>299</v>
      </c>
      <c r="D43" s="419">
        <v>792000</v>
      </c>
      <c r="E43" s="281">
        <v>600000</v>
      </c>
      <c r="F43" s="82" t="s">
        <v>226</v>
      </c>
      <c r="G43" s="88">
        <v>600000</v>
      </c>
      <c r="H43" s="123">
        <f t="shared" ref="H43:H49" si="3">E43-G43</f>
        <v>0</v>
      </c>
      <c r="I43" s="82" t="s">
        <v>229</v>
      </c>
      <c r="J43" s="277">
        <v>41605</v>
      </c>
      <c r="K43" s="86">
        <v>41605</v>
      </c>
    </row>
    <row r="44" spans="1:11" ht="15" x14ac:dyDescent="0.2">
      <c r="A44" s="80">
        <v>13416</v>
      </c>
      <c r="B44" s="79" t="s">
        <v>298</v>
      </c>
      <c r="C44" s="91" t="s">
        <v>297</v>
      </c>
      <c r="D44" s="419">
        <v>3900000</v>
      </c>
      <c r="E44" s="281">
        <v>600000</v>
      </c>
      <c r="F44" s="153" t="s">
        <v>296</v>
      </c>
      <c r="G44" s="88">
        <v>600000</v>
      </c>
      <c r="H44" s="123">
        <f t="shared" si="3"/>
        <v>0</v>
      </c>
      <c r="I44" s="82" t="s">
        <v>229</v>
      </c>
      <c r="J44" s="277">
        <v>41402</v>
      </c>
      <c r="K44" s="86">
        <v>41402</v>
      </c>
    </row>
    <row r="45" spans="1:11" ht="30" x14ac:dyDescent="0.2">
      <c r="A45" s="420">
        <v>13417</v>
      </c>
      <c r="B45" s="79" t="s">
        <v>208</v>
      </c>
      <c r="C45" s="421" t="s">
        <v>295</v>
      </c>
      <c r="D45" s="419">
        <v>63035</v>
      </c>
      <c r="E45" s="281">
        <f>36600-1136-12</f>
        <v>35452</v>
      </c>
      <c r="F45" s="82" t="s">
        <v>226</v>
      </c>
      <c r="G45" s="88">
        <f>36611-1147-12</f>
        <v>35452</v>
      </c>
      <c r="H45" s="123">
        <f t="shared" si="3"/>
        <v>0</v>
      </c>
      <c r="I45" s="82" t="s">
        <v>229</v>
      </c>
      <c r="J45" s="277">
        <v>41943</v>
      </c>
      <c r="K45" s="277">
        <v>41943</v>
      </c>
    </row>
    <row r="46" spans="1:11" ht="15" x14ac:dyDescent="0.2">
      <c r="A46" s="422">
        <v>13418</v>
      </c>
      <c r="B46" s="79" t="s">
        <v>209</v>
      </c>
      <c r="C46" s="418" t="s">
        <v>294</v>
      </c>
      <c r="D46" s="419">
        <v>64677</v>
      </c>
      <c r="E46" s="281">
        <v>51742</v>
      </c>
      <c r="F46" s="82" t="s">
        <v>226</v>
      </c>
      <c r="G46" s="88">
        <v>51742</v>
      </c>
      <c r="H46" s="123">
        <f t="shared" si="3"/>
        <v>0</v>
      </c>
      <c r="I46" s="82" t="s">
        <v>229</v>
      </c>
      <c r="J46" s="86">
        <v>42097</v>
      </c>
      <c r="K46" s="86">
        <v>42097</v>
      </c>
    </row>
    <row r="47" spans="1:11" ht="15" x14ac:dyDescent="0.2">
      <c r="A47" s="422">
        <v>13418</v>
      </c>
      <c r="B47" s="79" t="s">
        <v>209</v>
      </c>
      <c r="C47" s="418" t="s">
        <v>293</v>
      </c>
      <c r="D47" s="419">
        <v>171920</v>
      </c>
      <c r="E47" s="281">
        <v>137536</v>
      </c>
      <c r="F47" s="82" t="s">
        <v>226</v>
      </c>
      <c r="G47" s="88">
        <v>137536</v>
      </c>
      <c r="H47" s="123">
        <f t="shared" si="3"/>
        <v>0</v>
      </c>
      <c r="I47" s="82" t="s">
        <v>229</v>
      </c>
      <c r="J47" s="86">
        <v>42097</v>
      </c>
      <c r="K47" s="86">
        <v>42097</v>
      </c>
    </row>
    <row r="48" spans="1:11" ht="15" x14ac:dyDescent="0.2">
      <c r="A48" s="80">
        <v>13419</v>
      </c>
      <c r="B48" s="79" t="s">
        <v>292</v>
      </c>
      <c r="C48" s="418" t="s">
        <v>291</v>
      </c>
      <c r="D48" s="419">
        <v>7000</v>
      </c>
      <c r="E48" s="281">
        <v>5600</v>
      </c>
      <c r="F48" s="82" t="s">
        <v>226</v>
      </c>
      <c r="G48" s="88">
        <v>5600</v>
      </c>
      <c r="H48" s="123">
        <f t="shared" si="3"/>
        <v>0</v>
      </c>
      <c r="I48" s="82" t="s">
        <v>229</v>
      </c>
      <c r="J48" s="277">
        <v>40984</v>
      </c>
      <c r="K48" s="277">
        <v>40984</v>
      </c>
    </row>
    <row r="49" spans="1:11" ht="30" x14ac:dyDescent="0.2">
      <c r="A49" s="415">
        <v>17523</v>
      </c>
      <c r="B49" s="416" t="s">
        <v>215</v>
      </c>
      <c r="C49" s="317" t="s">
        <v>718</v>
      </c>
      <c r="D49" s="419">
        <v>87087</v>
      </c>
      <c r="E49" s="281">
        <f>1136+68522+12</f>
        <v>69670</v>
      </c>
      <c r="F49" s="261" t="s">
        <v>311</v>
      </c>
      <c r="G49" s="88">
        <v>21990</v>
      </c>
      <c r="H49" s="123">
        <f t="shared" si="3"/>
        <v>47680</v>
      </c>
      <c r="I49" s="87" t="s">
        <v>701</v>
      </c>
      <c r="J49" s="90" t="s">
        <v>702</v>
      </c>
      <c r="K49" s="277"/>
    </row>
    <row r="50" spans="1:11" ht="15.75" x14ac:dyDescent="0.25">
      <c r="A50" s="151"/>
      <c r="B50" s="111"/>
      <c r="C50" s="78" t="s">
        <v>225</v>
      </c>
      <c r="D50" s="136"/>
      <c r="E50" s="76">
        <f>SUM(E43:E49)</f>
        <v>1500000</v>
      </c>
      <c r="F50" s="152"/>
      <c r="G50" s="151"/>
      <c r="H50" s="136">
        <f>SUM(H43:H48)</f>
        <v>0</v>
      </c>
      <c r="I50" s="150"/>
      <c r="J50" s="149"/>
      <c r="K50" s="148"/>
    </row>
    <row r="51" spans="1:11" ht="32.25" customHeight="1" x14ac:dyDescent="0.2">
      <c r="A51" s="423"/>
      <c r="B51" s="424"/>
      <c r="C51" s="425"/>
      <c r="D51" s="426"/>
      <c r="E51" s="427"/>
      <c r="F51" s="428"/>
      <c r="G51" s="423"/>
      <c r="H51" s="426"/>
      <c r="I51" s="429"/>
      <c r="J51" s="430"/>
      <c r="K51" s="431"/>
    </row>
    <row r="52" spans="1:11" ht="15.75" x14ac:dyDescent="0.2">
      <c r="A52" s="147"/>
      <c r="B52" s="531" t="s">
        <v>290</v>
      </c>
      <c r="C52" s="531"/>
      <c r="D52" s="531"/>
      <c r="E52" s="531"/>
      <c r="F52" s="531"/>
      <c r="G52" s="531"/>
      <c r="H52" s="531"/>
      <c r="I52" s="531"/>
      <c r="J52" s="531"/>
      <c r="K52" s="146"/>
    </row>
    <row r="53" spans="1:11" ht="78.75" x14ac:dyDescent="0.2">
      <c r="A53" s="97" t="s">
        <v>238</v>
      </c>
      <c r="B53" s="95" t="s">
        <v>237</v>
      </c>
      <c r="C53" s="95" t="s">
        <v>0</v>
      </c>
      <c r="D53" s="96" t="s">
        <v>1</v>
      </c>
      <c r="E53" s="96" t="s">
        <v>166</v>
      </c>
      <c r="F53" s="95" t="s">
        <v>167</v>
      </c>
      <c r="G53" s="96" t="s">
        <v>236</v>
      </c>
      <c r="H53" s="96" t="s">
        <v>235</v>
      </c>
      <c r="I53" s="95" t="s">
        <v>170</v>
      </c>
      <c r="J53" s="95" t="s">
        <v>171</v>
      </c>
      <c r="K53" s="95" t="s">
        <v>234</v>
      </c>
    </row>
    <row r="54" spans="1:11" s="320" customFormat="1" ht="30" x14ac:dyDescent="0.2">
      <c r="A54" s="80">
        <v>12319</v>
      </c>
      <c r="B54" s="79" t="s">
        <v>233</v>
      </c>
      <c r="C54" s="91" t="s">
        <v>289</v>
      </c>
      <c r="D54" s="278">
        <v>4897614</v>
      </c>
      <c r="E54" s="432">
        <v>800000</v>
      </c>
      <c r="F54" s="82" t="s">
        <v>288</v>
      </c>
      <c r="G54" s="88">
        <v>800000</v>
      </c>
      <c r="H54" s="123">
        <f t="shared" ref="H54:H61" si="4">E54-G54</f>
        <v>0</v>
      </c>
      <c r="I54" s="82" t="s">
        <v>229</v>
      </c>
      <c r="J54" s="122">
        <v>41605</v>
      </c>
      <c r="K54" s="90">
        <v>41605</v>
      </c>
    </row>
    <row r="55" spans="1:11" ht="15.6" customHeight="1" x14ac:dyDescent="0.2">
      <c r="A55" s="80">
        <v>12320</v>
      </c>
      <c r="B55" s="79" t="s">
        <v>278</v>
      </c>
      <c r="C55" s="91" t="s">
        <v>287</v>
      </c>
      <c r="D55" s="278">
        <v>500000</v>
      </c>
      <c r="E55" s="432">
        <f>400000-18173</f>
        <v>381827</v>
      </c>
      <c r="F55" s="82" t="s">
        <v>227</v>
      </c>
      <c r="G55" s="88">
        <v>381827</v>
      </c>
      <c r="H55" s="123">
        <f t="shared" si="4"/>
        <v>0</v>
      </c>
      <c r="I55" s="82" t="s">
        <v>229</v>
      </c>
      <c r="J55" s="122">
        <v>40729</v>
      </c>
      <c r="K55" s="90">
        <v>40742</v>
      </c>
    </row>
    <row r="56" spans="1:11" ht="15" x14ac:dyDescent="0.2">
      <c r="A56" s="80">
        <v>12733</v>
      </c>
      <c r="B56" s="92" t="s">
        <v>209</v>
      </c>
      <c r="C56" s="433" t="s">
        <v>286</v>
      </c>
      <c r="D56" s="279">
        <v>379211</v>
      </c>
      <c r="E56" s="280">
        <f>298357-20143</f>
        <v>278214</v>
      </c>
      <c r="F56" s="82" t="s">
        <v>227</v>
      </c>
      <c r="G56" s="88">
        <v>278214</v>
      </c>
      <c r="H56" s="123">
        <f t="shared" si="4"/>
        <v>0</v>
      </c>
      <c r="I56" s="82" t="s">
        <v>229</v>
      </c>
      <c r="J56" s="122">
        <v>41653</v>
      </c>
      <c r="K56" s="90">
        <v>41653</v>
      </c>
    </row>
    <row r="57" spans="1:11" ht="15" x14ac:dyDescent="0.2">
      <c r="A57" s="66">
        <v>12738</v>
      </c>
      <c r="B57" s="91" t="s">
        <v>208</v>
      </c>
      <c r="C57" s="91" t="s">
        <v>285</v>
      </c>
      <c r="D57" s="434">
        <v>30000</v>
      </c>
      <c r="E57" s="434">
        <v>24000</v>
      </c>
      <c r="F57" s="82" t="s">
        <v>227</v>
      </c>
      <c r="G57" s="88">
        <v>24000</v>
      </c>
      <c r="H57" s="123">
        <f t="shared" si="4"/>
        <v>0</v>
      </c>
      <c r="I57" s="82" t="s">
        <v>229</v>
      </c>
      <c r="J57" s="122">
        <v>41067</v>
      </c>
      <c r="K57" s="90">
        <v>41067</v>
      </c>
    </row>
    <row r="58" spans="1:11" ht="30" x14ac:dyDescent="0.2">
      <c r="A58" s="80">
        <v>12321</v>
      </c>
      <c r="B58" s="79" t="s">
        <v>284</v>
      </c>
      <c r="C58" s="91" t="s">
        <v>283</v>
      </c>
      <c r="D58" s="278">
        <v>565732</v>
      </c>
      <c r="E58" s="432">
        <f>414920+37665</f>
        <v>452585</v>
      </c>
      <c r="F58" s="82" t="s">
        <v>227</v>
      </c>
      <c r="G58" s="88">
        <v>452585</v>
      </c>
      <c r="H58" s="123">
        <f t="shared" si="4"/>
        <v>0</v>
      </c>
      <c r="I58" s="82" t="s">
        <v>229</v>
      </c>
      <c r="J58" s="122">
        <v>41090</v>
      </c>
      <c r="K58" s="90">
        <v>40637</v>
      </c>
    </row>
    <row r="59" spans="1:11" ht="30" x14ac:dyDescent="0.2">
      <c r="A59" s="420">
        <v>13417</v>
      </c>
      <c r="B59" s="79" t="s">
        <v>208</v>
      </c>
      <c r="C59" s="421" t="s">
        <v>282</v>
      </c>
      <c r="D59" s="278">
        <v>22716.25</v>
      </c>
      <c r="E59" s="278">
        <v>18173</v>
      </c>
      <c r="F59" s="82" t="s">
        <v>226</v>
      </c>
      <c r="G59" s="281">
        <v>18173</v>
      </c>
      <c r="H59" s="123">
        <f t="shared" si="4"/>
        <v>0</v>
      </c>
      <c r="I59" s="82" t="s">
        <v>229</v>
      </c>
      <c r="J59" s="277">
        <v>41943</v>
      </c>
      <c r="K59" s="277">
        <v>41943</v>
      </c>
    </row>
    <row r="60" spans="1:11" ht="15" x14ac:dyDescent="0.2">
      <c r="A60" s="413">
        <v>15513</v>
      </c>
      <c r="B60" s="417" t="s">
        <v>208</v>
      </c>
      <c r="C60" s="72" t="s">
        <v>541</v>
      </c>
      <c r="D60" s="278">
        <v>36240.1325</v>
      </c>
      <c r="E60" s="279">
        <v>25058</v>
      </c>
      <c r="F60" s="82"/>
      <c r="G60" s="281">
        <v>25058</v>
      </c>
      <c r="H60" s="123">
        <f t="shared" si="4"/>
        <v>0</v>
      </c>
      <c r="I60" s="82" t="s">
        <v>229</v>
      </c>
      <c r="J60" s="277">
        <v>42320</v>
      </c>
      <c r="K60" s="277">
        <v>42321</v>
      </c>
    </row>
    <row r="61" spans="1:11" ht="30" x14ac:dyDescent="0.2">
      <c r="A61" s="415">
        <v>17523</v>
      </c>
      <c r="B61" s="416" t="s">
        <v>215</v>
      </c>
      <c r="C61" s="317" t="s">
        <v>719</v>
      </c>
      <c r="D61" s="278">
        <v>25179</v>
      </c>
      <c r="E61" s="279">
        <v>20143</v>
      </c>
      <c r="F61" s="261" t="s">
        <v>311</v>
      </c>
      <c r="G61" s="281">
        <v>20143</v>
      </c>
      <c r="H61" s="123">
        <f t="shared" si="4"/>
        <v>0</v>
      </c>
      <c r="I61" s="87" t="s">
        <v>701</v>
      </c>
      <c r="J61" s="90" t="s">
        <v>702</v>
      </c>
      <c r="K61" s="435"/>
    </row>
    <row r="62" spans="1:11" ht="15.75" x14ac:dyDescent="0.2">
      <c r="A62" s="80"/>
      <c r="B62" s="112"/>
      <c r="C62" s="78" t="s">
        <v>225</v>
      </c>
      <c r="D62" s="109"/>
      <c r="E62" s="436">
        <f>SUM(E54:E61)</f>
        <v>2000000</v>
      </c>
      <c r="F62" s="110"/>
      <c r="G62" s="109"/>
      <c r="H62" s="136">
        <f>SUM(H54:H61)</f>
        <v>0</v>
      </c>
      <c r="I62" s="74"/>
      <c r="J62" s="75"/>
      <c r="K62" s="74"/>
    </row>
    <row r="63" spans="1:11" ht="15.75" x14ac:dyDescent="0.25">
      <c r="A63" s="399"/>
      <c r="B63" s="400"/>
      <c r="C63" s="437"/>
      <c r="D63" s="402"/>
      <c r="E63" s="438"/>
      <c r="F63" s="403"/>
      <c r="G63" s="402"/>
      <c r="H63" s="402"/>
      <c r="I63" s="404"/>
      <c r="J63" s="405"/>
      <c r="K63" s="404"/>
    </row>
    <row r="64" spans="1:11" ht="15.75" x14ac:dyDescent="0.2">
      <c r="A64" s="101"/>
      <c r="B64" s="525" t="s">
        <v>281</v>
      </c>
      <c r="C64" s="526"/>
      <c r="D64" s="526"/>
      <c r="E64" s="526"/>
      <c r="F64" s="527"/>
      <c r="G64" s="144"/>
      <c r="H64" s="144"/>
      <c r="I64" s="98"/>
      <c r="J64" s="99"/>
      <c r="K64" s="98"/>
    </row>
    <row r="65" spans="1:11" ht="78.75" x14ac:dyDescent="0.2">
      <c r="A65" s="97" t="s">
        <v>238</v>
      </c>
      <c r="B65" s="95" t="s">
        <v>237</v>
      </c>
      <c r="C65" s="95" t="s">
        <v>0</v>
      </c>
      <c r="D65" s="96" t="s">
        <v>1</v>
      </c>
      <c r="E65" s="96" t="s">
        <v>166</v>
      </c>
      <c r="F65" s="95" t="s">
        <v>167</v>
      </c>
      <c r="G65" s="96" t="s">
        <v>236</v>
      </c>
      <c r="H65" s="96" t="s">
        <v>235</v>
      </c>
      <c r="I65" s="95" t="s">
        <v>170</v>
      </c>
      <c r="J65" s="95" t="s">
        <v>171</v>
      </c>
      <c r="K65" s="95" t="s">
        <v>234</v>
      </c>
    </row>
    <row r="66" spans="1:11" ht="15" x14ac:dyDescent="0.2">
      <c r="A66" s="66">
        <v>12738</v>
      </c>
      <c r="B66" s="72" t="s">
        <v>208</v>
      </c>
      <c r="C66" s="91" t="s">
        <v>280</v>
      </c>
      <c r="D66" s="88">
        <v>65000</v>
      </c>
      <c r="E66" s="88">
        <v>48000</v>
      </c>
      <c r="F66" s="82" t="s">
        <v>227</v>
      </c>
      <c r="G66" s="88">
        <v>48000</v>
      </c>
      <c r="H66" s="123">
        <f>E66-G66</f>
        <v>0</v>
      </c>
      <c r="I66" s="82" t="s">
        <v>229</v>
      </c>
      <c r="J66" s="122">
        <v>41067</v>
      </c>
      <c r="K66" s="90">
        <v>41067</v>
      </c>
    </row>
    <row r="67" spans="1:11" ht="45" x14ac:dyDescent="0.2">
      <c r="A67" s="80">
        <v>11760</v>
      </c>
      <c r="B67" s="72" t="s">
        <v>228</v>
      </c>
      <c r="C67" s="91" t="s">
        <v>279</v>
      </c>
      <c r="D67" s="123">
        <v>617904</v>
      </c>
      <c r="E67" s="123">
        <v>436904</v>
      </c>
      <c r="F67" s="82" t="s">
        <v>227</v>
      </c>
      <c r="G67" s="88">
        <v>436904</v>
      </c>
      <c r="H67" s="123">
        <f>E67-G67</f>
        <v>0</v>
      </c>
      <c r="I67" s="82" t="s">
        <v>229</v>
      </c>
      <c r="J67" s="122">
        <v>41319</v>
      </c>
      <c r="K67" s="90">
        <v>41319</v>
      </c>
    </row>
    <row r="68" spans="1:11" ht="30.75" customHeight="1" x14ac:dyDescent="0.2">
      <c r="A68" s="80">
        <v>11761</v>
      </c>
      <c r="B68" s="67" t="s">
        <v>278</v>
      </c>
      <c r="C68" s="91" t="s">
        <v>277</v>
      </c>
      <c r="D68" s="123">
        <v>100000</v>
      </c>
      <c r="E68" s="123">
        <v>79920</v>
      </c>
      <c r="F68" s="82" t="s">
        <v>227</v>
      </c>
      <c r="G68" s="88">
        <v>79920</v>
      </c>
      <c r="H68" s="123">
        <f t="shared" ref="H68:H77" si="5">E68-G68</f>
        <v>0</v>
      </c>
      <c r="I68" s="82" t="s">
        <v>229</v>
      </c>
      <c r="J68" s="122">
        <v>40483</v>
      </c>
      <c r="K68" s="90">
        <v>40498</v>
      </c>
    </row>
    <row r="69" spans="1:11" ht="45" x14ac:dyDescent="0.2">
      <c r="A69" s="80">
        <v>11767</v>
      </c>
      <c r="B69" s="67" t="s">
        <v>276</v>
      </c>
      <c r="C69" s="91" t="s">
        <v>275</v>
      </c>
      <c r="D69" s="123">
        <v>235000</v>
      </c>
      <c r="E69" s="123">
        <v>188000</v>
      </c>
      <c r="F69" s="82" t="s">
        <v>227</v>
      </c>
      <c r="G69" s="123">
        <v>188000</v>
      </c>
      <c r="H69" s="123">
        <f>E69-G69</f>
        <v>0</v>
      </c>
      <c r="I69" s="82" t="s">
        <v>229</v>
      </c>
      <c r="J69" s="122">
        <v>40561</v>
      </c>
      <c r="K69" s="90">
        <v>40561</v>
      </c>
    </row>
    <row r="70" spans="1:11" ht="45" x14ac:dyDescent="0.2">
      <c r="A70" s="80">
        <v>11762</v>
      </c>
      <c r="B70" s="67" t="s">
        <v>274</v>
      </c>
      <c r="C70" s="439" t="s">
        <v>273</v>
      </c>
      <c r="D70" s="123">
        <v>176000</v>
      </c>
      <c r="E70" s="123">
        <v>140800</v>
      </c>
      <c r="F70" s="82" t="s">
        <v>227</v>
      </c>
      <c r="G70" s="88">
        <v>140800</v>
      </c>
      <c r="H70" s="123">
        <f t="shared" si="5"/>
        <v>0</v>
      </c>
      <c r="I70" s="82" t="s">
        <v>229</v>
      </c>
      <c r="J70" s="122">
        <v>40543</v>
      </c>
      <c r="K70" s="90">
        <v>40567</v>
      </c>
    </row>
    <row r="71" spans="1:11" ht="45" x14ac:dyDescent="0.2">
      <c r="A71" s="66">
        <v>11764</v>
      </c>
      <c r="B71" s="72" t="s">
        <v>245</v>
      </c>
      <c r="C71" s="91" t="s">
        <v>272</v>
      </c>
      <c r="D71" s="123">
        <v>7347</v>
      </c>
      <c r="E71" s="123">
        <v>5877</v>
      </c>
      <c r="F71" s="82" t="s">
        <v>227</v>
      </c>
      <c r="G71" s="88">
        <v>5877</v>
      </c>
      <c r="H71" s="123">
        <f t="shared" si="5"/>
        <v>0</v>
      </c>
      <c r="I71" s="82" t="s">
        <v>229</v>
      </c>
      <c r="J71" s="122">
        <v>41121</v>
      </c>
      <c r="K71" s="90">
        <v>41121</v>
      </c>
    </row>
    <row r="72" spans="1:11" ht="30" x14ac:dyDescent="0.2">
      <c r="A72" s="80">
        <v>11765</v>
      </c>
      <c r="B72" s="67" t="s">
        <v>257</v>
      </c>
      <c r="C72" s="91" t="s">
        <v>271</v>
      </c>
      <c r="D72" s="123">
        <v>130000</v>
      </c>
      <c r="E72" s="123">
        <v>67019</v>
      </c>
      <c r="F72" s="82" t="s">
        <v>227</v>
      </c>
      <c r="G72" s="88">
        <v>67019</v>
      </c>
      <c r="H72" s="123">
        <f t="shared" si="5"/>
        <v>0</v>
      </c>
      <c r="I72" s="82" t="s">
        <v>229</v>
      </c>
      <c r="J72" s="122">
        <v>40867</v>
      </c>
      <c r="K72" s="90">
        <v>40873</v>
      </c>
    </row>
    <row r="73" spans="1:11" ht="15.6" customHeight="1" x14ac:dyDescent="0.2">
      <c r="A73" s="143">
        <v>11766</v>
      </c>
      <c r="B73" s="142" t="s">
        <v>270</v>
      </c>
      <c r="C73" s="91" t="s">
        <v>269</v>
      </c>
      <c r="D73" s="139">
        <v>296250</v>
      </c>
      <c r="E73" s="139">
        <f>237000-111821</f>
        <v>125179</v>
      </c>
      <c r="F73" s="115" t="s">
        <v>227</v>
      </c>
      <c r="G73" s="116">
        <v>125179</v>
      </c>
      <c r="H73" s="139">
        <f t="shared" si="5"/>
        <v>0</v>
      </c>
      <c r="I73" s="82" t="s">
        <v>229</v>
      </c>
      <c r="J73" s="114">
        <v>40715</v>
      </c>
      <c r="K73" s="141">
        <v>40715</v>
      </c>
    </row>
    <row r="74" spans="1:11" ht="15" x14ac:dyDescent="0.2">
      <c r="A74" s="440">
        <v>14371</v>
      </c>
      <c r="B74" s="91" t="s">
        <v>204</v>
      </c>
      <c r="C74" s="140" t="s">
        <v>268</v>
      </c>
      <c r="D74" s="139">
        <v>139776.25</v>
      </c>
      <c r="E74" s="139">
        <v>111821</v>
      </c>
      <c r="F74" s="82" t="s">
        <v>226</v>
      </c>
      <c r="G74" s="116">
        <v>111821</v>
      </c>
      <c r="H74" s="123">
        <f t="shared" si="5"/>
        <v>0</v>
      </c>
      <c r="I74" s="82" t="s">
        <v>229</v>
      </c>
      <c r="J74" s="277">
        <v>41864</v>
      </c>
      <c r="K74" s="141">
        <v>41864</v>
      </c>
    </row>
    <row r="75" spans="1:11" ht="30" x14ac:dyDescent="0.2">
      <c r="A75" s="138">
        <v>12738</v>
      </c>
      <c r="B75" s="120" t="s">
        <v>208</v>
      </c>
      <c r="C75" s="137" t="s">
        <v>267</v>
      </c>
      <c r="D75" s="139">
        <v>12144</v>
      </c>
      <c r="E75" s="139">
        <v>5534</v>
      </c>
      <c r="F75" s="115" t="s">
        <v>227</v>
      </c>
      <c r="G75" s="116">
        <v>5534</v>
      </c>
      <c r="H75" s="123">
        <f t="shared" si="5"/>
        <v>0</v>
      </c>
      <c r="I75" s="82" t="s">
        <v>229</v>
      </c>
      <c r="J75" s="114">
        <v>41323</v>
      </c>
      <c r="K75" s="90">
        <v>41444</v>
      </c>
    </row>
    <row r="76" spans="1:11" ht="30" x14ac:dyDescent="0.2">
      <c r="A76" s="441">
        <v>13417</v>
      </c>
      <c r="B76" s="84" t="s">
        <v>208</v>
      </c>
      <c r="C76" s="421" t="s">
        <v>266</v>
      </c>
      <c r="D76" s="88">
        <v>46326.25</v>
      </c>
      <c r="E76" s="123">
        <v>37061</v>
      </c>
      <c r="F76" s="82" t="s">
        <v>226</v>
      </c>
      <c r="G76" s="281">
        <v>37061</v>
      </c>
      <c r="H76" s="139">
        <f t="shared" si="5"/>
        <v>0</v>
      </c>
      <c r="I76" s="82" t="s">
        <v>229</v>
      </c>
      <c r="J76" s="277">
        <v>41943</v>
      </c>
      <c r="K76" s="277">
        <v>41943</v>
      </c>
    </row>
    <row r="77" spans="1:11" ht="15" x14ac:dyDescent="0.2">
      <c r="A77" s="413">
        <v>15513</v>
      </c>
      <c r="B77" s="417" t="s">
        <v>208</v>
      </c>
      <c r="C77" s="72" t="s">
        <v>542</v>
      </c>
      <c r="D77" s="88">
        <v>5618.6812499999996</v>
      </c>
      <c r="E77" s="123">
        <v>3885</v>
      </c>
      <c r="F77" s="82"/>
      <c r="G77" s="281">
        <v>3885</v>
      </c>
      <c r="H77" s="139">
        <f t="shared" si="5"/>
        <v>0</v>
      </c>
      <c r="I77" s="82" t="s">
        <v>229</v>
      </c>
      <c r="J77" s="277">
        <v>42320</v>
      </c>
      <c r="K77" s="277">
        <v>42321</v>
      </c>
    </row>
    <row r="78" spans="1:11" ht="15.75" x14ac:dyDescent="0.2">
      <c r="A78" s="80"/>
      <c r="B78" s="79"/>
      <c r="C78" s="111" t="s">
        <v>225</v>
      </c>
      <c r="D78" s="85"/>
      <c r="E78" s="136">
        <f>SUM(E66:E77)</f>
        <v>1250000</v>
      </c>
      <c r="F78" s="110"/>
      <c r="G78" s="77"/>
      <c r="H78" s="136">
        <f>SUM(H66:H77)</f>
        <v>0</v>
      </c>
      <c r="I78" s="82"/>
      <c r="J78" s="86"/>
      <c r="K78" s="74"/>
    </row>
    <row r="79" spans="1:11" ht="15" x14ac:dyDescent="0.2">
      <c r="A79" s="108"/>
      <c r="B79" s="135"/>
      <c r="C79" s="135"/>
      <c r="D79" s="134"/>
      <c r="E79" s="134"/>
      <c r="F79" s="106"/>
      <c r="G79" s="104"/>
      <c r="H79" s="134"/>
      <c r="I79" s="133"/>
      <c r="J79" s="132"/>
      <c r="K79" s="102"/>
    </row>
    <row r="80" spans="1:11" ht="15.75" x14ac:dyDescent="0.2">
      <c r="A80" s="101"/>
      <c r="B80" s="525" t="s">
        <v>265</v>
      </c>
      <c r="C80" s="528"/>
      <c r="D80" s="528"/>
      <c r="E80" s="528"/>
      <c r="F80" s="529"/>
      <c r="G80" s="131"/>
      <c r="H80" s="100"/>
      <c r="I80" s="98"/>
      <c r="J80" s="99"/>
      <c r="K80" s="98"/>
    </row>
    <row r="81" spans="1:11" ht="78.75" x14ac:dyDescent="0.2">
      <c r="A81" s="97" t="s">
        <v>238</v>
      </c>
      <c r="B81" s="95" t="s">
        <v>237</v>
      </c>
      <c r="C81" s="95" t="s">
        <v>0</v>
      </c>
      <c r="D81" s="96" t="s">
        <v>1</v>
      </c>
      <c r="E81" s="96" t="s">
        <v>166</v>
      </c>
      <c r="F81" s="273" t="s">
        <v>167</v>
      </c>
      <c r="G81" s="96" t="s">
        <v>236</v>
      </c>
      <c r="H81" s="96" t="s">
        <v>235</v>
      </c>
      <c r="I81" s="95" t="s">
        <v>170</v>
      </c>
      <c r="J81" s="95" t="s">
        <v>171</v>
      </c>
      <c r="K81" s="95" t="s">
        <v>234</v>
      </c>
    </row>
    <row r="82" spans="1:11" ht="30" x14ac:dyDescent="0.2">
      <c r="A82" s="80">
        <v>10482</v>
      </c>
      <c r="B82" s="129" t="s">
        <v>248</v>
      </c>
      <c r="C82" s="89" t="s">
        <v>264</v>
      </c>
      <c r="D82" s="125" t="s">
        <v>263</v>
      </c>
      <c r="E82" s="125" t="s">
        <v>254</v>
      </c>
      <c r="F82" s="82" t="s">
        <v>227</v>
      </c>
      <c r="G82" s="442">
        <v>0</v>
      </c>
      <c r="H82" s="125" t="s">
        <v>254</v>
      </c>
      <c r="I82" s="87" t="s">
        <v>253</v>
      </c>
      <c r="J82" s="124" t="s">
        <v>232</v>
      </c>
      <c r="K82" s="87"/>
    </row>
    <row r="83" spans="1:11" ht="15" x14ac:dyDescent="0.2">
      <c r="A83" s="130">
        <v>10481</v>
      </c>
      <c r="B83" s="129" t="s">
        <v>262</v>
      </c>
      <c r="C83" s="126" t="s">
        <v>261</v>
      </c>
      <c r="D83" s="443">
        <v>654000</v>
      </c>
      <c r="E83" s="442">
        <v>0</v>
      </c>
      <c r="F83" s="93" t="s">
        <v>227</v>
      </c>
      <c r="G83" s="442">
        <v>0</v>
      </c>
      <c r="H83" s="442">
        <f>+E83-G83</f>
        <v>0</v>
      </c>
      <c r="I83" s="87" t="s">
        <v>260</v>
      </c>
      <c r="J83" s="128" t="s">
        <v>259</v>
      </c>
      <c r="K83" s="127"/>
    </row>
    <row r="84" spans="1:11" ht="45" x14ac:dyDescent="0.2">
      <c r="A84" s="80">
        <v>11760</v>
      </c>
      <c r="B84" s="72" t="s">
        <v>228</v>
      </c>
      <c r="C84" s="91" t="s">
        <v>258</v>
      </c>
      <c r="D84" s="123"/>
      <c r="E84" s="88">
        <v>385677</v>
      </c>
      <c r="F84" s="82" t="s">
        <v>250</v>
      </c>
      <c r="G84" s="88">
        <v>385677</v>
      </c>
      <c r="H84" s="88">
        <f>+E84-G84</f>
        <v>0</v>
      </c>
      <c r="I84" s="82" t="s">
        <v>249</v>
      </c>
      <c r="J84" s="122">
        <v>41319</v>
      </c>
      <c r="K84" s="90">
        <v>41319</v>
      </c>
    </row>
    <row r="85" spans="1:11" ht="30" x14ac:dyDescent="0.2">
      <c r="A85" s="66">
        <v>10484</v>
      </c>
      <c r="B85" s="94" t="s">
        <v>257</v>
      </c>
      <c r="C85" s="126" t="s">
        <v>256</v>
      </c>
      <c r="D85" s="125" t="s">
        <v>255</v>
      </c>
      <c r="E85" s="125" t="s">
        <v>254</v>
      </c>
      <c r="F85" s="82" t="s">
        <v>227</v>
      </c>
      <c r="G85" s="88">
        <v>0</v>
      </c>
      <c r="H85" s="442">
        <f t="shared" ref="H85:H92" si="6">+E85-G85</f>
        <v>0</v>
      </c>
      <c r="I85" s="87" t="s">
        <v>253</v>
      </c>
      <c r="J85" s="124" t="s">
        <v>232</v>
      </c>
      <c r="K85" s="87"/>
    </row>
    <row r="86" spans="1:11" ht="30" x14ac:dyDescent="0.2">
      <c r="A86" s="66">
        <v>10483</v>
      </c>
      <c r="B86" s="72" t="s">
        <v>230</v>
      </c>
      <c r="C86" s="89" t="s">
        <v>252</v>
      </c>
      <c r="D86" s="123">
        <f>+E86/0.8</f>
        <v>85446.25</v>
      </c>
      <c r="E86" s="88">
        <v>68357</v>
      </c>
      <c r="F86" s="82" t="s">
        <v>231</v>
      </c>
      <c r="G86" s="88">
        <v>68357</v>
      </c>
      <c r="H86" s="88">
        <f t="shared" si="6"/>
        <v>0</v>
      </c>
      <c r="I86" s="87" t="s">
        <v>229</v>
      </c>
      <c r="J86" s="122">
        <v>40056</v>
      </c>
      <c r="K86" s="90">
        <v>40017</v>
      </c>
    </row>
    <row r="87" spans="1:11" ht="30" x14ac:dyDescent="0.2">
      <c r="A87" s="80">
        <v>10968</v>
      </c>
      <c r="B87" s="72" t="s">
        <v>228</v>
      </c>
      <c r="C87" s="89" t="s">
        <v>251</v>
      </c>
      <c r="D87" s="88">
        <f>(+E87*1.25)+2543332</f>
        <v>3643332</v>
      </c>
      <c r="E87" s="88">
        <v>880000</v>
      </c>
      <c r="F87" s="82" t="s">
        <v>250</v>
      </c>
      <c r="G87" s="88">
        <v>880000</v>
      </c>
      <c r="H87" s="88">
        <f t="shared" si="6"/>
        <v>0</v>
      </c>
      <c r="I87" s="87" t="s">
        <v>249</v>
      </c>
      <c r="J87" s="122"/>
      <c r="K87" s="90">
        <v>41276</v>
      </c>
    </row>
    <row r="88" spans="1:11" ht="30" x14ac:dyDescent="0.2">
      <c r="A88" s="80">
        <v>11350</v>
      </c>
      <c r="B88" s="67" t="s">
        <v>248</v>
      </c>
      <c r="C88" s="89" t="s">
        <v>247</v>
      </c>
      <c r="D88" s="88">
        <v>200000</v>
      </c>
      <c r="E88" s="88">
        <v>62577</v>
      </c>
      <c r="F88" s="82" t="s">
        <v>227</v>
      </c>
      <c r="G88" s="88">
        <v>62577</v>
      </c>
      <c r="H88" s="88">
        <f t="shared" si="6"/>
        <v>0</v>
      </c>
      <c r="I88" s="87" t="s">
        <v>246</v>
      </c>
      <c r="J88" s="121">
        <v>40688</v>
      </c>
      <c r="K88" s="90">
        <v>40548</v>
      </c>
    </row>
    <row r="89" spans="1:11" ht="45" x14ac:dyDescent="0.2">
      <c r="A89" s="66">
        <v>11764</v>
      </c>
      <c r="B89" s="120" t="s">
        <v>245</v>
      </c>
      <c r="C89" s="137" t="s">
        <v>244</v>
      </c>
      <c r="D89" s="116">
        <f>+E89/0.8</f>
        <v>699736.25</v>
      </c>
      <c r="E89" s="116">
        <f>568443-8654</f>
        <v>559789</v>
      </c>
      <c r="F89" s="115" t="s">
        <v>227</v>
      </c>
      <c r="G89" s="116">
        <v>559789</v>
      </c>
      <c r="H89" s="88">
        <f t="shared" si="6"/>
        <v>0</v>
      </c>
      <c r="I89" s="119" t="s">
        <v>243</v>
      </c>
      <c r="J89" s="114">
        <v>41121</v>
      </c>
      <c r="K89" s="90">
        <v>41121</v>
      </c>
    </row>
    <row r="90" spans="1:11" ht="15" x14ac:dyDescent="0.2">
      <c r="A90" s="118">
        <v>14371</v>
      </c>
      <c r="B90" s="91" t="s">
        <v>204</v>
      </c>
      <c r="C90" s="117" t="s">
        <v>242</v>
      </c>
      <c r="D90" s="116">
        <v>10817.5</v>
      </c>
      <c r="E90" s="116">
        <v>8654</v>
      </c>
      <c r="F90" s="82" t="s">
        <v>226</v>
      </c>
      <c r="G90" s="116">
        <v>8654</v>
      </c>
      <c r="H90" s="88">
        <f t="shared" si="6"/>
        <v>0</v>
      </c>
      <c r="I90" s="82" t="s">
        <v>229</v>
      </c>
      <c r="J90" s="277">
        <v>41864</v>
      </c>
      <c r="K90" s="141">
        <v>41864</v>
      </c>
    </row>
    <row r="91" spans="1:11" ht="15" x14ac:dyDescent="0.2">
      <c r="A91" s="66">
        <v>12738</v>
      </c>
      <c r="B91" s="72" t="s">
        <v>208</v>
      </c>
      <c r="C91" s="91" t="s">
        <v>241</v>
      </c>
      <c r="D91" s="123">
        <v>177300</v>
      </c>
      <c r="E91" s="123">
        <v>137523</v>
      </c>
      <c r="F91" s="115" t="s">
        <v>227</v>
      </c>
      <c r="G91" s="88">
        <v>137523</v>
      </c>
      <c r="H91" s="88">
        <f t="shared" si="6"/>
        <v>0</v>
      </c>
      <c r="I91" s="82" t="s">
        <v>240</v>
      </c>
      <c r="J91" s="114">
        <v>41323</v>
      </c>
      <c r="K91" s="90">
        <v>41444</v>
      </c>
    </row>
    <row r="92" spans="1:11" ht="30" x14ac:dyDescent="0.2">
      <c r="A92" s="441">
        <v>13417</v>
      </c>
      <c r="B92" s="84" t="s">
        <v>208</v>
      </c>
      <c r="C92" s="421" t="s">
        <v>239</v>
      </c>
      <c r="D92" s="281">
        <v>121778.75</v>
      </c>
      <c r="E92" s="281">
        <v>97423</v>
      </c>
      <c r="F92" s="82" t="s">
        <v>226</v>
      </c>
      <c r="G92" s="281">
        <v>97423</v>
      </c>
      <c r="H92" s="88">
        <f t="shared" si="6"/>
        <v>0</v>
      </c>
      <c r="I92" s="82" t="s">
        <v>229</v>
      </c>
      <c r="J92" s="277">
        <v>41943</v>
      </c>
      <c r="K92" s="277">
        <v>41943</v>
      </c>
    </row>
    <row r="93" spans="1:11" ht="15.75" x14ac:dyDescent="0.2">
      <c r="A93" s="80"/>
      <c r="B93" s="112"/>
      <c r="C93" s="111" t="s">
        <v>225</v>
      </c>
      <c r="D93" s="77"/>
      <c r="E93" s="76">
        <f>SUM(E82:E92)</f>
        <v>2200000</v>
      </c>
      <c r="F93" s="110"/>
      <c r="G93" s="109"/>
      <c r="H93" s="76">
        <f>SUM(H83:H92)</f>
        <v>0</v>
      </c>
      <c r="I93" s="74"/>
      <c r="J93" s="75"/>
      <c r="K93" s="74"/>
    </row>
    <row r="94" spans="1:11" ht="15" x14ac:dyDescent="0.2">
      <c r="A94" s="108"/>
      <c r="B94" s="107"/>
      <c r="C94" s="444"/>
      <c r="D94" s="105"/>
      <c r="E94" s="105"/>
      <c r="F94" s="106"/>
      <c r="G94" s="105"/>
      <c r="H94" s="104"/>
      <c r="I94" s="102"/>
      <c r="J94" s="103"/>
      <c r="K94" s="102"/>
    </row>
    <row r="95" spans="1:11" ht="15.75" x14ac:dyDescent="0.2">
      <c r="A95" s="101"/>
      <c r="B95" s="525" t="s">
        <v>720</v>
      </c>
      <c r="C95" s="526"/>
      <c r="D95" s="526"/>
      <c r="E95" s="526"/>
      <c r="F95" s="527"/>
      <c r="G95" s="100"/>
      <c r="H95" s="445"/>
      <c r="I95" s="98"/>
      <c r="J95" s="99"/>
      <c r="K95" s="446"/>
    </row>
    <row r="96" spans="1:11" ht="78.75" x14ac:dyDescent="0.2">
      <c r="A96" s="97" t="s">
        <v>238</v>
      </c>
      <c r="B96" s="95" t="s">
        <v>237</v>
      </c>
      <c r="C96" s="95" t="s">
        <v>0</v>
      </c>
      <c r="D96" s="96" t="s">
        <v>1</v>
      </c>
      <c r="E96" s="96" t="s">
        <v>166</v>
      </c>
      <c r="F96" s="95" t="s">
        <v>167</v>
      </c>
      <c r="G96" s="96" t="s">
        <v>236</v>
      </c>
      <c r="H96" s="96" t="s">
        <v>235</v>
      </c>
      <c r="I96" s="95" t="s">
        <v>170</v>
      </c>
      <c r="J96" s="95" t="s">
        <v>171</v>
      </c>
      <c r="K96" s="95" t="s">
        <v>234</v>
      </c>
    </row>
    <row r="97" spans="1:11" ht="30" x14ac:dyDescent="0.2">
      <c r="A97" s="447" t="s">
        <v>721</v>
      </c>
      <c r="B97" s="72" t="s">
        <v>722</v>
      </c>
      <c r="C97" s="91" t="s">
        <v>723</v>
      </c>
      <c r="D97" s="448">
        <f>1100000+288484-222165</f>
        <v>1166319</v>
      </c>
      <c r="E97" s="88">
        <v>702268</v>
      </c>
      <c r="F97" s="82" t="s">
        <v>231</v>
      </c>
      <c r="G97" s="88">
        <v>702268</v>
      </c>
      <c r="H97" s="77">
        <f>+E97-G97</f>
        <v>0</v>
      </c>
      <c r="I97" s="87" t="s">
        <v>229</v>
      </c>
      <c r="J97" s="90">
        <v>40482</v>
      </c>
      <c r="K97" s="90">
        <v>40557</v>
      </c>
    </row>
    <row r="98" spans="1:11" ht="30" x14ac:dyDescent="0.2">
      <c r="A98" s="447" t="s">
        <v>724</v>
      </c>
      <c r="B98" s="72" t="s">
        <v>725</v>
      </c>
      <c r="C98" s="91" t="s">
        <v>726</v>
      </c>
      <c r="D98" s="448">
        <f>1119250-75000</f>
        <v>1044250</v>
      </c>
      <c r="E98" s="88">
        <v>820000</v>
      </c>
      <c r="F98" s="82" t="s">
        <v>231</v>
      </c>
      <c r="G98" s="88">
        <v>820000</v>
      </c>
      <c r="H98" s="77">
        <f>+E98-G98</f>
        <v>0</v>
      </c>
      <c r="I98" s="87" t="s">
        <v>229</v>
      </c>
      <c r="J98" s="90">
        <v>40485</v>
      </c>
      <c r="K98" s="90">
        <v>40485</v>
      </c>
    </row>
    <row r="99" spans="1:11" ht="45" x14ac:dyDescent="0.2">
      <c r="A99" s="447" t="s">
        <v>727</v>
      </c>
      <c r="B99" s="72" t="s">
        <v>728</v>
      </c>
      <c r="C99" s="91" t="s">
        <v>729</v>
      </c>
      <c r="D99" s="448">
        <v>385043</v>
      </c>
      <c r="E99" s="88">
        <v>100876</v>
      </c>
      <c r="F99" s="82" t="s">
        <v>231</v>
      </c>
      <c r="G99" s="88">
        <v>100876</v>
      </c>
      <c r="H99" s="77">
        <f>+E99-G99</f>
        <v>0</v>
      </c>
      <c r="I99" s="87" t="s">
        <v>229</v>
      </c>
      <c r="J99" s="90">
        <v>39964</v>
      </c>
      <c r="K99" s="90">
        <v>39800</v>
      </c>
    </row>
    <row r="100" spans="1:11" ht="60" x14ac:dyDescent="0.2">
      <c r="A100" s="449" t="s">
        <v>730</v>
      </c>
      <c r="B100" s="72" t="s">
        <v>731</v>
      </c>
      <c r="C100" s="91" t="s">
        <v>732</v>
      </c>
      <c r="D100" s="448">
        <f>576856/0.8</f>
        <v>721070</v>
      </c>
      <c r="E100" s="88">
        <v>576856</v>
      </c>
      <c r="F100" s="82" t="s">
        <v>227</v>
      </c>
      <c r="G100" s="88">
        <v>576856</v>
      </c>
      <c r="H100" s="77">
        <f>+E100-G100</f>
        <v>0</v>
      </c>
      <c r="I100" s="87" t="s">
        <v>229</v>
      </c>
      <c r="J100" s="86">
        <v>39629</v>
      </c>
      <c r="K100" s="90">
        <v>39660</v>
      </c>
    </row>
    <row r="101" spans="1:11" ht="15.75" x14ac:dyDescent="0.2">
      <c r="A101" s="449"/>
      <c r="B101" s="91"/>
      <c r="C101" s="78" t="s">
        <v>225</v>
      </c>
      <c r="D101" s="448"/>
      <c r="E101" s="450">
        <f>SUM(E97:E100)</f>
        <v>2200000</v>
      </c>
      <c r="F101" s="82"/>
      <c r="G101" s="88"/>
      <c r="H101" s="76">
        <f>SUM(H97:H100)</f>
        <v>0</v>
      </c>
      <c r="I101" s="87"/>
      <c r="J101" s="86"/>
      <c r="K101" s="90"/>
    </row>
    <row r="102" spans="1:11" ht="15" x14ac:dyDescent="0.2">
      <c r="A102" s="451"/>
      <c r="B102" s="452"/>
      <c r="C102" s="453"/>
      <c r="D102" s="454"/>
      <c r="E102" s="454"/>
      <c r="F102" s="455"/>
      <c r="G102" s="454"/>
      <c r="H102" s="454"/>
      <c r="I102" s="456"/>
      <c r="J102" s="457"/>
      <c r="K102" s="456"/>
    </row>
    <row r="103" spans="1:11" ht="15.75" x14ac:dyDescent="0.2">
      <c r="A103" s="101"/>
      <c r="B103" s="525" t="s">
        <v>733</v>
      </c>
      <c r="C103" s="526"/>
      <c r="D103" s="526"/>
      <c r="E103" s="526"/>
      <c r="F103" s="527"/>
      <c r="G103" s="100"/>
      <c r="H103" s="100"/>
      <c r="I103" s="98"/>
      <c r="J103" s="99"/>
      <c r="K103" s="98"/>
    </row>
    <row r="104" spans="1:11" ht="78.75" x14ac:dyDescent="0.2">
      <c r="A104" s="97" t="s">
        <v>238</v>
      </c>
      <c r="B104" s="95" t="s">
        <v>237</v>
      </c>
      <c r="C104" s="95" t="s">
        <v>0</v>
      </c>
      <c r="D104" s="96" t="s">
        <v>1</v>
      </c>
      <c r="E104" s="96" t="s">
        <v>166</v>
      </c>
      <c r="F104" s="95" t="s">
        <v>167</v>
      </c>
      <c r="G104" s="96" t="s">
        <v>236</v>
      </c>
      <c r="H104" s="96" t="s">
        <v>235</v>
      </c>
      <c r="I104" s="95" t="s">
        <v>170</v>
      </c>
      <c r="J104" s="95" t="s">
        <v>171</v>
      </c>
      <c r="K104" s="95" t="s">
        <v>234</v>
      </c>
    </row>
    <row r="105" spans="1:11" ht="30" x14ac:dyDescent="0.2">
      <c r="A105" s="447" t="s">
        <v>734</v>
      </c>
      <c r="B105" s="72" t="s">
        <v>233</v>
      </c>
      <c r="C105" s="91" t="s">
        <v>735</v>
      </c>
      <c r="D105" s="88">
        <v>1100000</v>
      </c>
      <c r="E105" s="88">
        <v>880000</v>
      </c>
      <c r="F105" s="82" t="s">
        <v>736</v>
      </c>
      <c r="G105" s="88">
        <v>880000</v>
      </c>
      <c r="H105" s="77">
        <f t="shared" ref="H105:H115" si="7">+E105-G105</f>
        <v>0</v>
      </c>
      <c r="I105" s="87" t="s">
        <v>229</v>
      </c>
      <c r="J105" s="86">
        <v>39599</v>
      </c>
      <c r="K105" s="90">
        <v>39618</v>
      </c>
    </row>
    <row r="106" spans="1:11" ht="45" x14ac:dyDescent="0.2">
      <c r="A106" s="458" t="s">
        <v>737</v>
      </c>
      <c r="B106" s="94" t="s">
        <v>738</v>
      </c>
      <c r="C106" s="459" t="s">
        <v>739</v>
      </c>
      <c r="D106" s="442">
        <v>2589453</v>
      </c>
      <c r="E106" s="442">
        <v>0</v>
      </c>
      <c r="F106" s="93" t="s">
        <v>740</v>
      </c>
      <c r="G106" s="88">
        <v>0</v>
      </c>
      <c r="H106" s="77">
        <v>0</v>
      </c>
      <c r="I106" s="87" t="s">
        <v>741</v>
      </c>
      <c r="J106" s="406" t="s">
        <v>232</v>
      </c>
      <c r="K106" s="406" t="s">
        <v>232</v>
      </c>
    </row>
    <row r="107" spans="1:11" ht="30" x14ac:dyDescent="0.2">
      <c r="A107" s="447" t="s">
        <v>742</v>
      </c>
      <c r="B107" s="72" t="s">
        <v>743</v>
      </c>
      <c r="C107" s="91" t="s">
        <v>744</v>
      </c>
      <c r="D107" s="88">
        <v>138134</v>
      </c>
      <c r="E107" s="88">
        <v>110507</v>
      </c>
      <c r="F107" s="82" t="s">
        <v>736</v>
      </c>
      <c r="G107" s="88">
        <v>110507</v>
      </c>
      <c r="H107" s="77">
        <f t="shared" si="7"/>
        <v>0</v>
      </c>
      <c r="I107" s="87" t="s">
        <v>229</v>
      </c>
      <c r="J107" s="86">
        <v>39862</v>
      </c>
      <c r="K107" s="90">
        <v>39862</v>
      </c>
    </row>
    <row r="108" spans="1:11" ht="30" x14ac:dyDescent="0.2">
      <c r="A108" s="447" t="s">
        <v>745</v>
      </c>
      <c r="B108" s="72" t="s">
        <v>746</v>
      </c>
      <c r="C108" s="91" t="s">
        <v>747</v>
      </c>
      <c r="D108" s="88">
        <v>66677</v>
      </c>
      <c r="E108" s="88">
        <v>53341</v>
      </c>
      <c r="F108" s="82" t="s">
        <v>736</v>
      </c>
      <c r="G108" s="88">
        <v>53341</v>
      </c>
      <c r="H108" s="77">
        <f t="shared" si="7"/>
        <v>0</v>
      </c>
      <c r="I108" s="87" t="s">
        <v>229</v>
      </c>
      <c r="J108" s="90">
        <v>40226</v>
      </c>
      <c r="K108" s="90">
        <v>40226</v>
      </c>
    </row>
    <row r="109" spans="1:11" ht="15" x14ac:dyDescent="0.2">
      <c r="A109" s="447" t="s">
        <v>748</v>
      </c>
      <c r="B109" s="72" t="s">
        <v>749</v>
      </c>
      <c r="C109" s="91" t="s">
        <v>750</v>
      </c>
      <c r="D109" s="88">
        <v>50000</v>
      </c>
      <c r="E109" s="88">
        <v>40000</v>
      </c>
      <c r="F109" s="82" t="s">
        <v>736</v>
      </c>
      <c r="G109" s="88">
        <v>40000</v>
      </c>
      <c r="H109" s="77">
        <f t="shared" si="7"/>
        <v>0</v>
      </c>
      <c r="I109" s="87" t="s">
        <v>229</v>
      </c>
      <c r="J109" s="86">
        <v>39707</v>
      </c>
      <c r="K109" s="90">
        <v>39707</v>
      </c>
    </row>
    <row r="110" spans="1:11" ht="45" x14ac:dyDescent="0.2">
      <c r="A110" s="447" t="s">
        <v>751</v>
      </c>
      <c r="B110" s="72" t="s">
        <v>752</v>
      </c>
      <c r="C110" s="91" t="s">
        <v>753</v>
      </c>
      <c r="D110" s="88">
        <f>E110/0.8</f>
        <v>40267.5</v>
      </c>
      <c r="E110" s="88">
        <v>32214</v>
      </c>
      <c r="F110" s="82" t="s">
        <v>736</v>
      </c>
      <c r="G110" s="88">
        <v>32214</v>
      </c>
      <c r="H110" s="77">
        <f t="shared" si="7"/>
        <v>0</v>
      </c>
      <c r="I110" s="87" t="s">
        <v>229</v>
      </c>
      <c r="J110" s="86">
        <v>39538</v>
      </c>
      <c r="K110" s="90">
        <v>39582</v>
      </c>
    </row>
    <row r="111" spans="1:11" ht="45" x14ac:dyDescent="0.2">
      <c r="A111" s="447" t="s">
        <v>754</v>
      </c>
      <c r="B111" s="72" t="s">
        <v>755</v>
      </c>
      <c r="C111" s="91" t="s">
        <v>756</v>
      </c>
      <c r="D111" s="88">
        <v>500000</v>
      </c>
      <c r="E111" s="88">
        <v>163085</v>
      </c>
      <c r="F111" s="82" t="s">
        <v>740</v>
      </c>
      <c r="G111" s="88">
        <v>163085</v>
      </c>
      <c r="H111" s="88">
        <v>0</v>
      </c>
      <c r="I111" s="87" t="s">
        <v>229</v>
      </c>
      <c r="J111" s="86">
        <v>40543</v>
      </c>
      <c r="K111" s="90">
        <v>40142</v>
      </c>
    </row>
    <row r="112" spans="1:11" ht="30" x14ac:dyDescent="0.2">
      <c r="A112" s="447" t="s">
        <v>757</v>
      </c>
      <c r="B112" s="72" t="s">
        <v>230</v>
      </c>
      <c r="C112" s="91" t="s">
        <v>758</v>
      </c>
      <c r="D112" s="88">
        <v>587500</v>
      </c>
      <c r="E112" s="88">
        <v>220000</v>
      </c>
      <c r="F112" s="82" t="s">
        <v>740</v>
      </c>
      <c r="G112" s="88">
        <v>220000</v>
      </c>
      <c r="H112" s="77">
        <f t="shared" si="7"/>
        <v>0</v>
      </c>
      <c r="I112" s="87" t="s">
        <v>229</v>
      </c>
      <c r="J112" s="86">
        <v>39721</v>
      </c>
      <c r="K112" s="90">
        <v>39708</v>
      </c>
    </row>
    <row r="113" spans="1:11" ht="60" x14ac:dyDescent="0.2">
      <c r="A113" s="460" t="s">
        <v>730</v>
      </c>
      <c r="B113" s="461" t="s">
        <v>731</v>
      </c>
      <c r="C113" s="92" t="s">
        <v>759</v>
      </c>
      <c r="D113" s="462">
        <f>334498/0.8</f>
        <v>418122.5</v>
      </c>
      <c r="E113" s="462">
        <f>125413+177731</f>
        <v>303144</v>
      </c>
      <c r="F113" s="463" t="s">
        <v>227</v>
      </c>
      <c r="G113" s="462">
        <v>303144</v>
      </c>
      <c r="H113" s="462">
        <f t="shared" si="7"/>
        <v>0</v>
      </c>
      <c r="I113" s="464" t="s">
        <v>229</v>
      </c>
      <c r="J113" s="465">
        <v>39629</v>
      </c>
      <c r="K113" s="466">
        <v>39660</v>
      </c>
    </row>
    <row r="114" spans="1:11" ht="30" x14ac:dyDescent="0.2">
      <c r="A114" s="447" t="s">
        <v>721</v>
      </c>
      <c r="B114" s="72" t="s">
        <v>760</v>
      </c>
      <c r="C114" s="91" t="s">
        <v>761</v>
      </c>
      <c r="D114" s="77">
        <f>177732/0.8</f>
        <v>222165</v>
      </c>
      <c r="E114" s="77">
        <v>177732</v>
      </c>
      <c r="F114" s="82" t="s">
        <v>231</v>
      </c>
      <c r="G114" s="88">
        <v>177732</v>
      </c>
      <c r="H114" s="77">
        <f t="shared" si="7"/>
        <v>0</v>
      </c>
      <c r="I114" s="87" t="s">
        <v>229</v>
      </c>
      <c r="J114" s="90">
        <v>40482</v>
      </c>
      <c r="K114" s="90">
        <v>40557</v>
      </c>
    </row>
    <row r="115" spans="1:11" ht="30" x14ac:dyDescent="0.2">
      <c r="A115" s="447" t="s">
        <v>724</v>
      </c>
      <c r="B115" s="72" t="s">
        <v>746</v>
      </c>
      <c r="C115" s="91" t="s">
        <v>762</v>
      </c>
      <c r="D115" s="77">
        <f>60000/0.8</f>
        <v>75000</v>
      </c>
      <c r="E115" s="77">
        <v>60000</v>
      </c>
      <c r="F115" s="82" t="s">
        <v>227</v>
      </c>
      <c r="G115" s="88">
        <v>60000</v>
      </c>
      <c r="H115" s="77">
        <f t="shared" si="7"/>
        <v>0</v>
      </c>
      <c r="I115" s="87" t="s">
        <v>229</v>
      </c>
      <c r="J115" s="90">
        <v>40485</v>
      </c>
      <c r="K115" s="90">
        <v>40485</v>
      </c>
    </row>
    <row r="116" spans="1:11" ht="30" x14ac:dyDescent="0.2">
      <c r="A116" s="447">
        <v>10483</v>
      </c>
      <c r="B116" s="72" t="s">
        <v>230</v>
      </c>
      <c r="C116" s="89" t="s">
        <v>763</v>
      </c>
      <c r="D116" s="77">
        <f>E116/0.8</f>
        <v>82053.75</v>
      </c>
      <c r="E116" s="77">
        <f>39537+26106</f>
        <v>65643</v>
      </c>
      <c r="F116" s="82" t="s">
        <v>740</v>
      </c>
      <c r="G116" s="88">
        <v>65643</v>
      </c>
      <c r="H116" s="77">
        <f>+E116-G116</f>
        <v>0</v>
      </c>
      <c r="I116" s="87" t="s">
        <v>229</v>
      </c>
      <c r="J116" s="86">
        <v>40017</v>
      </c>
      <c r="K116" s="86">
        <v>40017</v>
      </c>
    </row>
    <row r="117" spans="1:11" ht="30" x14ac:dyDescent="0.2">
      <c r="A117" s="66">
        <v>11760</v>
      </c>
      <c r="B117" s="67" t="s">
        <v>228</v>
      </c>
      <c r="C117" s="79" t="s">
        <v>764</v>
      </c>
      <c r="D117" s="85">
        <f>+E117/0.8</f>
        <v>71773.75</v>
      </c>
      <c r="E117" s="85">
        <v>57419</v>
      </c>
      <c r="F117" s="82" t="s">
        <v>227</v>
      </c>
      <c r="G117" s="88">
        <v>57419</v>
      </c>
      <c r="H117" s="77">
        <f>+E117-G117</f>
        <v>0</v>
      </c>
      <c r="I117" s="87" t="s">
        <v>229</v>
      </c>
      <c r="J117" s="86">
        <v>41319</v>
      </c>
      <c r="K117" s="86">
        <v>41319</v>
      </c>
    </row>
    <row r="118" spans="1:11" ht="30" x14ac:dyDescent="0.2">
      <c r="A118" s="441">
        <v>13417</v>
      </c>
      <c r="B118" s="84" t="s">
        <v>208</v>
      </c>
      <c r="C118" s="84" t="s">
        <v>765</v>
      </c>
      <c r="D118" s="83">
        <v>46143.75</v>
      </c>
      <c r="E118" s="81">
        <v>36915</v>
      </c>
      <c r="F118" s="82" t="s">
        <v>226</v>
      </c>
      <c r="G118" s="281">
        <v>36915</v>
      </c>
      <c r="H118" s="77">
        <f>+E118-G118</f>
        <v>0</v>
      </c>
      <c r="I118" s="87" t="s">
        <v>229</v>
      </c>
      <c r="J118" s="70">
        <v>41407</v>
      </c>
      <c r="K118" s="70">
        <v>41407</v>
      </c>
    </row>
    <row r="119" spans="1:11" ht="15.75" x14ac:dyDescent="0.2">
      <c r="A119" s="80"/>
      <c r="B119" s="79"/>
      <c r="C119" s="78" t="s">
        <v>225</v>
      </c>
      <c r="D119" s="77"/>
      <c r="E119" s="76">
        <f>SUM(E105:E117)+E118</f>
        <v>2200000</v>
      </c>
      <c r="F119" s="74"/>
      <c r="G119" s="76"/>
      <c r="H119" s="76">
        <f>SUM(H105:H118)</f>
        <v>0</v>
      </c>
      <c r="I119" s="74"/>
      <c r="J119" s="75"/>
      <c r="K119" s="74"/>
    </row>
  </sheetData>
  <mergeCells count="27">
    <mergeCell ref="I52:J52"/>
    <mergeCell ref="A2:E2"/>
    <mergeCell ref="F2:G2"/>
    <mergeCell ref="H2:I2"/>
    <mergeCell ref="J2:K2"/>
    <mergeCell ref="A11:E11"/>
    <mergeCell ref="F11:G11"/>
    <mergeCell ref="H11:I11"/>
    <mergeCell ref="J11:K11"/>
    <mergeCell ref="H20:I20"/>
    <mergeCell ref="J20:K20"/>
    <mergeCell ref="A41:E41"/>
    <mergeCell ref="F41:G41"/>
    <mergeCell ref="H41:I41"/>
    <mergeCell ref="J41:K41"/>
    <mergeCell ref="A33:E33"/>
    <mergeCell ref="F33:G33"/>
    <mergeCell ref="H33:I33"/>
    <mergeCell ref="J33:K33"/>
    <mergeCell ref="B64:F64"/>
    <mergeCell ref="B80:F80"/>
    <mergeCell ref="B95:F95"/>
    <mergeCell ref="B103:F103"/>
    <mergeCell ref="A20:E20"/>
    <mergeCell ref="F20:G20"/>
    <mergeCell ref="B52:F52"/>
    <mergeCell ref="G52:H52"/>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GAVI </vt:lpstr>
      <vt:lpstr>CSVI</vt:lpstr>
      <vt:lpstr>SRT</vt:lpstr>
      <vt:lpstr>RRLGP</vt:lpstr>
      <vt:lpstr>Rail Port FY 2011</vt:lpstr>
      <vt:lpstr>Passenger Rail</vt:lpstr>
      <vt:lpstr>PTIG</vt:lpstr>
    </vt:vector>
  </TitlesOfParts>
  <Company>Iowa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Administrator</cp:lastModifiedBy>
  <cp:lastPrinted>2015-01-14T18:22:09Z</cp:lastPrinted>
  <dcterms:created xsi:type="dcterms:W3CDTF">2006-11-27T14:03:20Z</dcterms:created>
  <dcterms:modified xsi:type="dcterms:W3CDTF">2016-01-15T19:28:07Z</dcterms:modified>
</cp:coreProperties>
</file>