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3035" windowHeight="10980" tabRatio="914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C66" i="12" l="1"/>
  <c r="C62" i="12"/>
  <c r="B54" i="12"/>
  <c r="B53" i="12"/>
  <c r="D45" i="12"/>
  <c r="B45" i="12"/>
  <c r="B40" i="12"/>
  <c r="D39" i="12"/>
  <c r="B39" i="12"/>
  <c r="B31" i="12"/>
  <c r="B38" i="12"/>
  <c r="D29" i="12"/>
  <c r="B29" i="12"/>
  <c r="D27" i="12"/>
  <c r="B27" i="12"/>
  <c r="D20" i="12"/>
  <c r="B20" i="12"/>
  <c r="B19" i="12"/>
  <c r="D18" i="12"/>
  <c r="B18" i="12"/>
  <c r="B12" i="12"/>
  <c r="B11" i="12"/>
  <c r="B54" i="11"/>
  <c r="B45" i="11"/>
  <c r="B27" i="11"/>
  <c r="B20" i="11"/>
  <c r="B12" i="11"/>
  <c r="B19" i="11"/>
  <c r="B18" i="11"/>
  <c r="D53" i="12" l="1"/>
  <c r="D38" i="12"/>
  <c r="B21" i="12"/>
  <c r="D21" i="12"/>
  <c r="B9" i="12"/>
  <c r="C64" i="12"/>
  <c r="D31" i="12" l="1"/>
  <c r="C66" i="11" l="1"/>
  <c r="C62" i="11"/>
  <c r="B39" i="11"/>
  <c r="D38" i="11"/>
  <c r="B37" i="11"/>
  <c r="B31" i="11"/>
  <c r="B30" i="11"/>
  <c r="B29" i="11"/>
  <c r="D27" i="11"/>
  <c r="D19" i="11"/>
  <c r="D18" i="11"/>
  <c r="C66" i="10"/>
  <c r="C62" i="10"/>
  <c r="B54" i="10"/>
  <c r="B53" i="10"/>
  <c r="D45" i="10"/>
  <c r="B45" i="10"/>
  <c r="B39" i="10"/>
  <c r="B37" i="10"/>
  <c r="B31" i="10"/>
  <c r="D29" i="10"/>
  <c r="B29" i="10"/>
  <c r="D27" i="10"/>
  <c r="B27" i="10"/>
  <c r="B19" i="10"/>
  <c r="D18" i="10"/>
  <c r="B18" i="10"/>
  <c r="B12" i="10"/>
  <c r="C66" i="9"/>
  <c r="C62" i="9"/>
  <c r="B54" i="9"/>
  <c r="D45" i="9"/>
  <c r="B45" i="9"/>
  <c r="B39" i="9"/>
  <c r="B37" i="9"/>
  <c r="B31" i="9"/>
  <c r="D29" i="9"/>
  <c r="B29" i="9"/>
  <c r="D27" i="9"/>
  <c r="B27" i="9"/>
  <c r="D20" i="9"/>
  <c r="B19" i="9"/>
  <c r="D18" i="9"/>
  <c r="B18" i="9"/>
  <c r="B12" i="9"/>
  <c r="C66" i="8"/>
  <c r="C62" i="8"/>
  <c r="B54" i="8"/>
  <c r="D53" i="8"/>
  <c r="B53" i="8"/>
  <c r="B45" i="8"/>
  <c r="B37" i="8"/>
  <c r="B31" i="8"/>
  <c r="D29" i="8"/>
  <c r="B29" i="8"/>
  <c r="D27" i="8"/>
  <c r="B27" i="8"/>
  <c r="B20" i="8"/>
  <c r="B19" i="8"/>
  <c r="D18" i="8"/>
  <c r="B18" i="8"/>
  <c r="B12" i="8"/>
  <c r="C67" i="7"/>
  <c r="C66" i="7"/>
  <c r="C62" i="7"/>
  <c r="B54" i="7"/>
  <c r="B53" i="7"/>
  <c r="D45" i="7"/>
  <c r="B45" i="7"/>
  <c r="B42" i="7"/>
  <c r="B39" i="7"/>
  <c r="B37" i="7"/>
  <c r="B31" i="7"/>
  <c r="D29" i="7"/>
  <c r="B29" i="7"/>
  <c r="D27" i="7"/>
  <c r="B27" i="7"/>
  <c r="D20" i="7"/>
  <c r="B20" i="7"/>
  <c r="B19" i="7"/>
  <c r="B18" i="7"/>
  <c r="D18" i="7"/>
  <c r="B12" i="7"/>
  <c r="C66" i="6"/>
  <c r="C62" i="6"/>
  <c r="B54" i="6"/>
  <c r="B53" i="6"/>
  <c r="D45" i="6"/>
  <c r="B45" i="6"/>
  <c r="B39" i="6"/>
  <c r="B37" i="6"/>
  <c r="B31" i="6"/>
  <c r="B29" i="6"/>
  <c r="D27" i="6"/>
  <c r="B27" i="6"/>
  <c r="B26" i="6"/>
  <c r="D20" i="6"/>
  <c r="B20" i="6"/>
  <c r="B19" i="6"/>
  <c r="D18" i="6"/>
  <c r="B18" i="6"/>
  <c r="B12" i="6"/>
  <c r="B40" i="10" l="1"/>
  <c r="B28" i="10"/>
  <c r="B20" i="10"/>
  <c r="B40" i="9"/>
  <c r="B28" i="9"/>
  <c r="B20" i="9"/>
  <c r="B40" i="8"/>
  <c r="B28" i="8"/>
  <c r="B47" i="7"/>
  <c r="B40" i="7"/>
  <c r="B28" i="7"/>
  <c r="B16" i="7"/>
  <c r="B47" i="6"/>
  <c r="B40" i="6"/>
  <c r="B16" i="6"/>
  <c r="C66" i="5"/>
  <c r="C64" i="5"/>
  <c r="C62" i="5"/>
  <c r="D45" i="5"/>
  <c r="B45" i="5"/>
  <c r="B40" i="5"/>
  <c r="B31" i="5"/>
  <c r="D29" i="5"/>
  <c r="B29" i="5"/>
  <c r="D27" i="5"/>
  <c r="B27" i="5"/>
  <c r="D20" i="5"/>
  <c r="B20" i="5"/>
  <c r="D19" i="5"/>
  <c r="B19" i="5"/>
  <c r="B18" i="5"/>
  <c r="B12" i="5"/>
  <c r="C66" i="3"/>
  <c r="C63" i="3"/>
  <c r="C62" i="3"/>
  <c r="B53" i="3"/>
  <c r="B47" i="3"/>
  <c r="D45" i="3"/>
  <c r="B45" i="3"/>
  <c r="B40" i="3"/>
  <c r="B39" i="3"/>
  <c r="B31" i="3"/>
  <c r="B29" i="3"/>
  <c r="D27" i="3"/>
  <c r="B27" i="3"/>
  <c r="B21" i="3"/>
  <c r="D20" i="3"/>
  <c r="B20" i="3"/>
  <c r="B19" i="3"/>
  <c r="D18" i="3"/>
  <c r="B18" i="3"/>
  <c r="B12" i="3"/>
  <c r="C66" i="2"/>
  <c r="C62" i="2"/>
  <c r="B53" i="2"/>
  <c r="B47" i="2"/>
  <c r="D45" i="2"/>
  <c r="B45" i="2"/>
  <c r="B40" i="2"/>
  <c r="B39" i="2"/>
  <c r="D31" i="2"/>
  <c r="B31" i="2"/>
  <c r="B29" i="2"/>
  <c r="D27" i="2"/>
  <c r="B27" i="2"/>
  <c r="B26" i="2"/>
  <c r="B20" i="2"/>
  <c r="D19" i="2"/>
  <c r="D18" i="2"/>
  <c r="B18" i="2"/>
  <c r="B12" i="2"/>
  <c r="C67" i="1"/>
  <c r="C66" i="1"/>
  <c r="C62" i="1"/>
  <c r="B53" i="1"/>
  <c r="D45" i="1"/>
  <c r="B45" i="1"/>
  <c r="B40" i="1"/>
  <c r="B39" i="1"/>
  <c r="B38" i="1"/>
  <c r="B31" i="1"/>
  <c r="B29" i="1"/>
  <c r="D27" i="1"/>
  <c r="B27" i="1"/>
  <c r="D20" i="1"/>
  <c r="B20" i="1"/>
  <c r="B19" i="1"/>
  <c r="D18" i="1"/>
  <c r="B18" i="1"/>
  <c r="B12" i="1"/>
  <c r="C66" i="4"/>
  <c r="C62" i="4"/>
  <c r="B47" i="4"/>
  <c r="D45" i="4"/>
  <c r="B45" i="4"/>
  <c r="B40" i="4"/>
  <c r="B39" i="4"/>
  <c r="B31" i="4"/>
  <c r="B29" i="4"/>
  <c r="B27" i="4"/>
  <c r="B20" i="4"/>
  <c r="B19" i="4"/>
  <c r="D18" i="4"/>
  <c r="B18" i="4"/>
  <c r="B12" i="4"/>
  <c r="B40" i="11"/>
  <c r="E11" i="6" l="1"/>
  <c r="F27" i="12" l="1"/>
  <c r="B53" i="11" l="1"/>
  <c r="B21" i="11"/>
  <c r="B9" i="11"/>
  <c r="B7" i="11"/>
  <c r="D31" i="11"/>
  <c r="C64" i="11"/>
  <c r="C63" i="11"/>
  <c r="D20" i="11" l="1"/>
  <c r="D38" i="10" l="1"/>
  <c r="B21" i="10"/>
  <c r="B9" i="10"/>
  <c r="B7" i="10"/>
  <c r="C64" i="10" l="1"/>
  <c r="D31" i="10"/>
  <c r="C63" i="10" l="1"/>
  <c r="B53" i="9" l="1"/>
  <c r="D53" i="9"/>
  <c r="D42" i="9"/>
  <c r="D21" i="9"/>
  <c r="B21" i="9"/>
  <c r="B9" i="9" l="1"/>
  <c r="C64" i="9" l="1"/>
  <c r="D31" i="9"/>
  <c r="C63" i="9" l="1"/>
  <c r="D19" i="9" l="1"/>
  <c r="D38" i="8" l="1"/>
  <c r="D10" i="8"/>
  <c r="B21" i="8"/>
  <c r="B10" i="8"/>
  <c r="B9" i="8"/>
  <c r="B7" i="8"/>
  <c r="D31" i="8" l="1"/>
  <c r="C64" i="8"/>
  <c r="C63" i="8" l="1"/>
  <c r="D47" i="8" l="1"/>
  <c r="D28" i="7" l="1"/>
  <c r="B21" i="7"/>
  <c r="D21" i="7"/>
  <c r="B10" i="7"/>
  <c r="B9" i="7"/>
  <c r="D10" i="7"/>
  <c r="D31" i="7" l="1"/>
  <c r="C63" i="7" l="1"/>
  <c r="C64" i="7"/>
  <c r="D19" i="7" l="1"/>
  <c r="B42" i="6" l="1"/>
  <c r="B36" i="6"/>
  <c r="B21" i="6"/>
  <c r="B10" i="6"/>
  <c r="B9" i="6"/>
  <c r="B8" i="6"/>
  <c r="B7" i="6"/>
  <c r="D38" i="6"/>
  <c r="D21" i="6"/>
  <c r="C63" i="6" l="1"/>
  <c r="C64" i="6"/>
  <c r="F27" i="6"/>
  <c r="D31" i="6"/>
  <c r="D51" i="6" l="1"/>
  <c r="B53" i="5" l="1"/>
  <c r="D38" i="5"/>
  <c r="B9" i="5"/>
  <c r="D31" i="5"/>
  <c r="D47" i="5"/>
  <c r="C63" i="5"/>
  <c r="D51" i="5" l="1"/>
  <c r="D21" i="5" l="1"/>
  <c r="B53" i="4" l="1"/>
  <c r="B21" i="4"/>
  <c r="B9" i="4"/>
  <c r="B7" i="4"/>
  <c r="D53" i="4"/>
  <c r="D31" i="4" l="1"/>
  <c r="C63" i="4" l="1"/>
  <c r="C64" i="4" l="1"/>
  <c r="B50" i="3" l="1"/>
  <c r="B9" i="3"/>
  <c r="D9" i="3"/>
  <c r="D31" i="3" l="1"/>
  <c r="C64" i="3" l="1"/>
  <c r="D53" i="2" l="1"/>
  <c r="B21" i="2"/>
  <c r="B9" i="2"/>
  <c r="B7" i="2"/>
  <c r="C64" i="2" l="1"/>
  <c r="C63" i="2" l="1"/>
  <c r="B21" i="1" l="1"/>
  <c r="B9" i="1"/>
  <c r="D53" i="1"/>
  <c r="D21" i="1"/>
  <c r="D19" i="1"/>
  <c r="C63" i="1"/>
  <c r="D31" i="1"/>
  <c r="F29" i="1" l="1"/>
  <c r="C64" i="1" l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3" i="9" l="1"/>
  <c r="D63" i="10" s="1"/>
  <c r="D63" i="11" s="1"/>
  <c r="D63" i="12" s="1"/>
  <c r="D66" i="2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  <c r="C19" i="11" l="1"/>
  <c r="C19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<sst xmlns="http://schemas.openxmlformats.org/spreadsheetml/2006/main" count="900" uniqueCount="80">
  <si>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</si>
  <si>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</si>
  <si>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</si>
  <si>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</si>
  <si>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</si>
  <si>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</si>
  <si>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</si>
  <si>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</si>
  <si>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</si>
  <si>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</si>
  <si>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</si>
  <si>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</si>
  <si>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</si>
  <si>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</si>
  <si>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</si>
  <si>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</si>
  <si>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</si>
  <si>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</si>
  <si>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</si>
  <si>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</si>
  <si>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</si>
  <si>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</si>
  <si>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</si>
  <si>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</si>
  <si>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</si>
  <si>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</si>
  <si>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</si>
  <si>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</si>
  <si>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</si>
  <si>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</si>
  <si>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</si>
  <si>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</si>
  <si>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</si>
  <si>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</si>
  <si>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</si>
  <si>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</si>
  <si>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</si>
  <si>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</si>
  <si>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</si>
  <si>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</si>
  <si>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</si>
  <si>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</si>
  <si>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</si>
  <si>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</si>
  <si>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</si>
  <si>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</si>
  <si>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</si>
  <si>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</si>
  <si>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</si>
  <si>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</si>
  <si>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</si>
  <si>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</si>
  <si>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</si>
  <si>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</si>
  <si>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</si>
  <si>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</si>
  <si>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</si>
  <si>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</si>
  <si>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</si>
  <si>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</si>
  <si>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</si>
  <si>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</si>
  <si>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</si>
  <si>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</si>
  <si>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</si>
  <si>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</si>
  <si>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</si>
  <si>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</si>
  <si>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</si>
  <si>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</si>
  <si>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</si>
  <si>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</si>
  <si>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</si>
  <si>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</si>
  <si>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</si>
  <si>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</si>
  <si>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</si>
  <si>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</si>
  <si>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 xml:space="preserve">                      2014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</si>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</sst>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5" fillId="0" borderId="6" xfId="0" applyFont="1" applyBorder="1" applyAlignment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18" fillId="0" borderId="6" xfId="0" applyFont="1" applyBorder="1" applyAlignment="1">
      <alignment horizontal="center" vertical="center"/>
    </xf>
    <xf numFmtId="37" fontId="18" fillId="0" borderId="6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0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1" fillId="0" borderId="6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9" fillId="0" borderId="2" xfId="0" applyFont="1" applyBorder="1"/>
    <xf numFmtId="0" fontId="21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6" xfId="0" applyNumberFormat="1" applyFont="1" applyBorder="1" applyAlignment="1" applyProtection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37" fontId="9" fillId="4" borderId="9" xfId="0" applyNumberFormat="1" applyFont="1" applyFill="1" applyBorder="1" applyAlignment="1" applyProtection="1">
      <alignment horizontal="center"/>
    </xf>
    <xf numFmtId="37" fontId="9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1" customWidth="1"/>
    <col min="2" max="2" width="13.6640625" style="47" customWidth="1"/>
    <col min="3" max="4" width="13.77734375" style="47" customWidth="1"/>
    <col min="5" max="6" width="12.6640625" style="47" customWidth="1"/>
    <col min="7" max="7" width="12.77734375" style="47" customWidth="1"/>
    <col min="8" max="16384" width="11.77734375" style="47"/>
  </cols>
  <sheetData>
    <row r="1" spans="1:256" ht="0.75" customHeight="1" x14ac:dyDescent="0.25">
      <c r="I1" s="61"/>
    </row>
    <row r="2" spans="1:256" ht="23.25" x14ac:dyDescent="0.35">
      <c r="A2" s="3" t="s">
        <v>78</v>
      </c>
      <c r="B2" s="62"/>
      <c r="D2" s="62"/>
      <c r="F2" s="63" t="s">
        <v>66</v>
      </c>
      <c r="I2" s="61"/>
    </row>
    <row r="3" spans="1:256" ht="23.25" x14ac:dyDescent="0.35">
      <c r="A3" s="3"/>
      <c r="B3" s="62"/>
      <c r="D3" s="62"/>
      <c r="F3" s="47" t="s">
        <v>79</v>
      </c>
      <c r="I3" s="61"/>
    </row>
    <row r="4" spans="1:256" ht="16.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/>
      <c r="C7" s="24">
        <f t="shared" ref="C7:C54" si="0">B7</f>
        <v>0</v>
      </c>
      <c r="D7" s="79"/>
      <c r="E7" s="24">
        <f t="shared" ref="E7:E39" si="1">D7</f>
        <v>0</v>
      </c>
      <c r="F7" s="24"/>
      <c r="G7" s="24">
        <f t="shared" ref="G7:G55" si="2">+F7</f>
        <v>0</v>
      </c>
    </row>
    <row r="8" spans="1:256" x14ac:dyDescent="0.2">
      <c r="A8" s="41" t="s">
        <v>64</v>
      </c>
      <c r="B8" s="77"/>
      <c r="C8" s="24">
        <f t="shared" si="0"/>
        <v>0</v>
      </c>
      <c r="D8" s="79"/>
      <c r="E8" s="24">
        <f t="shared" si="1"/>
        <v>0</v>
      </c>
      <c r="F8" s="24"/>
      <c r="G8" s="24">
        <f t="shared" si="2"/>
        <v>0</v>
      </c>
    </row>
    <row r="9" spans="1:256" x14ac:dyDescent="0.2">
      <c r="A9" s="41" t="s">
        <v>7</v>
      </c>
      <c r="B9" s="77">
        <f>450+380+800+500+800+500+500+750+650+360+450+800+1050+900+1250+1050+1050+1050+450+600+1050+1050</f>
        <v>16440</v>
      </c>
      <c r="C9" s="24">
        <f t="shared" si="0"/>
        <v>16440</v>
      </c>
      <c r="D9" s="79"/>
      <c r="E9" s="24">
        <f t="shared" si="1"/>
        <v>0</v>
      </c>
      <c r="F9" s="24"/>
      <c r="G9" s="24">
        <f t="shared" si="2"/>
        <v>0</v>
      </c>
    </row>
    <row r="10" spans="1:256" x14ac:dyDescent="0.2">
      <c r="A10" s="41" t="s">
        <v>8</v>
      </c>
      <c r="B10" s="77"/>
      <c r="C10" s="24">
        <f t="shared" si="0"/>
        <v>0</v>
      </c>
      <c r="D10" s="79"/>
      <c r="E10" s="24">
        <f t="shared" si="1"/>
        <v>0</v>
      </c>
      <c r="F10" s="24"/>
      <c r="G10" s="24">
        <f t="shared" si="2"/>
        <v>0</v>
      </c>
    </row>
    <row r="11" spans="1:256" x14ac:dyDescent="0.2">
      <c r="A11" s="86" t="s">
        <v>52</v>
      </c>
      <c r="B11" s="77">
        <v>263906</v>
      </c>
      <c r="C11" s="24">
        <f>B11</f>
        <v>263906</v>
      </c>
      <c r="D11" s="79">
        <v>1103</v>
      </c>
      <c r="E11" s="24">
        <f>D11</f>
        <v>1103</v>
      </c>
      <c r="F11" s="24">
        <v>9615</v>
      </c>
      <c r="G11" s="85">
        <f>+F11</f>
        <v>9615</v>
      </c>
    </row>
    <row r="12" spans="1:256" x14ac:dyDescent="0.2">
      <c r="A12" s="41" t="s">
        <v>9</v>
      </c>
      <c r="B12" s="77">
        <f>800+800+1870+300+1200+1200+2060+2156+1930+1942+2060+1680+1980+2000+2000+330+449+500+480+570+2289+2136+2294+47340</f>
        <v>80366</v>
      </c>
      <c r="C12" s="24">
        <f t="shared" si="0"/>
        <v>80366</v>
      </c>
      <c r="D12" s="79">
        <v>900</v>
      </c>
      <c r="E12" s="24">
        <f t="shared" si="1"/>
        <v>900</v>
      </c>
      <c r="F12" s="24"/>
      <c r="G12" s="24">
        <f t="shared" si="2"/>
        <v>0</v>
      </c>
    </row>
    <row r="13" spans="1:256" x14ac:dyDescent="0.2">
      <c r="A13" s="41" t="s">
        <v>10</v>
      </c>
      <c r="B13" s="77"/>
      <c r="C13" s="24">
        <f t="shared" si="0"/>
        <v>0</v>
      </c>
      <c r="D13" s="79"/>
      <c r="E13" s="24">
        <f t="shared" si="1"/>
        <v>0</v>
      </c>
      <c r="F13" s="24"/>
      <c r="G13" s="24">
        <f t="shared" si="2"/>
        <v>0</v>
      </c>
    </row>
    <row r="14" spans="1:256" x14ac:dyDescent="0.2">
      <c r="A14" s="41" t="s">
        <v>11</v>
      </c>
      <c r="B14" s="77"/>
      <c r="C14" s="24">
        <f t="shared" si="0"/>
        <v>0</v>
      </c>
      <c r="D14" s="79"/>
      <c r="E14" s="24">
        <f t="shared" si="1"/>
        <v>0</v>
      </c>
      <c r="F14" s="24"/>
      <c r="G14" s="24">
        <f t="shared" si="2"/>
        <v>0</v>
      </c>
    </row>
    <row r="15" spans="1:256" x14ac:dyDescent="0.2">
      <c r="A15" s="41" t="s">
        <v>12</v>
      </c>
      <c r="B15" s="77"/>
      <c r="C15" s="24">
        <f t="shared" si="0"/>
        <v>0</v>
      </c>
      <c r="D15" s="79">
        <v>1</v>
      </c>
      <c r="E15" s="24">
        <f t="shared" si="1"/>
        <v>1</v>
      </c>
      <c r="F15" s="24"/>
      <c r="G15" s="24">
        <f t="shared" si="2"/>
        <v>0</v>
      </c>
    </row>
    <row r="16" spans="1:256" x14ac:dyDescent="0.2">
      <c r="A16" s="41" t="s">
        <v>13</v>
      </c>
      <c r="B16" s="77"/>
      <c r="C16" s="24">
        <f t="shared" si="0"/>
        <v>0</v>
      </c>
      <c r="D16" s="79"/>
      <c r="E16" s="24">
        <f t="shared" si="1"/>
        <v>0</v>
      </c>
      <c r="F16" s="24"/>
      <c r="G16" s="24">
        <f t="shared" si="2"/>
        <v>0</v>
      </c>
    </row>
    <row r="17" spans="1:7" x14ac:dyDescent="0.2">
      <c r="A17" s="41" t="s">
        <v>14</v>
      </c>
      <c r="B17" s="77"/>
      <c r="C17" s="24">
        <f t="shared" si="0"/>
        <v>0</v>
      </c>
      <c r="D17" s="79"/>
      <c r="E17" s="24">
        <f t="shared" si="1"/>
        <v>0</v>
      </c>
      <c r="F17" s="24"/>
      <c r="G17" s="24">
        <f t="shared" si="2"/>
        <v>0</v>
      </c>
    </row>
    <row r="18" spans="1:7" x14ac:dyDescent="0.2">
      <c r="A18" s="41" t="s">
        <v>15</v>
      </c>
      <c r="B18" s="77">
        <f>811+320+1200+1200+1200+1450+1450+900+1050+2+1+380+240+710+738+676+738+1929+709+390+250+280+230+350+1450+810+450+1450+540+180+300+300+280+300+300+370+400+350+1260+1100+1100+1260+385+410+410+400+285+1800+820+1250+1450+400+300+1302+1303+900+3+400+260+400+400+260+260+400+650+750+1499+320+810+1250+1450+552+553+553+553+615+615+635+643+1327+700+1300+1300+1000+1000+1000+1200+1200+1000+1060+1060+790+400+400+275+275+410+100+1600+1600+817+400+300+634+1166+1230+1230+290+280+285+400+400+400+400+1200+1250+275+300+1200+800+400+300+388+777+1166+720+600+1550+1500+383401</f>
        <v>477706</v>
      </c>
      <c r="C18" s="24">
        <f>B18</f>
        <v>477706</v>
      </c>
      <c r="D18" s="79">
        <f>110+15+160+3354</f>
        <v>3639</v>
      </c>
      <c r="E18" s="24">
        <f t="shared" si="1"/>
        <v>3639</v>
      </c>
      <c r="F18" s="24"/>
      <c r="G18" s="24">
        <f t="shared" si="2"/>
        <v>0</v>
      </c>
    </row>
    <row r="19" spans="1:7" x14ac:dyDescent="0.2">
      <c r="A19" s="41" t="s">
        <v>16</v>
      </c>
      <c r="B19" s="77">
        <f>50+1200+32274</f>
        <v>33524</v>
      </c>
      <c r="C19" s="24">
        <f t="shared" si="0"/>
        <v>33524</v>
      </c>
      <c r="D19" s="79">
        <f>3+2</f>
        <v>5</v>
      </c>
      <c r="E19" s="24">
        <f t="shared" si="1"/>
        <v>5</v>
      </c>
      <c r="F19" s="24"/>
      <c r="G19" s="24">
        <f t="shared" si="2"/>
        <v>0</v>
      </c>
    </row>
    <row r="20" spans="1:7" x14ac:dyDescent="0.2">
      <c r="A20" s="41" t="s">
        <v>17</v>
      </c>
      <c r="B20" s="77">
        <f>475+345+600+80+80+80+155+206+5278</f>
        <v>7299</v>
      </c>
      <c r="C20" s="24">
        <f t="shared" si="0"/>
        <v>7299</v>
      </c>
      <c r="D20" s="79">
        <f>6+7+919</f>
        <v>932</v>
      </c>
      <c r="E20" s="24">
        <f t="shared" si="1"/>
        <v>932</v>
      </c>
      <c r="F20" s="24"/>
      <c r="G20" s="24">
        <f t="shared" si="2"/>
        <v>0</v>
      </c>
    </row>
    <row r="21" spans="1:7" x14ac:dyDescent="0.2">
      <c r="A21" s="41" t="s">
        <v>18</v>
      </c>
      <c r="B21" s="77">
        <f>1482+1325+1050+450+450</f>
        <v>4757</v>
      </c>
      <c r="C21" s="24">
        <f t="shared" si="0"/>
        <v>4757</v>
      </c>
      <c r="D21" s="79">
        <f>320+102</f>
        <v>422</v>
      </c>
      <c r="E21" s="24">
        <f t="shared" si="1"/>
        <v>422</v>
      </c>
      <c r="F21" s="24"/>
      <c r="G21" s="24">
        <f t="shared" si="2"/>
        <v>0</v>
      </c>
    </row>
    <row r="22" spans="1:7" x14ac:dyDescent="0.2">
      <c r="A22" s="41" t="s">
        <v>19</v>
      </c>
      <c r="B22" s="77"/>
      <c r="C22" s="24">
        <f t="shared" si="0"/>
        <v>0</v>
      </c>
      <c r="D22" s="79"/>
      <c r="E22" s="24">
        <f t="shared" si="1"/>
        <v>0</v>
      </c>
      <c r="F22" s="24"/>
      <c r="G22" s="24">
        <f t="shared" si="2"/>
        <v>0</v>
      </c>
    </row>
    <row r="23" spans="1:7" x14ac:dyDescent="0.2">
      <c r="A23" s="41" t="s">
        <v>20</v>
      </c>
      <c r="B23" s="77"/>
      <c r="C23" s="24">
        <f t="shared" si="0"/>
        <v>0</v>
      </c>
      <c r="D23" s="79"/>
      <c r="E23" s="24">
        <f t="shared" si="1"/>
        <v>0</v>
      </c>
      <c r="F23" s="24"/>
      <c r="G23" s="24">
        <f t="shared" si="2"/>
        <v>0</v>
      </c>
    </row>
    <row r="24" spans="1:7" x14ac:dyDescent="0.2">
      <c r="A24" s="41" t="s">
        <v>21</v>
      </c>
      <c r="B24" s="77"/>
      <c r="C24" s="24">
        <f t="shared" si="0"/>
        <v>0</v>
      </c>
      <c r="D24" s="79"/>
      <c r="E24" s="24">
        <f t="shared" si="1"/>
        <v>0</v>
      </c>
      <c r="F24" s="24"/>
      <c r="G24" s="24">
        <f t="shared" si="2"/>
        <v>0</v>
      </c>
    </row>
    <row r="25" spans="1:7" x14ac:dyDescent="0.2">
      <c r="A25" s="41" t="s">
        <v>22</v>
      </c>
      <c r="B25" s="77"/>
      <c r="C25" s="24">
        <f t="shared" si="0"/>
        <v>0</v>
      </c>
      <c r="D25" s="79"/>
      <c r="E25" s="24">
        <f t="shared" si="1"/>
        <v>0</v>
      </c>
      <c r="F25" s="24"/>
      <c r="G25" s="24">
        <f t="shared" si="2"/>
        <v>0</v>
      </c>
    </row>
    <row r="26" spans="1:7" x14ac:dyDescent="0.2">
      <c r="A26" s="41" t="s">
        <v>23</v>
      </c>
      <c r="B26" s="77"/>
      <c r="C26" s="24">
        <f t="shared" si="0"/>
        <v>0</v>
      </c>
      <c r="D26" s="79"/>
      <c r="E26" s="24">
        <f>D26</f>
        <v>0</v>
      </c>
      <c r="F26" s="24"/>
      <c r="G26" s="24">
        <f t="shared" si="2"/>
        <v>0</v>
      </c>
    </row>
    <row r="27" spans="1:7" x14ac:dyDescent="0.2">
      <c r="A27" s="41" t="s">
        <v>24</v>
      </c>
      <c r="B27" s="77">
        <f>625+2500+212+500+640+2000+213+600+375+350+325+122+280+2200+800+650+635+635+550+405+405+405+200+200+4112+970+3880+182+4000+2000+120+500+630+630+1000+181+212+342+240+2500+3090+650+3710+1250+2160+2160+1900+1900+3840+800+182+900+2000+400+2000+2000+403+403+403+375+540+540+520+630+540+650+630+630+630+625+625+209+198+605+403+403+900+800+106+600+725+1320+1760+1320+430+4220+1320+1000+600+600+460+650+650+650+600+180+447+650+398+650+400+275+189+700+189+700+410+400+540+520+650+396+2450+830+415+600+30+600+900+500+170+800+210+2400+600+463+686+600+275+410+360+340+960+2425+800+500+600+900+180+88411</f>
        <v>211050</v>
      </c>
      <c r="C27" s="24">
        <f t="shared" si="0"/>
        <v>211050</v>
      </c>
      <c r="D27" s="79">
        <f>800+45+65+546+800+523+597+298+297+1104+135+6230</f>
        <v>11440</v>
      </c>
      <c r="E27" s="24">
        <f t="shared" si="1"/>
        <v>11440</v>
      </c>
      <c r="F27" s="24"/>
      <c r="G27" s="24">
        <f t="shared" si="2"/>
        <v>0</v>
      </c>
    </row>
    <row r="28" spans="1:7" x14ac:dyDescent="0.2">
      <c r="A28" s="41" t="s">
        <v>25</v>
      </c>
      <c r="B28" s="77">
        <v>77375</v>
      </c>
      <c r="C28" s="24">
        <f t="shared" si="0"/>
        <v>77375</v>
      </c>
      <c r="D28" s="79"/>
      <c r="E28" s="24">
        <f t="shared" si="1"/>
        <v>0</v>
      </c>
      <c r="F28" s="24"/>
      <c r="G28" s="24">
        <f t="shared" si="2"/>
        <v>0</v>
      </c>
    </row>
    <row r="29" spans="1:7" x14ac:dyDescent="0.2">
      <c r="A29" s="41" t="s">
        <v>26</v>
      </c>
      <c r="B29" s="77">
        <f>469+600+1300+1150+2439+620+148+1536+2153+460+690+1441+1425+3600+420+620+620+1240+1030+210+1240+623+1869+1064+750+750+750+1930+1280+1770+320+2090+2090+1280+400+1250+1250+1640+2260+1250+1275+2575+1250+5+283+756+756+756+2107+713+674+1653+675+1536+1536+768+768+768+2155+675+756+1476+1548+700+700+490+1849+768+768+2515+1255+653+653+475+222+110+671+672+1470+460+1930+1930+680+1410+1280+1090+1300+325+1100+500+1000+1150+1200+1100+1100+1150+1150+1650+1840+3163+1216+2400+284+1824+620+595+1265+1039+1057+785+785+781+781+781+653+653+654+654+1150+1150+1150+650+650+1000+1000+1000+1100+1100+1100+1100+1100+1100+1100+1100+1100+1100+1100+1100+1000+1000+500+450+1100+1100+1100+1100+1100+1100+1100+1100+1100+1100+1100+1100+1100+1100+1100+1100+1100+1100+1100+1100+1100+1100+1100+1200+1200+1500+1100+1100+1100+1100+1100+752+751+751+750+1940+1940+965+915+650+703+120+1940+1300+2100+1300+975+1250+1250+1360+2817+618+2280+2150+191976</f>
        <v>410950</v>
      </c>
      <c r="C29" s="24">
        <f t="shared" si="0"/>
        <v>410950</v>
      </c>
      <c r="D29" s="79">
        <v>3611</v>
      </c>
      <c r="E29" s="24">
        <f t="shared" si="1"/>
        <v>3611</v>
      </c>
      <c r="F29" s="24">
        <f>2520</f>
        <v>2520</v>
      </c>
      <c r="G29" s="24">
        <f t="shared" si="2"/>
        <v>2520</v>
      </c>
    </row>
    <row r="30" spans="1:7" x14ac:dyDescent="0.2">
      <c r="A30" s="41" t="s">
        <v>27</v>
      </c>
      <c r="B30" s="77">
        <v>5830</v>
      </c>
      <c r="C30" s="24">
        <f t="shared" si="0"/>
        <v>5830</v>
      </c>
      <c r="D30" s="79"/>
      <c r="E30" s="24">
        <f t="shared" si="1"/>
        <v>0</v>
      </c>
      <c r="F30" s="24"/>
      <c r="G30" s="24">
        <f t="shared" si="2"/>
        <v>0</v>
      </c>
    </row>
    <row r="31" spans="1:7" x14ac:dyDescent="0.2">
      <c r="A31" s="41" t="s">
        <v>28</v>
      </c>
      <c r="B31" s="77">
        <f>1525+1075+2025+2525+2075+1200+1200+1200+750+1000+1055+600+600+1100+1100+700+700+700+500+750+750+1500+725+1025+550+1150+1000+1225+1050+500+850+1000+500+500+400+1400+1030+1075+210+950+500+600+600+1250+1250+1000+550+500+800+1050+1050+1506+1000+1200+3625+1225+500+1250+500+300+1050+600+500+500+500+22+510+925+490+24+4+500+500+300+900+500+900+600+600+1575+137415</f>
        <v>208941</v>
      </c>
      <c r="C31" s="24">
        <f t="shared" si="0"/>
        <v>208941</v>
      </c>
      <c r="D31" s="79">
        <f>160+80+156+3+120+220+110+170+167+35+26+360+50+625+40+30+32+165+590+27+140</f>
        <v>3306</v>
      </c>
      <c r="E31" s="24">
        <f t="shared" si="1"/>
        <v>3306</v>
      </c>
      <c r="F31" s="24"/>
      <c r="G31" s="24">
        <f t="shared" si="2"/>
        <v>0</v>
      </c>
    </row>
    <row r="32" spans="1:7" x14ac:dyDescent="0.2">
      <c r="A32" s="41" t="s">
        <v>29</v>
      </c>
      <c r="B32" s="77"/>
      <c r="C32" s="24">
        <f t="shared" si="0"/>
        <v>0</v>
      </c>
      <c r="D32" s="79"/>
      <c r="E32" s="24">
        <f t="shared" si="1"/>
        <v>0</v>
      </c>
      <c r="F32" s="24"/>
      <c r="G32" s="24">
        <f t="shared" si="2"/>
        <v>0</v>
      </c>
    </row>
    <row r="33" spans="1:7" x14ac:dyDescent="0.2">
      <c r="A33" s="41" t="s">
        <v>30</v>
      </c>
      <c r="B33" s="77"/>
      <c r="C33" s="24">
        <f t="shared" si="0"/>
        <v>0</v>
      </c>
      <c r="D33" s="79"/>
      <c r="E33" s="24">
        <f t="shared" si="1"/>
        <v>0</v>
      </c>
      <c r="F33" s="24"/>
      <c r="G33" s="24">
        <f t="shared" si="2"/>
        <v>0</v>
      </c>
    </row>
    <row r="34" spans="1:7" x14ac:dyDescent="0.2">
      <c r="A34" s="41" t="s">
        <v>31</v>
      </c>
      <c r="B34" s="77"/>
      <c r="C34" s="24">
        <f t="shared" si="0"/>
        <v>0</v>
      </c>
      <c r="D34" s="79"/>
      <c r="E34" s="24">
        <f t="shared" si="1"/>
        <v>0</v>
      </c>
      <c r="F34" s="24"/>
      <c r="G34" s="24">
        <f t="shared" si="2"/>
        <v>0</v>
      </c>
    </row>
    <row r="35" spans="1:7" x14ac:dyDescent="0.2">
      <c r="A35" s="41" t="s">
        <v>32</v>
      </c>
      <c r="B35" s="77"/>
      <c r="C35" s="24">
        <f t="shared" si="0"/>
        <v>0</v>
      </c>
      <c r="D35" s="79"/>
      <c r="E35" s="24">
        <f t="shared" si="1"/>
        <v>0</v>
      </c>
      <c r="F35" s="24"/>
      <c r="G35" s="24">
        <f t="shared" si="2"/>
        <v>0</v>
      </c>
    </row>
    <row r="36" spans="1:7" x14ac:dyDescent="0.2">
      <c r="A36" s="41" t="s">
        <v>33</v>
      </c>
      <c r="B36" s="77"/>
      <c r="C36" s="24">
        <f t="shared" si="0"/>
        <v>0</v>
      </c>
      <c r="D36" s="79"/>
      <c r="E36" s="24">
        <f t="shared" si="1"/>
        <v>0</v>
      </c>
      <c r="F36" s="24"/>
      <c r="G36" s="24">
        <f t="shared" si="2"/>
        <v>0</v>
      </c>
    </row>
    <row r="37" spans="1:7" x14ac:dyDescent="0.2">
      <c r="A37" s="41" t="s">
        <v>34</v>
      </c>
      <c r="B37" s="77">
        <v>81838</v>
      </c>
      <c r="C37" s="24">
        <f t="shared" si="0"/>
        <v>81838</v>
      </c>
      <c r="D37" s="79"/>
      <c r="E37" s="24">
        <f t="shared" si="1"/>
        <v>0</v>
      </c>
      <c r="F37" s="24"/>
      <c r="G37" s="24">
        <f t="shared" si="2"/>
        <v>0</v>
      </c>
    </row>
    <row r="38" spans="1:7" x14ac:dyDescent="0.2">
      <c r="A38" s="41" t="s">
        <v>35</v>
      </c>
      <c r="B38" s="77">
        <f>1400+1400+1250+36444</f>
        <v>40494</v>
      </c>
      <c r="C38" s="24">
        <f t="shared" si="0"/>
        <v>40494</v>
      </c>
      <c r="D38" s="79"/>
      <c r="E38" s="24">
        <f t="shared" si="1"/>
        <v>0</v>
      </c>
      <c r="F38" s="24"/>
      <c r="G38" s="24">
        <f t="shared" si="2"/>
        <v>0</v>
      </c>
    </row>
    <row r="39" spans="1:7" x14ac:dyDescent="0.2">
      <c r="A39" s="41" t="s">
        <v>36</v>
      </c>
      <c r="B39" s="77">
        <f>2050+1400+10820</f>
        <v>14270</v>
      </c>
      <c r="C39" s="24">
        <f t="shared" si="0"/>
        <v>14270</v>
      </c>
      <c r="D39" s="79">
        <v>358</v>
      </c>
      <c r="E39" s="24">
        <f t="shared" si="1"/>
        <v>358</v>
      </c>
      <c r="F39" s="24"/>
      <c r="G39" s="24">
        <f t="shared" si="2"/>
        <v>0</v>
      </c>
    </row>
    <row r="40" spans="1:7" x14ac:dyDescent="0.2">
      <c r="A40" s="41" t="s">
        <v>37</v>
      </c>
      <c r="B40" s="77">
        <f>2160+1500+2160+2160+2160+1710+2240+2160+2160+1680+2160+2160+1600+2240+2208+2208+2195+2195+2160+1320+193121</f>
        <v>233657</v>
      </c>
      <c r="C40" s="24">
        <f t="shared" si="0"/>
        <v>233657</v>
      </c>
      <c r="D40" s="79">
        <v>1448</v>
      </c>
      <c r="E40" s="24">
        <f t="shared" ref="E40:E55" si="3">D40</f>
        <v>1448</v>
      </c>
      <c r="F40" s="24"/>
      <c r="G40" s="24">
        <f t="shared" si="2"/>
        <v>0</v>
      </c>
    </row>
    <row r="41" spans="1:7" x14ac:dyDescent="0.2">
      <c r="A41" s="41" t="s">
        <v>38</v>
      </c>
      <c r="B41" s="77"/>
      <c r="C41" s="24">
        <f t="shared" si="0"/>
        <v>0</v>
      </c>
      <c r="D41" s="79"/>
      <c r="E41" s="24">
        <f t="shared" si="3"/>
        <v>0</v>
      </c>
      <c r="F41" s="24"/>
      <c r="G41" s="24">
        <f t="shared" si="2"/>
        <v>0</v>
      </c>
    </row>
    <row r="42" spans="1:7" x14ac:dyDescent="0.2">
      <c r="A42" s="41" t="s">
        <v>39</v>
      </c>
      <c r="B42" s="77"/>
      <c r="C42" s="24">
        <f t="shared" si="0"/>
        <v>0</v>
      </c>
      <c r="D42" s="79"/>
      <c r="E42" s="24">
        <f t="shared" si="3"/>
        <v>0</v>
      </c>
      <c r="F42" s="24"/>
      <c r="G42" s="24">
        <f t="shared" si="2"/>
        <v>0</v>
      </c>
    </row>
    <row r="43" spans="1:7" x14ac:dyDescent="0.2">
      <c r="A43" s="41" t="s">
        <v>40</v>
      </c>
      <c r="B43" s="77"/>
      <c r="C43" s="24">
        <f t="shared" si="0"/>
        <v>0</v>
      </c>
      <c r="D43" s="79"/>
      <c r="E43" s="24">
        <f t="shared" si="3"/>
        <v>0</v>
      </c>
      <c r="F43" s="24"/>
      <c r="G43" s="24">
        <f t="shared" si="2"/>
        <v>0</v>
      </c>
    </row>
    <row r="44" spans="1:7" x14ac:dyDescent="0.2">
      <c r="A44" s="41" t="s">
        <v>41</v>
      </c>
      <c r="B44" s="77"/>
      <c r="C44" s="24">
        <f t="shared" si="0"/>
        <v>0</v>
      </c>
      <c r="D44" s="79"/>
      <c r="E44" s="24">
        <f t="shared" si="3"/>
        <v>0</v>
      </c>
      <c r="F44" s="24"/>
      <c r="G44" s="24">
        <f t="shared" si="2"/>
        <v>0</v>
      </c>
    </row>
    <row r="45" spans="1:7" x14ac:dyDescent="0.2">
      <c r="A45" s="41" t="s">
        <v>42</v>
      </c>
      <c r="B45" s="78">
        <f>2750+640+640+100+128+100+1350+1350+250+250+500+200+620+620+1350+1350+620+620+62164</f>
        <v>75602</v>
      </c>
      <c r="C45" s="24">
        <f t="shared" si="0"/>
        <v>75602</v>
      </c>
      <c r="D45" s="79">
        <f>60+60+15+3478</f>
        <v>3613</v>
      </c>
      <c r="E45" s="24">
        <f>D45</f>
        <v>3613</v>
      </c>
      <c r="F45" s="24"/>
      <c r="G45" s="24">
        <f t="shared" si="2"/>
        <v>0</v>
      </c>
    </row>
    <row r="46" spans="1:7" x14ac:dyDescent="0.2">
      <c r="A46" s="41" t="s">
        <v>43</v>
      </c>
      <c r="B46" s="77"/>
      <c r="C46" s="24">
        <f t="shared" si="0"/>
        <v>0</v>
      </c>
      <c r="D46" s="79"/>
      <c r="E46" s="24">
        <f t="shared" si="3"/>
        <v>0</v>
      </c>
      <c r="F46" s="24"/>
      <c r="G46" s="24">
        <f t="shared" si="2"/>
        <v>0</v>
      </c>
    </row>
    <row r="47" spans="1:7" x14ac:dyDescent="0.2">
      <c r="A47" s="41" t="s">
        <v>44</v>
      </c>
      <c r="B47" s="77">
        <v>8400</v>
      </c>
      <c r="C47" s="24">
        <f t="shared" si="0"/>
        <v>8400</v>
      </c>
      <c r="D47" s="79"/>
      <c r="E47" s="24">
        <f t="shared" si="3"/>
        <v>0</v>
      </c>
      <c r="F47" s="24"/>
      <c r="G47" s="24">
        <f t="shared" si="2"/>
        <v>0</v>
      </c>
    </row>
    <row r="48" spans="1:7" ht="14.45" customHeight="1" x14ac:dyDescent="0.2">
      <c r="A48" s="41" t="s">
        <v>45</v>
      </c>
      <c r="B48" s="77">
        <v>28704</v>
      </c>
      <c r="C48" s="24">
        <f t="shared" si="0"/>
        <v>28704</v>
      </c>
      <c r="D48" s="79"/>
      <c r="E48" s="24">
        <f t="shared" si="3"/>
        <v>0</v>
      </c>
      <c r="F48" s="24"/>
      <c r="G48" s="24">
        <f t="shared" si="2"/>
        <v>0</v>
      </c>
    </row>
    <row r="49" spans="1:256" x14ac:dyDescent="0.2">
      <c r="A49" s="41" t="s">
        <v>46</v>
      </c>
      <c r="B49" s="77"/>
      <c r="C49" s="24">
        <f t="shared" si="0"/>
        <v>0</v>
      </c>
      <c r="D49" s="79"/>
      <c r="E49" s="24">
        <f t="shared" si="3"/>
        <v>0</v>
      </c>
      <c r="F49" s="24"/>
      <c r="G49" s="24">
        <f t="shared" si="2"/>
        <v>0</v>
      </c>
    </row>
    <row r="50" spans="1:256" x14ac:dyDescent="0.2">
      <c r="A50" s="41" t="s">
        <v>47</v>
      </c>
      <c r="B50" s="77"/>
      <c r="C50" s="24">
        <f t="shared" si="0"/>
        <v>0</v>
      </c>
      <c r="D50" s="79"/>
      <c r="E50" s="24">
        <f t="shared" si="3"/>
        <v>0</v>
      </c>
      <c r="F50" s="24"/>
      <c r="G50" s="24">
        <f t="shared" si="2"/>
        <v>0</v>
      </c>
    </row>
    <row r="51" spans="1:256" x14ac:dyDescent="0.2">
      <c r="A51" s="41" t="s">
        <v>48</v>
      </c>
      <c r="B51" s="77"/>
      <c r="C51" s="24">
        <f t="shared" si="0"/>
        <v>0</v>
      </c>
      <c r="D51" s="79"/>
      <c r="E51" s="24">
        <f t="shared" si="3"/>
        <v>0</v>
      </c>
      <c r="F51" s="24"/>
      <c r="G51" s="24">
        <f t="shared" si="2"/>
        <v>0</v>
      </c>
    </row>
    <row r="52" spans="1:256" x14ac:dyDescent="0.2">
      <c r="A52" s="41" t="s">
        <v>49</v>
      </c>
      <c r="B52" s="77"/>
      <c r="C52" s="24">
        <f t="shared" si="0"/>
        <v>0</v>
      </c>
      <c r="D52" s="79"/>
      <c r="E52" s="24">
        <f t="shared" si="3"/>
        <v>0</v>
      </c>
      <c r="F52" s="24"/>
      <c r="G52" s="24">
        <f t="shared" si="2"/>
        <v>0</v>
      </c>
    </row>
    <row r="53" spans="1:256" x14ac:dyDescent="0.2">
      <c r="A53" s="41" t="s">
        <v>50</v>
      </c>
      <c r="B53" s="77">
        <f>5+200+170+130+240+150+60+200+300+200+125+210+60+200+205+220+200+190+140+200+250+75+200+225+390</f>
        <v>4545</v>
      </c>
      <c r="C53" s="24">
        <f t="shared" si="0"/>
        <v>4545</v>
      </c>
      <c r="D53" s="79">
        <f>46</f>
        <v>46</v>
      </c>
      <c r="E53" s="24">
        <f t="shared" si="3"/>
        <v>46</v>
      </c>
      <c r="F53" s="24"/>
      <c r="G53" s="24">
        <f t="shared" si="2"/>
        <v>0</v>
      </c>
    </row>
    <row r="54" spans="1:256" ht="15.75" thickBot="1" x14ac:dyDescent="0.25">
      <c r="A54" s="41" t="s">
        <v>51</v>
      </c>
      <c r="B54" s="77">
        <v>9427</v>
      </c>
      <c r="C54" s="24">
        <f t="shared" si="0"/>
        <v>9427</v>
      </c>
      <c r="D54" s="79"/>
      <c r="E54" s="24">
        <f t="shared" si="3"/>
        <v>0</v>
      </c>
      <c r="F54" s="24"/>
      <c r="G54" s="24">
        <f t="shared" si="2"/>
        <v>0</v>
      </c>
    </row>
    <row r="55" spans="1:256" ht="26.1" customHeight="1" thickBot="1" x14ac:dyDescent="0.25">
      <c r="A55" s="42" t="s">
        <v>53</v>
      </c>
      <c r="B55" s="43">
        <f>SUM(B7:B54)</f>
        <v>2295081</v>
      </c>
      <c r="C55" s="43">
        <f>SUM(C7:C54)</f>
        <v>2295081</v>
      </c>
      <c r="D55" s="43">
        <f>SUM(D7:D54)</f>
        <v>30824</v>
      </c>
      <c r="E55" s="44">
        <f t="shared" si="3"/>
        <v>30824</v>
      </c>
      <c r="F55" s="72">
        <f>SUM(F7:F54)</f>
        <v>12135</v>
      </c>
      <c r="G55" s="70">
        <f t="shared" si="2"/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45"/>
      <c r="B56" s="46"/>
      <c r="C56" s="46"/>
      <c r="D56" s="46"/>
      <c r="E56" s="46"/>
    </row>
    <row r="57" spans="1:256" ht="15.75" thickBot="1" x14ac:dyDescent="0.25">
      <c r="A57" s="48" t="s">
        <v>54</v>
      </c>
      <c r="B57" s="46"/>
      <c r="C57" s="49" t="s">
        <v>4</v>
      </c>
      <c r="D57" s="50" t="s">
        <v>5</v>
      </c>
      <c r="E57" s="46"/>
    </row>
    <row r="58" spans="1:256" x14ac:dyDescent="0.2">
      <c r="A58" s="51" t="s">
        <v>55</v>
      </c>
      <c r="B58" s="52"/>
      <c r="C58" s="25"/>
      <c r="D58" s="53">
        <f t="shared" ref="D58:D67" si="4">C58</f>
        <v>0</v>
      </c>
      <c r="E58" s="46"/>
    </row>
    <row r="59" spans="1:256" ht="15.75" x14ac:dyDescent="0.25">
      <c r="A59" s="51" t="s">
        <v>56</v>
      </c>
      <c r="B59" s="25"/>
      <c r="C59" s="25">
        <v>2810</v>
      </c>
      <c r="D59" s="53">
        <f t="shared" si="4"/>
        <v>2810</v>
      </c>
      <c r="F59" s="61"/>
      <c r="G59" s="61"/>
    </row>
    <row r="60" spans="1:256" ht="15.75" x14ac:dyDescent="0.25">
      <c r="A60" s="51" t="s">
        <v>57</v>
      </c>
      <c r="B60" s="25"/>
      <c r="C60" s="25"/>
      <c r="D60" s="53">
        <f t="shared" si="4"/>
        <v>0</v>
      </c>
      <c r="F60" s="61"/>
      <c r="G60" s="61"/>
    </row>
    <row r="61" spans="1:256" ht="15.75" x14ac:dyDescent="0.25">
      <c r="A61" s="51" t="s">
        <v>58</v>
      </c>
      <c r="B61" s="25"/>
      <c r="C61" s="25"/>
      <c r="D61" s="53">
        <f t="shared" si="4"/>
        <v>0</v>
      </c>
      <c r="F61" s="61"/>
      <c r="G61" s="61"/>
    </row>
    <row r="62" spans="1:256" x14ac:dyDescent="0.2">
      <c r="A62" s="51" t="s">
        <v>59</v>
      </c>
      <c r="B62" s="25"/>
      <c r="C62" s="96">
        <f>180+175+280+14+8+40+24+108+10+175+8+27200+15+40+8+96+40+8+280+135+175+135+280+175+45+180+280+200+45+135+640+32+16+32+32+45+115+45+175+280+120+175+280+120+280+175+180+110+160+735+340+635+1400+2320+1214+294+260+1285+8970</f>
        <v>50959</v>
      </c>
      <c r="D62" s="53">
        <f>C62</f>
        <v>50959</v>
      </c>
    </row>
    <row r="63" spans="1:256" x14ac:dyDescent="0.2">
      <c r="A63" s="51" t="s">
        <v>65</v>
      </c>
      <c r="B63" s="25"/>
      <c r="C63" s="25">
        <f>275+52+75+320+200+269+150+361+240+24+80+45+20+200+150+80+106+45+270+20+75+275+320+270+320+186+275+75+52+200+150+80+20+45+106+45+275+275+75+320+200+80+437+75+150+320+200+251+60+75+52+200+150+270+20+45+20+80+275+75+320+200+106+45+289+100+275+75+270+80+200+320+20+231+60+275+75+52+150+320+20+80+45+275+150+52+75+275+320+75+275+80+20+45+275+75+30+334+320+275+75+52+200+150+320+200+20+270+45+106+80+75+275+150+420+80+80+20+45+240+106+45+270+20+753+30+275+75+150+320+200+275+150+15+240+60+320+20+45+106+80+75+357</f>
        <v>22905</v>
      </c>
      <c r="D63" s="53">
        <f t="shared" si="4"/>
        <v>22905</v>
      </c>
    </row>
    <row r="64" spans="1:256" x14ac:dyDescent="0.2">
      <c r="A64" s="51" t="s">
        <v>63</v>
      </c>
      <c r="B64" s="25"/>
      <c r="C64" s="25">
        <f>130+85+125+80+75+40+157+110+135+135+120+35+205+90+40+34</f>
        <v>1596</v>
      </c>
      <c r="D64" s="53">
        <f t="shared" si="4"/>
        <v>1596</v>
      </c>
    </row>
    <row r="65" spans="1:4" x14ac:dyDescent="0.2">
      <c r="A65" s="51" t="s">
        <v>60</v>
      </c>
      <c r="C65" s="25"/>
      <c r="D65" s="53">
        <f t="shared" si="4"/>
        <v>0</v>
      </c>
    </row>
    <row r="66" spans="1:4" x14ac:dyDescent="0.2">
      <c r="A66" s="51" t="s">
        <v>61</v>
      </c>
      <c r="C66" s="25">
        <f>200+75+205+200+97+19+65+135+743+71+135+65+30+160+89+75+80+205+1028</f>
        <v>3677</v>
      </c>
      <c r="D66" s="53">
        <f t="shared" si="4"/>
        <v>3677</v>
      </c>
    </row>
    <row r="67" spans="1:4" x14ac:dyDescent="0.2">
      <c r="A67" s="51" t="s">
        <v>62</v>
      </c>
      <c r="C67" s="25">
        <f>35+1062</f>
        <v>1097</v>
      </c>
      <c r="D67" s="53">
        <f t="shared" si="4"/>
        <v>1097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0" zoomScaleNormal="110" workbookViewId="0">
      <pane ySplit="6" topLeftCell="A43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74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845+2155+1050</f>
        <v>4050</v>
      </c>
      <c r="C7" s="12">
        <f>September!C7+B7</f>
        <v>16129</v>
      </c>
      <c r="D7" s="81"/>
      <c r="E7" s="12">
        <f>September!E7+D7</f>
        <v>0</v>
      </c>
      <c r="F7" s="59"/>
      <c r="G7" s="12">
        <f>September!G7+F7</f>
        <v>0</v>
      </c>
    </row>
    <row r="8" spans="1:256" x14ac:dyDescent="0.2">
      <c r="A8" s="11" t="s">
        <v>64</v>
      </c>
      <c r="B8" s="80"/>
      <c r="C8" s="12">
        <f>September!C8+B8</f>
        <v>37</v>
      </c>
      <c r="D8" s="81"/>
      <c r="E8" s="12">
        <f>September!E8+D8</f>
        <v>0</v>
      </c>
      <c r="F8" s="59"/>
      <c r="G8" s="12">
        <f>September!G8+F8</f>
        <v>0</v>
      </c>
    </row>
    <row r="9" spans="1:256" x14ac:dyDescent="0.2">
      <c r="A9" s="11" t="s">
        <v>7</v>
      </c>
      <c r="B9" s="80">
        <f>800+450+1050+1050+1050+1050+1050+1050+1050+1050+1050+900+500+2626+2603+100+900+500+900+525+250+1000+1000+975+1000+500+500+1050+1050+1050+500+550</f>
        <v>29679</v>
      </c>
      <c r="C9" s="12">
        <f>September!C9+B9</f>
        <v>261754</v>
      </c>
      <c r="D9" s="81"/>
      <c r="E9" s="12">
        <f>September!E9+D9</f>
        <v>6</v>
      </c>
      <c r="F9" s="59"/>
      <c r="G9" s="12">
        <f>September!G9+F9</f>
        <v>0</v>
      </c>
    </row>
    <row r="10" spans="1:256" x14ac:dyDescent="0.2">
      <c r="A10" s="11" t="s">
        <v>8</v>
      </c>
      <c r="B10" s="80"/>
      <c r="C10" s="12">
        <f>September!C10+B10</f>
        <v>91</v>
      </c>
      <c r="D10" s="81"/>
      <c r="E10" s="12">
        <f>September!E10+D10</f>
        <v>27</v>
      </c>
      <c r="F10" s="59"/>
      <c r="G10" s="12">
        <f>September!G10+F10</f>
        <v>0</v>
      </c>
    </row>
    <row r="11" spans="1:256" x14ac:dyDescent="0.2">
      <c r="A11" s="92" t="s">
        <v>52</v>
      </c>
      <c r="B11" s="80">
        <v>216015</v>
      </c>
      <c r="C11" s="12">
        <f>September!C11+B11</f>
        <v>1828002</v>
      </c>
      <c r="D11" s="81">
        <v>4690</v>
      </c>
      <c r="E11" s="12">
        <f>September!E11+D11</f>
        <v>27265</v>
      </c>
      <c r="F11" s="59">
        <v>9809</v>
      </c>
      <c r="G11" s="12">
        <f>September!G11+F11</f>
        <v>94894</v>
      </c>
    </row>
    <row r="12" spans="1:256" x14ac:dyDescent="0.2">
      <c r="A12" s="11" t="s">
        <v>9</v>
      </c>
      <c r="B12" s="80">
        <f>1820+1800+2174+1600+1332+470+934+666+1800+545+1230+1650+1800+1700+60108+28242</f>
        <v>107871</v>
      </c>
      <c r="C12" s="12">
        <f>September!C12+B12</f>
        <v>998134</v>
      </c>
      <c r="D12" s="81"/>
      <c r="E12" s="12">
        <f>September!E12+D12</f>
        <v>900</v>
      </c>
      <c r="F12" s="59"/>
      <c r="G12" s="12">
        <f>September!G12+F12</f>
        <v>0</v>
      </c>
    </row>
    <row r="13" spans="1:256" x14ac:dyDescent="0.2">
      <c r="A13" s="11" t="s">
        <v>10</v>
      </c>
      <c r="B13" s="80"/>
      <c r="C13" s="12">
        <f>September!C13+B13</f>
        <v>0</v>
      </c>
      <c r="D13" s="81"/>
      <c r="E13" s="12">
        <f>September!E13+D13</f>
        <v>0</v>
      </c>
      <c r="F13" s="59"/>
      <c r="G13" s="12">
        <f>September!G13+F13</f>
        <v>0</v>
      </c>
    </row>
    <row r="14" spans="1:256" x14ac:dyDescent="0.2">
      <c r="A14" s="11" t="s">
        <v>11</v>
      </c>
      <c r="B14" s="80"/>
      <c r="C14" s="12">
        <f>September!C14+B14</f>
        <v>0</v>
      </c>
      <c r="D14" s="81"/>
      <c r="E14" s="12">
        <f>September!E14+D14</f>
        <v>0</v>
      </c>
      <c r="F14" s="59"/>
      <c r="G14" s="12">
        <f>September!G14+F14</f>
        <v>0</v>
      </c>
    </row>
    <row r="15" spans="1:256" x14ac:dyDescent="0.2">
      <c r="A15" s="11" t="s">
        <v>12</v>
      </c>
      <c r="B15" s="80"/>
      <c r="C15" s="12">
        <f>September!C15+B15</f>
        <v>0</v>
      </c>
      <c r="D15" s="81"/>
      <c r="E15" s="12">
        <f>September!E15+D15</f>
        <v>2</v>
      </c>
      <c r="F15" s="59"/>
      <c r="G15" s="12">
        <f>September!G15+F15</f>
        <v>0</v>
      </c>
    </row>
    <row r="16" spans="1:256" x14ac:dyDescent="0.2">
      <c r="A16" s="11" t="s">
        <v>13</v>
      </c>
      <c r="B16" s="80">
        <v>1400</v>
      </c>
      <c r="C16" s="12">
        <f>September!C16+B16</f>
        <v>6978</v>
      </c>
      <c r="D16" s="81"/>
      <c r="E16" s="12">
        <f>September!E16+D16</f>
        <v>0</v>
      </c>
      <c r="F16" s="59"/>
      <c r="G16" s="12">
        <f>September!G16+F16</f>
        <v>0</v>
      </c>
    </row>
    <row r="17" spans="1:7" x14ac:dyDescent="0.2">
      <c r="A17" s="11" t="s">
        <v>14</v>
      </c>
      <c r="B17" s="80"/>
      <c r="C17" s="12">
        <f>September!C17+B17</f>
        <v>0</v>
      </c>
      <c r="D17" s="81"/>
      <c r="E17" s="12">
        <f>September!E17+D17</f>
        <v>0</v>
      </c>
      <c r="F17" s="59"/>
      <c r="G17" s="12">
        <f>September!G17+F17</f>
        <v>0</v>
      </c>
    </row>
    <row r="18" spans="1:7" x14ac:dyDescent="0.2">
      <c r="A18" s="11" t="s">
        <v>15</v>
      </c>
      <c r="B18" s="80">
        <f>599+598+598+598+621+551+570+555+511+470+700+686+705+521+721+500+847+1000+1040+1040+1040+1040+1300+1000+1267+1267+1267+1040+1000+1040+1040+1020+1550+1200+1200+1200+1200+850+817+1500+1700+1600+1700+1700+200+200+430+910+1260+900+818+198758+148796</f>
        <v>395241</v>
      </c>
      <c r="C18" s="12">
        <f>September!C18+B18</f>
        <v>4338040</v>
      </c>
      <c r="D18" s="81">
        <f>3+10+8+572+218</f>
        <v>811</v>
      </c>
      <c r="E18" s="12">
        <f>September!E18+D18</f>
        <v>13071</v>
      </c>
      <c r="F18" s="59"/>
      <c r="G18" s="12">
        <f>September!G18+F18</f>
        <v>0</v>
      </c>
    </row>
    <row r="19" spans="1:7" x14ac:dyDescent="0.2">
      <c r="A19" s="11" t="s">
        <v>16</v>
      </c>
      <c r="B19" s="80">
        <f>1200+1000+925+51+1+950+625+33770+15425</f>
        <v>53947</v>
      </c>
      <c r="C19" s="12">
        <f>September!C19+B19</f>
        <v>459111</v>
      </c>
      <c r="D19" s="81"/>
      <c r="E19" s="12">
        <f>September!E19+D19</f>
        <v>887</v>
      </c>
      <c r="F19" s="59"/>
      <c r="G19" s="12">
        <f>September!G19+F19</f>
        <v>0</v>
      </c>
    </row>
    <row r="20" spans="1:7" x14ac:dyDescent="0.2">
      <c r="A20" s="11" t="s">
        <v>17</v>
      </c>
      <c r="B20" s="80">
        <f>135+1000+370+125+125+475+1060+1470+80+24048</f>
        <v>28888</v>
      </c>
      <c r="C20" s="12">
        <f>September!C20+B20</f>
        <v>269112</v>
      </c>
      <c r="D20" s="81">
        <v>1914</v>
      </c>
      <c r="E20" s="12">
        <f>September!E20+D20</f>
        <v>11762</v>
      </c>
      <c r="F20" s="59"/>
      <c r="G20" s="12">
        <f>September!G20+F20</f>
        <v>0</v>
      </c>
    </row>
    <row r="21" spans="1:7" x14ac:dyDescent="0.2">
      <c r="A21" s="11" t="s">
        <v>18</v>
      </c>
      <c r="B21" s="80">
        <f>150+145+170</f>
        <v>465</v>
      </c>
      <c r="C21" s="12">
        <f>September!C21+B21</f>
        <v>24092</v>
      </c>
      <c r="D21" s="81">
        <v>30</v>
      </c>
      <c r="E21" s="12">
        <f>September!E21+D21</f>
        <v>1335</v>
      </c>
      <c r="F21" s="59"/>
      <c r="G21" s="12">
        <f>September!G21+F21</f>
        <v>0</v>
      </c>
    </row>
    <row r="22" spans="1:7" x14ac:dyDescent="0.2">
      <c r="A22" s="11" t="s">
        <v>19</v>
      </c>
      <c r="B22" s="80"/>
      <c r="C22" s="12">
        <f>September!C22+B22</f>
        <v>3</v>
      </c>
      <c r="D22" s="81"/>
      <c r="E22" s="12">
        <f>September!E22+D22</f>
        <v>14</v>
      </c>
      <c r="F22" s="59"/>
      <c r="G22" s="12">
        <f>September!G22+F22</f>
        <v>0</v>
      </c>
    </row>
    <row r="23" spans="1:7" x14ac:dyDescent="0.2">
      <c r="A23" s="11" t="s">
        <v>20</v>
      </c>
      <c r="B23" s="80"/>
      <c r="C23" s="12">
        <f>September!C23+B23</f>
        <v>0</v>
      </c>
      <c r="D23" s="81"/>
      <c r="E23" s="12">
        <f>September!E23+D23</f>
        <v>0</v>
      </c>
      <c r="F23" s="59"/>
      <c r="G23" s="12">
        <f>September!G23+F23</f>
        <v>0</v>
      </c>
    </row>
    <row r="24" spans="1:7" x14ac:dyDescent="0.2">
      <c r="A24" s="11" t="s">
        <v>21</v>
      </c>
      <c r="B24" s="80"/>
      <c r="C24" s="12">
        <f>September!C24+B24</f>
        <v>0</v>
      </c>
      <c r="D24" s="81">
        <v>120</v>
      </c>
      <c r="E24" s="12">
        <f>September!E24+D24</f>
        <v>120</v>
      </c>
      <c r="F24" s="59"/>
      <c r="G24" s="12">
        <f>September!G24+F24</f>
        <v>0</v>
      </c>
    </row>
    <row r="25" spans="1:7" x14ac:dyDescent="0.2">
      <c r="A25" s="11" t="s">
        <v>22</v>
      </c>
      <c r="B25" s="80"/>
      <c r="C25" s="12">
        <f>September!C25+B25</f>
        <v>0</v>
      </c>
      <c r="D25" s="81"/>
      <c r="E25" s="12">
        <f>September!E25+D25</f>
        <v>0</v>
      </c>
      <c r="F25" s="59"/>
      <c r="G25" s="12">
        <f>September!G25+F25</f>
        <v>0</v>
      </c>
    </row>
    <row r="26" spans="1:7" x14ac:dyDescent="0.2">
      <c r="A26" s="11" t="s">
        <v>23</v>
      </c>
      <c r="B26" s="80">
        <v>1325</v>
      </c>
      <c r="C26" s="12">
        <f>September!C26+B26</f>
        <v>16058</v>
      </c>
      <c r="D26" s="81">
        <v>100</v>
      </c>
      <c r="E26" s="12">
        <f>September!E26+D26</f>
        <v>9446</v>
      </c>
      <c r="F26" s="59"/>
      <c r="G26" s="12">
        <f>September!G26+F26</f>
        <v>0</v>
      </c>
    </row>
    <row r="27" spans="1:7" x14ac:dyDescent="0.2">
      <c r="A27" s="11" t="s">
        <v>24</v>
      </c>
      <c r="B27" s="80">
        <f>150+145+800+180+405+3090+2100+2880+960+300+105+660+650+465+550+585+640+420+2950+1450+2450+40+850+850+2375+650+275+2500+1800+1200+2037+1500+660+650+420+540+585+375+110+450+850+1880+405+660+650+650+485+280+3000+980+2240+630+60+2075+2075+650+650+650+650+560+430+430+425+280+605+405+405+2056+1200+560+560+560+325+720+350+350+40+900+1200+2820+375+300+900+1682+1682+1682+600+4112+1200+400+2000+275+136+925+655+560+650+650+560+16+16+75+240+900+1100+3210+300+570+2645+2116+2400+210+240+340+260+350+400+540+535+535+620+475+415+550+370+1000+1000+350+1070+450+595+1096+555+620+2040+2040+1+3+96213+44260</f>
        <v>264568</v>
      </c>
      <c r="C27" s="12">
        <f>September!C27+B27</f>
        <v>2377456</v>
      </c>
      <c r="D27" s="81">
        <f>134+30+66+15+68+420+38+97+16+212+100+936</f>
        <v>2132</v>
      </c>
      <c r="E27" s="12">
        <f>September!E27+D27</f>
        <v>40119</v>
      </c>
      <c r="F27" s="59"/>
      <c r="G27" s="12">
        <f>September!G27+F27</f>
        <v>860</v>
      </c>
    </row>
    <row r="28" spans="1:7" x14ac:dyDescent="0.2">
      <c r="A28" s="11" t="s">
        <v>25</v>
      </c>
      <c r="B28" s="80">
        <f>530+830+1140+68100</f>
        <v>70600</v>
      </c>
      <c r="C28" s="12">
        <f>September!C28+B28</f>
        <v>692959</v>
      </c>
      <c r="D28" s="81"/>
      <c r="E28" s="12">
        <f>September!E28+D28</f>
        <v>890</v>
      </c>
      <c r="F28" s="59"/>
      <c r="G28" s="12">
        <f>September!G28+F28</f>
        <v>0</v>
      </c>
    </row>
    <row r="29" spans="1:7" x14ac:dyDescent="0.2">
      <c r="A29" s="11" t="s">
        <v>26</v>
      </c>
      <c r="B29" s="80">
        <f>1254+1256+860+2149+1540+672+620+1238+1477+617+617+1840+1160+1840+1840+1100+1840+2500+683+683+682+745+745+627+626+1016+2515+2500+1210+1200+1500+960+1845+786+650+1150+2500+1200+2060+1857+2600+521+1452+1875+625+1571+1230+1030+1845+1845+1845+1845+140+1025+1025+1258+930+1565+1865+1845+1845+1845+1235+1000+1150+1200+670+785+2244+550+610+2010+2084+3610+1525+6+2500+2500+750+750+750+1387+783+784+783+800+590+2500+1200+1200+440+2500+1300+700+2520+1180+1400+1150+2180+2500+763+3180+1590+2280+668+1100+1100+1100+1100+1100+1100+1100+1100+1100+4400+1544+2133+1423+1424+1258+1300+1300+1425+3000+1300+1300+1000+750+750+750+1591+1933+400+1560+945+1895+1895+945+1880+1295+781+1562+1562+758+2274+758+700+514+1150+1352+400+2290+768+1394+768+142+196075+63048</f>
        <v>469686</v>
      </c>
      <c r="C29" s="12">
        <f>September!C29+B29</f>
        <v>3730910</v>
      </c>
      <c r="D29" s="81">
        <f>102+1624</f>
        <v>1726</v>
      </c>
      <c r="E29" s="12">
        <f>September!E29+D29</f>
        <v>17170</v>
      </c>
      <c r="F29" s="59"/>
      <c r="G29" s="12">
        <f>September!G29+F29</f>
        <v>2520</v>
      </c>
    </row>
    <row r="30" spans="1:7" x14ac:dyDescent="0.2">
      <c r="A30" s="11" t="s">
        <v>27</v>
      </c>
      <c r="B30" s="80">
        <v>5875</v>
      </c>
      <c r="C30" s="12">
        <f>September!C30+B30</f>
        <v>50135</v>
      </c>
      <c r="D30" s="81"/>
      <c r="E30" s="12">
        <f>September!E30+D30</f>
        <v>0</v>
      </c>
      <c r="F30" s="59"/>
      <c r="G30" s="12">
        <f>September!G30+F30</f>
        <v>0</v>
      </c>
    </row>
    <row r="31" spans="1:7" x14ac:dyDescent="0.2">
      <c r="A31" s="11" t="s">
        <v>28</v>
      </c>
      <c r="B31" s="80">
        <f>1250+1350+600+500+1519+1519+1519+500+600+600+3950+145+600+600+800+575+800+420+500+600+750+525+700+1400+500+400+1150+1200+3925+925+3925+2650+3000+5200+1350+1000+50+1450+1030+750+600+1200+750+500+600+550+500+1668+1668+1668+800+1450+600+1250+1000+200+2+1950+4525+775+165+174541+14970</f>
        <v>262759</v>
      </c>
      <c r="C31" s="12">
        <f>September!C31+B31</f>
        <v>2113802</v>
      </c>
      <c r="D31" s="81">
        <f>125+210+80+4+33+33+33+11+1+7+2+6+15+34+18+50+10+45+44+70+110</f>
        <v>941</v>
      </c>
      <c r="E31" s="12">
        <f>September!E31+D31</f>
        <v>18091</v>
      </c>
      <c r="F31" s="59"/>
      <c r="G31" s="12">
        <f>September!G31+F31</f>
        <v>0</v>
      </c>
    </row>
    <row r="32" spans="1:7" x14ac:dyDescent="0.2">
      <c r="A32" s="11" t="s">
        <v>29</v>
      </c>
      <c r="B32" s="80"/>
      <c r="C32" s="12">
        <f>September!C32+B32</f>
        <v>0</v>
      </c>
      <c r="D32" s="81"/>
      <c r="E32" s="12">
        <f>September!E32+D32</f>
        <v>0</v>
      </c>
      <c r="F32" s="59"/>
      <c r="G32" s="12">
        <f>September!G32+F32</f>
        <v>0</v>
      </c>
    </row>
    <row r="33" spans="1:7" x14ac:dyDescent="0.2">
      <c r="A33" s="11" t="s">
        <v>30</v>
      </c>
      <c r="B33" s="80"/>
      <c r="C33" s="12">
        <f>September!C33+B33</f>
        <v>0</v>
      </c>
      <c r="D33" s="81"/>
      <c r="E33" s="12">
        <f>September!E33+D33</f>
        <v>0</v>
      </c>
      <c r="F33" s="59"/>
      <c r="G33" s="12">
        <f>September!G33+F33</f>
        <v>0</v>
      </c>
    </row>
    <row r="34" spans="1:7" x14ac:dyDescent="0.2">
      <c r="A34" s="11" t="s">
        <v>31</v>
      </c>
      <c r="B34" s="80"/>
      <c r="C34" s="12">
        <f>September!C34+B34</f>
        <v>0</v>
      </c>
      <c r="D34" s="81"/>
      <c r="E34" s="12">
        <f>September!E34+D34</f>
        <v>0</v>
      </c>
      <c r="F34" s="59"/>
      <c r="G34" s="12">
        <f>September!G34+F34</f>
        <v>0</v>
      </c>
    </row>
    <row r="35" spans="1:7" x14ac:dyDescent="0.2">
      <c r="A35" s="11" t="s">
        <v>32</v>
      </c>
      <c r="B35" s="80"/>
      <c r="C35" s="12">
        <f>September!C35+B35</f>
        <v>0</v>
      </c>
      <c r="D35" s="81"/>
      <c r="E35" s="12">
        <f>September!E35+D35</f>
        <v>0</v>
      </c>
      <c r="F35" s="59"/>
      <c r="G35" s="12">
        <f>September!G35+F35</f>
        <v>0</v>
      </c>
    </row>
    <row r="36" spans="1:7" x14ac:dyDescent="0.2">
      <c r="A36" s="11" t="s">
        <v>33</v>
      </c>
      <c r="B36" s="80"/>
      <c r="C36" s="12">
        <f>September!C36+B36</f>
        <v>8</v>
      </c>
      <c r="D36" s="81"/>
      <c r="E36" s="12">
        <f>September!E36+D36</f>
        <v>0</v>
      </c>
      <c r="F36" s="59"/>
      <c r="G36" s="12">
        <f>September!G36+F36</f>
        <v>0</v>
      </c>
    </row>
    <row r="37" spans="1:7" x14ac:dyDescent="0.2">
      <c r="A37" s="11" t="s">
        <v>34</v>
      </c>
      <c r="B37" s="80">
        <f>725+86774+13850</f>
        <v>101349</v>
      </c>
      <c r="C37" s="12">
        <f>September!C37+B37</f>
        <v>884565</v>
      </c>
      <c r="D37" s="81"/>
      <c r="E37" s="12">
        <f>September!E37+D37</f>
        <v>0</v>
      </c>
      <c r="F37" s="59"/>
      <c r="G37" s="12">
        <f>September!G37+F37</f>
        <v>0</v>
      </c>
    </row>
    <row r="38" spans="1:7" x14ac:dyDescent="0.2">
      <c r="A38" s="11" t="s">
        <v>35</v>
      </c>
      <c r="B38" s="80">
        <v>34820</v>
      </c>
      <c r="C38" s="12">
        <f>September!C38+B38</f>
        <v>289929</v>
      </c>
      <c r="D38" s="81">
        <f>42</f>
        <v>42</v>
      </c>
      <c r="E38" s="12">
        <f>September!E38+D38</f>
        <v>1465</v>
      </c>
      <c r="F38" s="59"/>
      <c r="G38" s="12">
        <f>September!G38+F38</f>
        <v>0</v>
      </c>
    </row>
    <row r="39" spans="1:7" x14ac:dyDescent="0.2">
      <c r="A39" s="11" t="s">
        <v>36</v>
      </c>
      <c r="B39" s="80">
        <f>550+850+2100+1250+2150+10565</f>
        <v>17465</v>
      </c>
      <c r="C39" s="12">
        <f>September!C39+B39</f>
        <v>139777</v>
      </c>
      <c r="D39" s="81">
        <v>1538</v>
      </c>
      <c r="E39" s="12">
        <f>September!E39+D39</f>
        <v>10246</v>
      </c>
      <c r="F39" s="59"/>
      <c r="G39" s="12">
        <f>September!G39+F39</f>
        <v>0</v>
      </c>
    </row>
    <row r="40" spans="1:7" x14ac:dyDescent="0.2">
      <c r="A40" s="11" t="s">
        <v>37</v>
      </c>
      <c r="B40" s="80">
        <f>2160+800+2020+2020+616+2160+1100+384+2160+1100+2000+2230+2160+550+2160+2025+2140+550+2160+1800+500+1980+163718</f>
        <v>198493</v>
      </c>
      <c r="C40" s="12">
        <f>September!C40+B40</f>
        <v>1872729</v>
      </c>
      <c r="D40" s="81">
        <v>1826</v>
      </c>
      <c r="E40" s="12">
        <f>September!E40+D40</f>
        <v>7351</v>
      </c>
      <c r="F40" s="59"/>
      <c r="G40" s="12">
        <f>September!G40+F40</f>
        <v>0</v>
      </c>
    </row>
    <row r="41" spans="1:7" x14ac:dyDescent="0.2">
      <c r="A41" s="11" t="s">
        <v>38</v>
      </c>
      <c r="B41" s="80"/>
      <c r="C41" s="12">
        <f>September!C41+B41</f>
        <v>0</v>
      </c>
      <c r="D41" s="81"/>
      <c r="E41" s="12">
        <f>September!E41+D41</f>
        <v>0</v>
      </c>
      <c r="F41" s="59"/>
      <c r="G41" s="12">
        <f>September!G41+F41</f>
        <v>0</v>
      </c>
    </row>
    <row r="42" spans="1:7" x14ac:dyDescent="0.2">
      <c r="A42" s="11" t="s">
        <v>39</v>
      </c>
      <c r="B42" s="80"/>
      <c r="C42" s="12">
        <f>September!C42+B42</f>
        <v>326</v>
      </c>
      <c r="D42" s="81">
        <v>290</v>
      </c>
      <c r="E42" s="12">
        <f>September!E42+D42</f>
        <v>294</v>
      </c>
      <c r="F42" s="59"/>
      <c r="G42" s="12">
        <f>September!G42+F42</f>
        <v>0</v>
      </c>
    </row>
    <row r="43" spans="1:7" x14ac:dyDescent="0.2">
      <c r="A43" s="11" t="s">
        <v>40</v>
      </c>
      <c r="B43" s="80"/>
      <c r="C43" s="12">
        <f>September!C43+B43</f>
        <v>0</v>
      </c>
      <c r="D43" s="81"/>
      <c r="E43" s="12">
        <f>September!E43+D43</f>
        <v>0</v>
      </c>
      <c r="F43" s="59"/>
      <c r="G43" s="12">
        <f>September!G43+F43</f>
        <v>0</v>
      </c>
    </row>
    <row r="44" spans="1:7" x14ac:dyDescent="0.2">
      <c r="A44" s="11" t="s">
        <v>41</v>
      </c>
      <c r="B44" s="80"/>
      <c r="C44" s="12">
        <f>September!C44+B44</f>
        <v>0</v>
      </c>
      <c r="D44" s="81"/>
      <c r="E44" s="12">
        <f>September!E44+D44</f>
        <v>0</v>
      </c>
      <c r="F44" s="59"/>
      <c r="G44" s="12">
        <f>September!G44+F44</f>
        <v>0</v>
      </c>
    </row>
    <row r="45" spans="1:7" x14ac:dyDescent="0.2">
      <c r="A45" s="11" t="s">
        <v>42</v>
      </c>
      <c r="B45" s="80">
        <f>1200+1400+620+650+700+525+50+120+128+400+625+625+550+100+100+50+60+45+120+100+1100+1400+450+2000+500+73+2400+1127+1323+700+700+700+525+525+250+1100+450+2000+400+400+110+110+45+45+75+75+75+2013+2013+400+600+600+2300+16541+57198</f>
        <v>108491</v>
      </c>
      <c r="C45" s="12">
        <f>September!C45+B45</f>
        <v>854218</v>
      </c>
      <c r="D45" s="81">
        <f>221+986</f>
        <v>1207</v>
      </c>
      <c r="E45" s="12">
        <f>September!E45+D45</f>
        <v>22436</v>
      </c>
      <c r="F45" s="59"/>
      <c r="G45" s="12">
        <f>September!G45+F45</f>
        <v>0</v>
      </c>
    </row>
    <row r="46" spans="1:7" x14ac:dyDescent="0.2">
      <c r="A46" s="11" t="s">
        <v>43</v>
      </c>
      <c r="B46" s="80"/>
      <c r="C46" s="12">
        <f>September!C46+B46</f>
        <v>0</v>
      </c>
      <c r="D46" s="81"/>
      <c r="E46" s="12">
        <f>September!E46+D46</f>
        <v>0</v>
      </c>
      <c r="F46" s="59"/>
      <c r="G46" s="12">
        <f>September!G46+F46</f>
        <v>0</v>
      </c>
    </row>
    <row r="47" spans="1:7" x14ac:dyDescent="0.2">
      <c r="A47" s="11" t="s">
        <v>44</v>
      </c>
      <c r="B47" s="80">
        <v>72937</v>
      </c>
      <c r="C47" s="12">
        <f>September!C47+B47</f>
        <v>472955</v>
      </c>
      <c r="D47" s="81"/>
      <c r="E47" s="12">
        <f>September!E47+D47</f>
        <v>5514</v>
      </c>
      <c r="F47" s="59"/>
      <c r="G47" s="12">
        <f>September!G47+F47</f>
        <v>0</v>
      </c>
    </row>
    <row r="48" spans="1:7" x14ac:dyDescent="0.2">
      <c r="A48" s="11" t="s">
        <v>45</v>
      </c>
      <c r="B48" s="80"/>
      <c r="C48" s="12">
        <f>September!C48+B48</f>
        <v>283907</v>
      </c>
      <c r="D48" s="81"/>
      <c r="E48" s="12">
        <f>September!E48+D48</f>
        <v>2</v>
      </c>
      <c r="F48" s="59"/>
      <c r="G48" s="12">
        <f>September!G48+F48</f>
        <v>0</v>
      </c>
    </row>
    <row r="49" spans="1:256" x14ac:dyDescent="0.2">
      <c r="A49" s="11" t="s">
        <v>46</v>
      </c>
      <c r="B49" s="80"/>
      <c r="C49" s="12">
        <f>September!C49+B49</f>
        <v>0</v>
      </c>
      <c r="D49" s="81"/>
      <c r="E49" s="12">
        <f>September!E49+D49</f>
        <v>0</v>
      </c>
      <c r="F49" s="59"/>
      <c r="G49" s="12">
        <f>September!G49+F49</f>
        <v>0</v>
      </c>
    </row>
    <row r="50" spans="1:256" x14ac:dyDescent="0.2">
      <c r="A50" s="11" t="s">
        <v>47</v>
      </c>
      <c r="B50" s="80"/>
      <c r="C50" s="12">
        <f>September!C50+B50</f>
        <v>4</v>
      </c>
      <c r="D50" s="81"/>
      <c r="E50" s="12">
        <f>September!E50+D50</f>
        <v>0</v>
      </c>
      <c r="F50" s="59"/>
      <c r="G50" s="12">
        <f>September!G50+F50</f>
        <v>0</v>
      </c>
    </row>
    <row r="51" spans="1:256" x14ac:dyDescent="0.2">
      <c r="A51" s="11" t="s">
        <v>48</v>
      </c>
      <c r="B51" s="80"/>
      <c r="C51" s="12">
        <f>September!C51+B51</f>
        <v>0</v>
      </c>
      <c r="D51" s="81"/>
      <c r="E51" s="12">
        <f>September!E51+D51</f>
        <v>2</v>
      </c>
      <c r="F51" s="59"/>
      <c r="G51" s="12">
        <f>September!G51+F51</f>
        <v>0</v>
      </c>
    </row>
    <row r="52" spans="1:256" x14ac:dyDescent="0.2">
      <c r="A52" s="11" t="s">
        <v>49</v>
      </c>
      <c r="B52" s="80"/>
      <c r="C52" s="12">
        <f>September!C52+B52</f>
        <v>0</v>
      </c>
      <c r="D52" s="81"/>
      <c r="E52" s="12">
        <f>September!E52+D52</f>
        <v>0</v>
      </c>
      <c r="F52" s="59"/>
      <c r="G52" s="12">
        <f>September!G52+F52</f>
        <v>0</v>
      </c>
    </row>
    <row r="53" spans="1:256" x14ac:dyDescent="0.2">
      <c r="A53" s="11" t="s">
        <v>50</v>
      </c>
      <c r="B53" s="80">
        <f>490+690+672+100+150+120+230+150+250+180+250+120+100+150+200+87+850+800+925+450+2000+360+700+13+300+2400+5+300+450+850+750+16+90+150+200+120+100+180+250+2100+750+1200+40+60+5+950+950+1000+100+120+230+400+150+220+90+200+100+215+175+4400</f>
        <v>29653</v>
      </c>
      <c r="C53" s="12">
        <f>September!C53+B53</f>
        <v>167618</v>
      </c>
      <c r="D53" s="81"/>
      <c r="E53" s="12">
        <f>September!E53+D53</f>
        <v>1382</v>
      </c>
      <c r="F53" s="59"/>
      <c r="G53" s="12">
        <f>September!G53+F53</f>
        <v>0</v>
      </c>
    </row>
    <row r="54" spans="1:256" ht="15.75" thickBot="1" x14ac:dyDescent="0.25">
      <c r="A54" s="11" t="s">
        <v>51</v>
      </c>
      <c r="B54" s="77">
        <f>13657+1450</f>
        <v>15107</v>
      </c>
      <c r="C54" s="12">
        <f>September!C54+B54</f>
        <v>121601</v>
      </c>
      <c r="D54" s="81"/>
      <c r="E54" s="12">
        <f>September!E54+D54</f>
        <v>1</v>
      </c>
      <c r="F54" s="59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2490684</v>
      </c>
      <c r="C55" s="14">
        <f>September!C55+B55</f>
        <v>22270440</v>
      </c>
      <c r="D55" s="14">
        <f>SUM(D7:D54)</f>
        <v>17367</v>
      </c>
      <c r="E55" s="14">
        <f>September!E55+D55</f>
        <v>189798</v>
      </c>
      <c r="F55" s="14">
        <f>SUM(F7:F54)</f>
        <v>9809</v>
      </c>
      <c r="G55" s="14">
        <f>September!G55+F55</f>
        <v>98274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300</v>
      </c>
      <c r="D58" s="23">
        <f>September!D58+C58</f>
        <v>300</v>
      </c>
      <c r="E58" s="17"/>
    </row>
    <row r="59" spans="1:256" x14ac:dyDescent="0.2">
      <c r="A59" s="1" t="s">
        <v>56</v>
      </c>
      <c r="B59" s="22"/>
      <c r="C59" s="22">
        <v>8942</v>
      </c>
      <c r="D59" s="23">
        <f>September!D59+C59</f>
        <v>63892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>
        <f>10+8+30+2320+1400+1100+1124+160+250+300+320+515+1320+130+550+115+200+135+45+160+120+360+135+200+115+45+160+300+120+12+8+112+8+660+15+10+280+562+190+900+1160+170+510+21+55+114+6+16+135+160+120+160+300+45+115+50+101+10+15+45+8+500+580+80+330+172+185+140+281+160+120+115+45+360+135+160+26+8+3+20+360+45+200+115+135+140+281+400+580+295+15+180+120+330+160+120+8338</f>
        <v>33054</v>
      </c>
      <c r="D62" s="23">
        <f>September!D62+C62</f>
        <v>267374</v>
      </c>
    </row>
    <row r="63" spans="1:256" x14ac:dyDescent="0.2">
      <c r="A63" s="1" t="s">
        <v>65</v>
      </c>
      <c r="B63" s="22"/>
      <c r="C63" s="22">
        <f>180+60+40+320+106+240+45+20+20+80+80+100+305+100+223+200+60+40+320+20+270+45+106+80+8+188+60+275+60+320+52+20+8+240+40+45+20+80+203+162+15+32+320+60+180+52+200+60+40+40+240+45+20+80+25+180+100+200+180+320+52+200+60+40+240+45+320+20+270+45+106+80</f>
        <v>8708</v>
      </c>
      <c r="D63" s="23">
        <f>September!D63+C63</f>
        <v>130050</v>
      </c>
    </row>
    <row r="64" spans="1:256" x14ac:dyDescent="0.2">
      <c r="A64" s="1" t="s">
        <v>63</v>
      </c>
      <c r="B64" s="22"/>
      <c r="C64" s="22">
        <f>205+200+200+115+320+360+80+52+85+260+240+200+60+45+300+20+125+240+70+130+65+36+200+200+115+250+360+150+180+185+20+130+130+140+130+250+80+240+220+52+80+115+180+200+205+200+200+210+20+45+20+10+28+145+130+52+95+240+100+34+185+180+150+115+145+200+140+130+140+45+135+250+115+180+200+205+200+200+250+240+125+37+80+52+140+130+205+200+200+250+200+115+200+45+80+52+175+240+250+65+150+180+185+200+165+115+65+130+60+170+240+130+52+20+35+130+65+20+200+145+115+150+180+185+52+105+240+130</f>
        <v>18609</v>
      </c>
      <c r="D64" s="23">
        <f>September!D64+C64</f>
        <v>260400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>
        <f>170+100+140+45+75+75+100+140+206+75+65+30+50+70+35+75+56+75+40+75+100+90+85+140+140+280+280+100+75+140+140+150+76+65+148+50+75+140+100+75+40+43+46+85+100+198+140+1113</f>
        <v>5911</v>
      </c>
      <c r="D66" s="23">
        <f>September!D66+C66</f>
        <v>59738</v>
      </c>
    </row>
    <row r="67" spans="1:4" x14ac:dyDescent="0.2">
      <c r="A67" s="1" t="s">
        <v>62</v>
      </c>
      <c r="C67" s="22">
        <v>1250</v>
      </c>
      <c r="D67" s="23">
        <f>September!D67+C67</f>
        <v>8599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75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825+902+902+902</f>
        <v>3531</v>
      </c>
      <c r="C7" s="12">
        <f>October!C7+B7</f>
        <v>19660</v>
      </c>
      <c r="D7" s="81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0"/>
      <c r="C8" s="12">
        <f>October!C8+B8</f>
        <v>37</v>
      </c>
      <c r="D8" s="81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0">
        <f>550+550+850+850+650+500+875+475+900+600+900+525</f>
        <v>8225</v>
      </c>
      <c r="C9" s="12">
        <f>October!C9+B9</f>
        <v>269979</v>
      </c>
      <c r="D9" s="81"/>
      <c r="E9" s="12">
        <f>October!E9+D9</f>
        <v>6</v>
      </c>
      <c r="F9" s="12"/>
      <c r="G9" s="12">
        <f>October!G9+F9</f>
        <v>0</v>
      </c>
    </row>
    <row r="10" spans="1:256" x14ac:dyDescent="0.2">
      <c r="A10" s="11" t="s">
        <v>8</v>
      </c>
      <c r="B10" s="80"/>
      <c r="C10" s="12">
        <f>October!C10+B10</f>
        <v>91</v>
      </c>
      <c r="D10" s="81"/>
      <c r="E10" s="12">
        <f>October!E10+D10</f>
        <v>27</v>
      </c>
      <c r="F10" s="12"/>
      <c r="G10" s="12">
        <f>October!G10+F10</f>
        <v>0</v>
      </c>
    </row>
    <row r="11" spans="1:256" x14ac:dyDescent="0.2">
      <c r="A11" s="92" t="s">
        <v>52</v>
      </c>
      <c r="B11" s="80">
        <v>154655</v>
      </c>
      <c r="C11" s="12">
        <f>October!C11+B11</f>
        <v>1982657</v>
      </c>
      <c r="D11" s="81">
        <v>835</v>
      </c>
      <c r="E11" s="12">
        <f>October!E11+D11</f>
        <v>28100</v>
      </c>
      <c r="F11" s="12">
        <v>10729</v>
      </c>
      <c r="G11" s="12">
        <f>October!G11+F11</f>
        <v>105623</v>
      </c>
    </row>
    <row r="12" spans="1:256" x14ac:dyDescent="0.2">
      <c r="A12" s="11" t="s">
        <v>9</v>
      </c>
      <c r="B12" s="80">
        <f>2100+1830+830+1200+1820+434+1126+720+360+1800+1080+1440+2010+2080+1685+1800+1800+1200+11300+29560+24978</f>
        <v>91153</v>
      </c>
      <c r="C12" s="12">
        <f>October!C12+B12</f>
        <v>1089287</v>
      </c>
      <c r="D12" s="81"/>
      <c r="E12" s="12">
        <f>October!E12+D12</f>
        <v>900</v>
      </c>
      <c r="F12" s="12"/>
      <c r="G12" s="12">
        <f>October!G12+F12</f>
        <v>0</v>
      </c>
    </row>
    <row r="13" spans="1:256" x14ac:dyDescent="0.2">
      <c r="A13" s="11" t="s">
        <v>10</v>
      </c>
      <c r="B13" s="80"/>
      <c r="C13" s="12">
        <f>October!C13+B13</f>
        <v>0</v>
      </c>
      <c r="D13" s="81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0"/>
      <c r="C14" s="12">
        <f>October!C14+B14</f>
        <v>0</v>
      </c>
      <c r="D14" s="81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0"/>
      <c r="C15" s="12">
        <f>October!C15+B15</f>
        <v>0</v>
      </c>
      <c r="D15" s="81"/>
      <c r="E15" s="12">
        <f>October!E15+D15</f>
        <v>2</v>
      </c>
      <c r="F15" s="12"/>
      <c r="G15" s="12">
        <f>October!G15+F15</f>
        <v>0</v>
      </c>
    </row>
    <row r="16" spans="1:256" x14ac:dyDescent="0.2">
      <c r="A16" s="11" t="s">
        <v>13</v>
      </c>
      <c r="B16" s="80"/>
      <c r="C16" s="12">
        <f>October!C16+B16</f>
        <v>6978</v>
      </c>
      <c r="D16" s="81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80"/>
      <c r="C17" s="12">
        <f>October!C17+B17</f>
        <v>0</v>
      </c>
      <c r="D17" s="81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0">
        <f>645+612+589+390+535+527+565+550+550+487+622+621+544+579+741+740+830+830+1040+1040+1040+1040+350+250+300+1470+1376+285+1227+895+823+500+1550+1000+900+1275+1275+1600+1230+320+320+1530+1220+805+575+575+30+150+1200+1200+790+120+195485+139192-188</f>
        <v>374747</v>
      </c>
      <c r="C18" s="12">
        <f>October!C18+B18</f>
        <v>4712787</v>
      </c>
      <c r="D18" s="81">
        <f>210+1122</f>
        <v>1332</v>
      </c>
      <c r="E18" s="12">
        <f>October!E18+D18</f>
        <v>14403</v>
      </c>
      <c r="F18" s="12"/>
      <c r="G18" s="12">
        <f>October!G18+F18</f>
        <v>0</v>
      </c>
    </row>
    <row r="19" spans="1:7" x14ac:dyDescent="0.2">
      <c r="A19" s="11" t="s">
        <v>16</v>
      </c>
      <c r="B19" s="80">
        <f>1250+1250+1000+1100+32289+18500+3805</f>
        <v>59194</v>
      </c>
      <c r="C19" s="12">
        <f>October!C19+B19</f>
        <v>518305</v>
      </c>
      <c r="D19" s="81">
        <f>2+2006</f>
        <v>2008</v>
      </c>
      <c r="E19" s="12">
        <f>October!E19+D19</f>
        <v>2895</v>
      </c>
      <c r="F19" s="12"/>
      <c r="G19" s="12">
        <f>October!G19+F19</f>
        <v>0</v>
      </c>
    </row>
    <row r="20" spans="1:7" x14ac:dyDescent="0.2">
      <c r="A20" s="11" t="s">
        <v>17</v>
      </c>
      <c r="B20" s="80">
        <f>310+1100+490+220+880+960+1220+460+950+360+1050+570+850+1250+1250+603+2000+1470+1000+600+1000+1000+1255+960+1255+1000+14571</f>
        <v>38634</v>
      </c>
      <c r="C20" s="12">
        <f>October!C20+B20</f>
        <v>307746</v>
      </c>
      <c r="D20" s="81">
        <f>25</f>
        <v>25</v>
      </c>
      <c r="E20" s="12">
        <f>October!E20+D20</f>
        <v>11787</v>
      </c>
      <c r="F20" s="12"/>
      <c r="G20" s="12">
        <f>October!G20+F20</f>
        <v>0</v>
      </c>
    </row>
    <row r="21" spans="1:7" x14ac:dyDescent="0.2">
      <c r="A21" s="11" t="s">
        <v>18</v>
      </c>
      <c r="B21" s="80">
        <f>1420+1230+1200+1225+1430</f>
        <v>6505</v>
      </c>
      <c r="C21" s="12">
        <f>October!C21+B21</f>
        <v>30597</v>
      </c>
      <c r="D21" s="81"/>
      <c r="E21" s="12">
        <f>October!E21+D21</f>
        <v>1335</v>
      </c>
      <c r="F21" s="12"/>
      <c r="G21" s="12">
        <f>October!G21+F21</f>
        <v>0</v>
      </c>
    </row>
    <row r="22" spans="1:7" x14ac:dyDescent="0.2">
      <c r="A22" s="11" t="s">
        <v>19</v>
      </c>
      <c r="B22" s="80"/>
      <c r="C22" s="12">
        <f>October!C22+B22</f>
        <v>3</v>
      </c>
      <c r="D22" s="81"/>
      <c r="E22" s="12">
        <f>October!E22+D22</f>
        <v>14</v>
      </c>
      <c r="F22" s="12"/>
      <c r="G22" s="12">
        <f>October!G22+F22</f>
        <v>0</v>
      </c>
    </row>
    <row r="23" spans="1:7" x14ac:dyDescent="0.2">
      <c r="A23" s="11" t="s">
        <v>20</v>
      </c>
      <c r="B23" s="80"/>
      <c r="C23" s="12">
        <f>October!C23+B23</f>
        <v>0</v>
      </c>
      <c r="D23" s="81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0"/>
      <c r="C24" s="12">
        <f>October!C24+B24</f>
        <v>0</v>
      </c>
      <c r="D24" s="81">
        <v>80</v>
      </c>
      <c r="E24" s="12">
        <f>October!E24+D24</f>
        <v>200</v>
      </c>
      <c r="F24" s="12"/>
      <c r="G24" s="12">
        <f>October!G24+F24</f>
        <v>0</v>
      </c>
    </row>
    <row r="25" spans="1:7" x14ac:dyDescent="0.2">
      <c r="A25" s="11" t="s">
        <v>22</v>
      </c>
      <c r="B25" s="80"/>
      <c r="C25" s="12">
        <f>October!C25+B25</f>
        <v>0</v>
      </c>
      <c r="D25" s="81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0">
        <v>5000</v>
      </c>
      <c r="C26" s="12">
        <f>October!C26+B26</f>
        <v>21058</v>
      </c>
      <c r="D26" s="81">
        <v>2130</v>
      </c>
      <c r="E26" s="12">
        <f>October!E26+D26</f>
        <v>11576</v>
      </c>
      <c r="F26" s="12"/>
      <c r="G26" s="12">
        <f>October!G26+F26</f>
        <v>0</v>
      </c>
    </row>
    <row r="27" spans="1:7" x14ac:dyDescent="0.2">
      <c r="A27" s="11" t="s">
        <v>24</v>
      </c>
      <c r="B27" s="80">
        <f>650+675+1605+2140+380+352+620+100+150+2000+2028+2028+2028+2056+2028+50+560+640+1+4000+400+4160+1500+2475+950+40+40+180+540+350+850+850+750+750+560+373+590+2000+630+340+2400+600+1000+1050+380+500+375+420+400+280+500+275+1245+1290+2500+1680+720+625+850+950+120+2400+2400+600+2200+600+51+27+650+108+2056+41+45+400+375+475+980+2940+2450+650+85412+31166-102</f>
        <v>196503</v>
      </c>
      <c r="C27" s="12">
        <f>October!C27+B27</f>
        <v>2573959</v>
      </c>
      <c r="D27" s="81">
        <f>120+4+212+6+35+300+4+45+994</f>
        <v>1720</v>
      </c>
      <c r="E27" s="12">
        <f>October!E27+D27</f>
        <v>41839</v>
      </c>
      <c r="F27" s="12"/>
      <c r="G27" s="12">
        <f>October!G27+F27</f>
        <v>860</v>
      </c>
    </row>
    <row r="28" spans="1:7" x14ac:dyDescent="0.2">
      <c r="A28" s="11" t="s">
        <v>25</v>
      </c>
      <c r="B28" s="80">
        <v>59490</v>
      </c>
      <c r="C28" s="12">
        <f>October!C28+B28</f>
        <v>752449</v>
      </c>
      <c r="D28" s="81"/>
      <c r="E28" s="12">
        <f>October!E28+D28</f>
        <v>890</v>
      </c>
      <c r="F28" s="12"/>
      <c r="G28" s="12">
        <f>October!G28+F28</f>
        <v>0</v>
      </c>
    </row>
    <row r="29" spans="1:7" x14ac:dyDescent="0.2">
      <c r="A29" s="11" t="s">
        <v>26</v>
      </c>
      <c r="B29" s="80">
        <f>2500+2500+1200+2500+1000+1945+1915+1000+1915+1512+718+1600+1000+1940+120+700+700+700+800+674+740+700+700+700+1000+1000+1000+500+1000+1000+1000+1000+600+600+1100+1925+1910+1100+1895+300+1910+800+1925+2027+1390+2393+1300+2600+2600+2600+1325+790+2600+450+1100+1100+1100+1100+1200+674+1785+616+225+2550+520+1100+1100+1100+1100+1100+1900+1050+1900+1325+600+600+1050+1900+1900+1983+1250+1250+1250+1125+1125+1200+194212+81412</f>
        <v>385921</v>
      </c>
      <c r="C29" s="12">
        <f>October!C29+B29</f>
        <v>4116831</v>
      </c>
      <c r="D29" s="81">
        <v>2100</v>
      </c>
      <c r="E29" s="12">
        <f>October!E29+D29</f>
        <v>19270</v>
      </c>
      <c r="F29" s="12"/>
      <c r="G29" s="12">
        <f>October!G29+F29</f>
        <v>2520</v>
      </c>
    </row>
    <row r="30" spans="1:7" x14ac:dyDescent="0.2">
      <c r="A30" s="11" t="s">
        <v>27</v>
      </c>
      <c r="B30" s="80">
        <f>4595+1100</f>
        <v>5695</v>
      </c>
      <c r="C30" s="12">
        <f>October!C30+B30</f>
        <v>55830</v>
      </c>
      <c r="D30" s="81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0">
        <f>700+1100+470+470+470+130+82+3750+145+1425+1200+700+350+700+1425+920+2025+3750+145+300+1225+5200+700+1150+800+650+950+600+600+700+1450+700+5600+4+1250+250+1000+1554+1275+1554+1554+1983+1984+1983+1984+1125+1125+1125+1250+1250+1250+1250+1983+1984+1983+24+800+1450+800+1250+1050+147987+25905</f>
        <v>250548</v>
      </c>
      <c r="C31" s="12">
        <f>October!C31+B31</f>
        <v>2364350</v>
      </c>
      <c r="D31" s="81">
        <f>2+2+11+190+21+27+1+150+27+330+55+160+360+32+2+22+1</f>
        <v>1393</v>
      </c>
      <c r="E31" s="12">
        <f>October!E31+D31</f>
        <v>19484</v>
      </c>
      <c r="F31" s="12"/>
      <c r="G31" s="12">
        <f>October!G31+F31</f>
        <v>0</v>
      </c>
    </row>
    <row r="32" spans="1:7" x14ac:dyDescent="0.2">
      <c r="A32" s="11" t="s">
        <v>29</v>
      </c>
      <c r="B32" s="80"/>
      <c r="C32" s="12">
        <f>October!C32+B32</f>
        <v>0</v>
      </c>
      <c r="D32" s="81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0"/>
      <c r="C33" s="12">
        <f>October!C33+B33</f>
        <v>0</v>
      </c>
      <c r="D33" s="81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0"/>
      <c r="C34" s="12">
        <f>October!C34+B34</f>
        <v>0</v>
      </c>
      <c r="D34" s="81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0"/>
      <c r="C35" s="12">
        <f>October!C35+B35</f>
        <v>0</v>
      </c>
      <c r="D35" s="81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0"/>
      <c r="C36" s="12">
        <f>October!C36+B36</f>
        <v>8</v>
      </c>
      <c r="D36" s="81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0">
        <f>750+750+1900+750+800+71990+12500</f>
        <v>89440</v>
      </c>
      <c r="C37" s="12">
        <f>October!C37+B37</f>
        <v>974005</v>
      </c>
      <c r="D37" s="81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0">
        <v>26275</v>
      </c>
      <c r="C38" s="12">
        <f>October!C38+B38</f>
        <v>316204</v>
      </c>
      <c r="D38" s="81">
        <f>90+400</f>
        <v>490</v>
      </c>
      <c r="E38" s="12">
        <f>October!E38+D38</f>
        <v>1955</v>
      </c>
      <c r="F38" s="12"/>
      <c r="G38" s="12">
        <f>October!G38+F38</f>
        <v>0</v>
      </c>
    </row>
    <row r="39" spans="1:7" x14ac:dyDescent="0.2">
      <c r="A39" s="11" t="s">
        <v>36</v>
      </c>
      <c r="B39" s="80">
        <f>450+850+2100+10370</f>
        <v>13770</v>
      </c>
      <c r="C39" s="12">
        <f>October!C39+B39</f>
        <v>153547</v>
      </c>
      <c r="D39" s="81"/>
      <c r="E39" s="12">
        <f>October!E39+D39</f>
        <v>10246</v>
      </c>
      <c r="F39" s="12"/>
      <c r="G39" s="12">
        <f>October!G39+F39</f>
        <v>0</v>
      </c>
    </row>
    <row r="40" spans="1:7" x14ac:dyDescent="0.2">
      <c r="A40" s="11" t="s">
        <v>37</v>
      </c>
      <c r="B40" s="80">
        <f>2160+510+2120+2260+1+2521+2100+195236</f>
        <v>206908</v>
      </c>
      <c r="C40" s="12">
        <f>October!C40+B40</f>
        <v>2079637</v>
      </c>
      <c r="D40" s="81"/>
      <c r="E40" s="12">
        <f>October!E40+D40</f>
        <v>7351</v>
      </c>
      <c r="F40" s="12"/>
      <c r="G40" s="12">
        <f>October!G40+F40</f>
        <v>0</v>
      </c>
    </row>
    <row r="41" spans="1:7" x14ac:dyDescent="0.2">
      <c r="A41" s="11" t="s">
        <v>38</v>
      </c>
      <c r="B41" s="80"/>
      <c r="C41" s="12">
        <f>October!C41+B41</f>
        <v>0</v>
      </c>
      <c r="D41" s="81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0"/>
      <c r="C42" s="12">
        <f>October!C42+B42</f>
        <v>326</v>
      </c>
      <c r="D42" s="81"/>
      <c r="E42" s="12">
        <f>October!E42+D42</f>
        <v>294</v>
      </c>
      <c r="F42" s="12"/>
      <c r="G42" s="12">
        <f>October!G42+F42</f>
        <v>0</v>
      </c>
    </row>
    <row r="43" spans="1:7" x14ac:dyDescent="0.2">
      <c r="A43" s="11" t="s">
        <v>40</v>
      </c>
      <c r="B43" s="80"/>
      <c r="C43" s="12">
        <f>October!C43+B43</f>
        <v>0</v>
      </c>
      <c r="D43" s="81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0"/>
      <c r="C44" s="12">
        <f>October!C44+B44</f>
        <v>0</v>
      </c>
      <c r="D44" s="81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0">
        <f>70+1675+620+620+525+525+850+800+850+500+500+650+650+1500+1000+45+110+128+500+600+650+800+650+1400+59+75+30+65+50+100+90+13539+47471+2760</f>
        <v>80457</v>
      </c>
      <c r="C45" s="12">
        <f>October!C45+B45</f>
        <v>934675</v>
      </c>
      <c r="D45" s="81">
        <v>1516</v>
      </c>
      <c r="E45" s="12">
        <f>October!E45+D45</f>
        <v>23952</v>
      </c>
      <c r="F45" s="12"/>
      <c r="G45" s="12">
        <f>October!G45+F45</f>
        <v>0</v>
      </c>
    </row>
    <row r="46" spans="1:7" x14ac:dyDescent="0.2">
      <c r="A46" s="11" t="s">
        <v>43</v>
      </c>
      <c r="B46" s="82"/>
      <c r="C46" s="12">
        <f>October!C46+B46</f>
        <v>0</v>
      </c>
      <c r="D46" s="81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0">
        <v>45349</v>
      </c>
      <c r="C47" s="12">
        <f>October!C47+B47</f>
        <v>518304</v>
      </c>
      <c r="D47" s="81"/>
      <c r="E47" s="12">
        <f>October!E47+D47</f>
        <v>5514</v>
      </c>
      <c r="F47" s="12"/>
      <c r="G47" s="12">
        <f>October!G47+F47</f>
        <v>0</v>
      </c>
    </row>
    <row r="48" spans="1:7" x14ac:dyDescent="0.2">
      <c r="A48" s="11" t="s">
        <v>45</v>
      </c>
      <c r="B48" s="80"/>
      <c r="C48" s="12">
        <f>October!C48+B48</f>
        <v>283907</v>
      </c>
      <c r="D48" s="81"/>
      <c r="E48" s="12">
        <f>October!E48+D48</f>
        <v>2</v>
      </c>
      <c r="F48" s="12"/>
      <c r="G48" s="12">
        <f>October!G48+F48</f>
        <v>0</v>
      </c>
    </row>
    <row r="49" spans="1:256" x14ac:dyDescent="0.2">
      <c r="A49" s="11" t="s">
        <v>46</v>
      </c>
      <c r="B49" s="80"/>
      <c r="C49" s="12">
        <f>October!C49+B49</f>
        <v>0</v>
      </c>
      <c r="D49" s="81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0"/>
      <c r="C50" s="12">
        <f>October!C50+B50</f>
        <v>4</v>
      </c>
      <c r="D50" s="81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0"/>
      <c r="C51" s="12">
        <f>October!C51+B51</f>
        <v>0</v>
      </c>
      <c r="D51" s="81"/>
      <c r="E51" s="12">
        <f>October!E51+D51</f>
        <v>2</v>
      </c>
      <c r="F51" s="12"/>
      <c r="G51" s="12">
        <f>October!G51+F51</f>
        <v>0</v>
      </c>
    </row>
    <row r="52" spans="1:256" x14ac:dyDescent="0.2">
      <c r="A52" s="11" t="s">
        <v>49</v>
      </c>
      <c r="B52" s="80"/>
      <c r="C52" s="12">
        <f>October!C52+B52</f>
        <v>0</v>
      </c>
      <c r="D52" s="81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0">
        <f>110+90+300+110+250+140+7+282+850+850+1000+2000+500+780+650+110+120+200+250+200+120+120+220+120+40+150+300+100+120+180+150+200</f>
        <v>10619</v>
      </c>
      <c r="C53" s="12">
        <f>October!C53+B53</f>
        <v>178237</v>
      </c>
      <c r="D53" s="81"/>
      <c r="E53" s="12">
        <f>October!E53+D53</f>
        <v>1382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0">
        <f>8586+575+2282</f>
        <v>11443</v>
      </c>
      <c r="C54" s="12">
        <f>October!C54+B54</f>
        <v>133044</v>
      </c>
      <c r="D54" s="81"/>
      <c r="E54" s="12">
        <f>October!E54+D54</f>
        <v>1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84">
        <f>SUM(B7:B54)</f>
        <v>2124062</v>
      </c>
      <c r="C55" s="14">
        <f>October!C55+B55</f>
        <v>24394502</v>
      </c>
      <c r="D55" s="14">
        <f>SUM(D7:D54)</f>
        <v>13629</v>
      </c>
      <c r="E55" s="14">
        <f>October!E55+D55</f>
        <v>203427</v>
      </c>
      <c r="F55" s="14">
        <f>SUM(F7:F54)</f>
        <v>10729</v>
      </c>
      <c r="G55" s="14">
        <f>October!G55+F55</f>
        <v>109003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54</v>
      </c>
      <c r="D58" s="23">
        <f>October!D58+C58</f>
        <v>354</v>
      </c>
      <c r="E58" s="17"/>
    </row>
    <row r="59" spans="1:256" x14ac:dyDescent="0.2">
      <c r="A59" s="1" t="s">
        <v>56</v>
      </c>
      <c r="B59" s="22"/>
      <c r="C59" s="22">
        <v>7937</v>
      </c>
      <c r="D59" s="23">
        <f>October!D59+C59</f>
        <v>71829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>
        <f>8+10+8+96+80+106+60+320+20+270+45+40+240+45+240+40+45+20+80+80+188+200+60+52+135+115+200+45+160+120+360+135+200+115+45+200+160+360+115+135+200+45+120+360+160+8+10+30+200+135+115+45+360+160+120+106+8+55+570+21+24+2+9+10+200+1290+2303+295+220+180+1124+805+1700+290+190+160+360+120+45+135+7080</f>
        <v>24323</v>
      </c>
      <c r="D62" s="23">
        <f>October!D62+C62</f>
        <v>291697</v>
      </c>
    </row>
    <row r="63" spans="1:256" x14ac:dyDescent="0.2">
      <c r="A63" s="1" t="s">
        <v>65</v>
      </c>
      <c r="B63" s="22"/>
      <c r="C63" s="22">
        <f>106+45+52+320+60+200+138+269+60+20+80+60+60+40+270+20+320+80+106+45+270+20+60+40+117+60+144+60+52+200+80+240+45+20+40+25+510+40+200+115+275+60+320+52+190+40+240+45+20+106+45+20+40+60+60+100+234+80+200+60+60+20+270+45+106+80+100+45+106+80+200+100+60+52+320+270+320+80+60+157+20+40+240+45+80+220+60+60+40+320+270+60+60+52+320+155+40+240+45+80+206</f>
        <v>12120</v>
      </c>
      <c r="D63" s="23">
        <f>October!D63+C63</f>
        <v>142170</v>
      </c>
    </row>
    <row r="64" spans="1:256" x14ac:dyDescent="0.2">
      <c r="A64" s="1" t="s">
        <v>63</v>
      </c>
      <c r="B64" s="22"/>
      <c r="C64" s="22">
        <f>180+150+185+105+200+165+115+20+160+240+120+52+65+130+205+200+200+80+52+90+240+190+250+45+35+115+200+200+240+200+205+200+115+200+200+205+200+200+80+52+80+240+220+135+275+45+180+150+185+135+240+160+115+153+20+52+52+115+165+200+20+45+80+250+220+175+52+200+200+115+120+140+130+140+130+52+240+100+130+115+20+65+60+70+115+165+200+185+180+150+115+200+200+204+200+200+240+115+52+80+230+250+45+185+250+150+115+165+200+20+26+85+240+140+130+140+130+65+130+130</f>
        <v>17299</v>
      </c>
      <c r="D64" s="23">
        <f>October!D64+C64</f>
        <v>277699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>
        <f>59+75+40+84+120+100+75+30+40+238+100+75+140+4+660+80+100+74+113+140+40+75+98+27+30+74+100+140+560</f>
        <v>3491</v>
      </c>
      <c r="D66" s="23">
        <f>October!D66+C66</f>
        <v>63229</v>
      </c>
    </row>
    <row r="67" spans="1:4" x14ac:dyDescent="0.2">
      <c r="A67" s="1" t="s">
        <v>62</v>
      </c>
      <c r="C67" s="22">
        <v>950</v>
      </c>
      <c r="D67" s="23">
        <f>October!D67+C67</f>
        <v>9549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64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76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November!C7+B7</f>
        <v>19660</v>
      </c>
      <c r="D7" s="81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0"/>
      <c r="C8" s="12">
        <f>November!C8+B8</f>
        <v>37</v>
      </c>
      <c r="D8" s="81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0">
        <f>200+800+1000+700+300+1000+1200+1000+1000+1000+1000+775+475+950+550+318</f>
        <v>12268</v>
      </c>
      <c r="C9" s="12">
        <f>November!C9+B9</f>
        <v>282247</v>
      </c>
      <c r="D9" s="81"/>
      <c r="E9" s="12">
        <f>November!E9+D9</f>
        <v>6</v>
      </c>
      <c r="F9" s="12"/>
      <c r="G9" s="12">
        <f>November!G9+F9</f>
        <v>0</v>
      </c>
    </row>
    <row r="10" spans="1:256" x14ac:dyDescent="0.2">
      <c r="A10" s="11" t="s">
        <v>8</v>
      </c>
      <c r="B10" s="80"/>
      <c r="C10" s="12">
        <f>November!C10+B10</f>
        <v>91</v>
      </c>
      <c r="D10" s="81"/>
      <c r="E10" s="12">
        <f>November!E10+D10</f>
        <v>27</v>
      </c>
      <c r="F10" s="12"/>
      <c r="G10" s="12">
        <f>November!G10+F10</f>
        <v>0</v>
      </c>
    </row>
    <row r="11" spans="1:256" ht="15.75" thickBot="1" x14ac:dyDescent="0.25">
      <c r="A11" s="99" t="s">
        <v>52</v>
      </c>
      <c r="B11" s="80">
        <f>169625</f>
        <v>169625</v>
      </c>
      <c r="C11" s="12">
        <f>November!C11+B11</f>
        <v>2152282</v>
      </c>
      <c r="D11" s="81">
        <v>3430</v>
      </c>
      <c r="E11" s="12">
        <f>November!E11+D11</f>
        <v>31530</v>
      </c>
      <c r="F11" s="12">
        <v>12269</v>
      </c>
      <c r="G11" s="12">
        <f>November!G11+F11</f>
        <v>117892</v>
      </c>
    </row>
    <row r="12" spans="1:256" x14ac:dyDescent="0.2">
      <c r="A12" s="11" t="s">
        <v>9</v>
      </c>
      <c r="B12" s="80">
        <f>500+1000+1500+700+300+632+1068+1000+1500+1750+2240+1125+1740+346+1404+2000+2000+2100+1700+1700+2250+1700+1750+1700+1400+1700+280+200+2000+78917</f>
        <v>118202</v>
      </c>
      <c r="C12" s="12">
        <f>November!C12+B12</f>
        <v>1207489</v>
      </c>
      <c r="D12" s="81"/>
      <c r="E12" s="12">
        <f>November!E12+D12</f>
        <v>900</v>
      </c>
      <c r="F12" s="12"/>
      <c r="G12" s="12">
        <f>November!G12+F12</f>
        <v>0</v>
      </c>
    </row>
    <row r="13" spans="1:256" x14ac:dyDescent="0.2">
      <c r="A13" s="11" t="s">
        <v>10</v>
      </c>
      <c r="B13" s="80"/>
      <c r="C13" s="12">
        <f>November!C13+B13</f>
        <v>0</v>
      </c>
      <c r="D13" s="81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0"/>
      <c r="C14" s="12">
        <f>November!C14+B14</f>
        <v>0</v>
      </c>
      <c r="D14" s="81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0"/>
      <c r="C15" s="12">
        <f>November!C15+B15</f>
        <v>0</v>
      </c>
      <c r="D15" s="81"/>
      <c r="E15" s="12">
        <f>November!E15+D15</f>
        <v>2</v>
      </c>
      <c r="F15" s="12"/>
      <c r="G15" s="12">
        <f>November!G15+F15</f>
        <v>0</v>
      </c>
    </row>
    <row r="16" spans="1:256" x14ac:dyDescent="0.2">
      <c r="A16" s="11" t="s">
        <v>13</v>
      </c>
      <c r="B16" s="80"/>
      <c r="C16" s="12">
        <f>November!C16+B16</f>
        <v>6978</v>
      </c>
      <c r="D16" s="81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80"/>
      <c r="C17" s="12">
        <f>November!C17+B17</f>
        <v>0</v>
      </c>
      <c r="D17" s="81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0">
        <f>830+830+830+1008+1300+1150+1350+1100+1000+1000+1000+1100+1800+1020+780+1050+1050+670+670+670+830+830+830+1400+1050+757+1500+1450+1450+1450+705+705+356+1100+1100+830+1020+1020+1150+1150+1150+1150+1150+1300+285+760+1400+1200+1200+1200+1200+750+1000+10+657+667+668+668+671+672+672+800+800+800+1100+1100+1100+1100+320+730+300+546+651+575+566+714+663+710+743+426+658+564+544+622+634+611+1100+1100+1100+393089</f>
        <v>473087</v>
      </c>
      <c r="C18" s="12">
        <f>November!C18+B18</f>
        <v>5185874</v>
      </c>
      <c r="D18" s="81">
        <f>5+500+23+1394</f>
        <v>1922</v>
      </c>
      <c r="E18" s="12">
        <f>November!E18+D18</f>
        <v>16325</v>
      </c>
      <c r="F18" s="12"/>
      <c r="G18" s="12">
        <f>November!G18+F18</f>
        <v>0</v>
      </c>
    </row>
    <row r="19" spans="1:7" x14ac:dyDescent="0.2">
      <c r="A19" s="11" t="s">
        <v>16</v>
      </c>
      <c r="B19" s="80">
        <f>1250+1250+1200+1+1150+1250+1100+1300+1300+1000+47865</f>
        <v>58666</v>
      </c>
      <c r="C19" s="12">
        <f>November!C19+B19</f>
        <v>576971</v>
      </c>
      <c r="D19" s="81"/>
      <c r="E19" s="12">
        <f>November!E19+D19</f>
        <v>2895</v>
      </c>
      <c r="F19" s="12"/>
      <c r="G19" s="12">
        <f>November!G19+F19</f>
        <v>0</v>
      </c>
    </row>
    <row r="20" spans="1:7" x14ac:dyDescent="0.2">
      <c r="A20" s="11" t="s">
        <v>17</v>
      </c>
      <c r="B20" s="80">
        <f>1400+550+80+525+125+40+712+202+490+437+470+381+351+1400+2000+1050+1215+15196</f>
        <v>26624</v>
      </c>
      <c r="C20" s="12">
        <f>November!C20+B20</f>
        <v>334370</v>
      </c>
      <c r="D20" s="81">
        <f>10+1286</f>
        <v>1296</v>
      </c>
      <c r="E20" s="12">
        <f>November!E20+D20</f>
        <v>13083</v>
      </c>
      <c r="F20" s="12"/>
      <c r="G20" s="12">
        <f>November!G20+F20</f>
        <v>0</v>
      </c>
    </row>
    <row r="21" spans="1:7" x14ac:dyDescent="0.2">
      <c r="A21" s="11" t="s">
        <v>18</v>
      </c>
      <c r="B21" s="80">
        <f>170</f>
        <v>170</v>
      </c>
      <c r="C21" s="12">
        <f>November!C21+B21</f>
        <v>30767</v>
      </c>
      <c r="D21" s="81">
        <f>180</f>
        <v>180</v>
      </c>
      <c r="E21" s="12">
        <f>November!E21+D21</f>
        <v>1515</v>
      </c>
      <c r="F21" s="12"/>
      <c r="G21" s="12">
        <f>November!G21+F21</f>
        <v>0</v>
      </c>
    </row>
    <row r="22" spans="1:7" x14ac:dyDescent="0.2">
      <c r="A22" s="11" t="s">
        <v>19</v>
      </c>
      <c r="B22" s="80"/>
      <c r="C22" s="12">
        <f>November!C22+B22</f>
        <v>3</v>
      </c>
      <c r="D22" s="81"/>
      <c r="E22" s="12">
        <f>November!E22+D22</f>
        <v>14</v>
      </c>
      <c r="F22" s="12"/>
      <c r="G22" s="12">
        <f>November!G22+F22</f>
        <v>0</v>
      </c>
    </row>
    <row r="23" spans="1:7" x14ac:dyDescent="0.2">
      <c r="A23" s="11" t="s">
        <v>20</v>
      </c>
      <c r="B23" s="80"/>
      <c r="C23" s="12">
        <f>November!C23+B23</f>
        <v>0</v>
      </c>
      <c r="D23" s="81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0"/>
      <c r="C24" s="12">
        <f>November!C24+B24</f>
        <v>0</v>
      </c>
      <c r="D24" s="81"/>
      <c r="E24" s="12">
        <f>November!E24+D24</f>
        <v>200</v>
      </c>
      <c r="F24" s="12"/>
      <c r="G24" s="12">
        <f>November!G24+F24</f>
        <v>0</v>
      </c>
    </row>
    <row r="25" spans="1:7" x14ac:dyDescent="0.2">
      <c r="A25" s="11" t="s">
        <v>22</v>
      </c>
      <c r="B25" s="80"/>
      <c r="C25" s="12">
        <f>November!C25+B25</f>
        <v>0</v>
      </c>
      <c r="D25" s="81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0">
        <v>4100</v>
      </c>
      <c r="C26" s="12">
        <f>November!C26+B26</f>
        <v>25158</v>
      </c>
      <c r="D26" s="81">
        <v>992</v>
      </c>
      <c r="E26" s="12">
        <f>November!E26+D26</f>
        <v>12568</v>
      </c>
      <c r="F26" s="12"/>
      <c r="G26" s="12">
        <f>November!G26+F26</f>
        <v>0</v>
      </c>
    </row>
    <row r="27" spans="1:7" x14ac:dyDescent="0.2">
      <c r="A27" s="11" t="s">
        <v>24</v>
      </c>
      <c r="B27" s="80">
        <f>118+118+550+850+850+850+800+2200+1020+500+625+685+2400+275+300+555+20+157+160+470+430+210+275+375+780+780+650+650+420+71+500+400+500+650+650+380+560+2400+320+375+275+610+1220+1330+1330+2380+200+2200+1200+850+850+360+385+445+570+210+710+815+630+1245+1100+2500+450+1000+160+160+160+1000+1050+1005+166+28+180+180+350+4+680+410+500+560+2400+350+160+200+850+1085+1325+4800+2000+1325+136+90+600+600+430+550+550+167740</f>
        <v>239528</v>
      </c>
      <c r="C27" s="12">
        <f>November!C27+B27</f>
        <v>2813487</v>
      </c>
      <c r="D27" s="81">
        <f>102+200+375+120+30+20+1576</f>
        <v>2423</v>
      </c>
      <c r="E27" s="12">
        <f>November!E27+D27</f>
        <v>44262</v>
      </c>
      <c r="F27" s="12">
        <f>650+650+650+650</f>
        <v>2600</v>
      </c>
      <c r="G27" s="12">
        <f>November!G27+F27</f>
        <v>3460</v>
      </c>
    </row>
    <row r="28" spans="1:7" x14ac:dyDescent="0.2">
      <c r="A28" s="11" t="s">
        <v>25</v>
      </c>
      <c r="B28" s="80">
        <v>72615</v>
      </c>
      <c r="C28" s="12">
        <f>November!C28+B28</f>
        <v>825064</v>
      </c>
      <c r="D28" s="81"/>
      <c r="E28" s="12">
        <f>November!E28+D28</f>
        <v>890</v>
      </c>
      <c r="F28" s="12"/>
      <c r="G28" s="12">
        <f>November!G28+F28</f>
        <v>0</v>
      </c>
    </row>
    <row r="29" spans="1:7" x14ac:dyDescent="0.2">
      <c r="A29" s="11" t="s">
        <v>26</v>
      </c>
      <c r="B29" s="80">
        <f>1100+1100+1100+4980+1364+640+1280+750+750+750+1200+93+729+1248+362+1456+1248+3840+1367+1367+1367+1200+1000+1367+1300+1300+1300+750+750+750+650+1005+1180+980+1005+980+1340+1300+1180+980+980+1180+2400+2400+1200+3000+1336+918+609+610+619+1856+1277+1280+540+540+1281+220+781+781+440+2004+1860+2703+2090+1100+1100+1100+1100+1100+900+900+900+1075+1700+2525+1200+980+990+635+635+1180+1105+980+2525+656+656+724+1447+1050+2164+543+1300+1000+1320+900+1300+1000+1005+780+628+627+1255+450+1200+450+262661</f>
        <v>388159</v>
      </c>
      <c r="C29" s="12">
        <f>November!C29+B29</f>
        <v>4504990</v>
      </c>
      <c r="D29" s="81">
        <f>5+7+2300</f>
        <v>2312</v>
      </c>
      <c r="E29" s="12">
        <f>November!E29+D29</f>
        <v>21582</v>
      </c>
      <c r="F29" s="12"/>
      <c r="G29" s="12">
        <f>November!G29+F29</f>
        <v>2520</v>
      </c>
    </row>
    <row r="30" spans="1:7" x14ac:dyDescent="0.2">
      <c r="A30" s="11" t="s">
        <v>27</v>
      </c>
      <c r="B30" s="80">
        <v>4455</v>
      </c>
      <c r="C30" s="12">
        <f>November!C30+B30</f>
        <v>60285</v>
      </c>
      <c r="D30" s="81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0">
        <f>7200+1050+1400+400+1677+1677+1677+600+600+1050+1250+450+1050+600+1450+350+1250+420+250+2+800+1100+800+1250+500+1100+600+600+650+1300+1582+1582+1582+388+388+388+550+1450+1450+600+600+500+1000+2800+4525+6000+175341</f>
        <v>233829</v>
      </c>
      <c r="C31" s="12">
        <f>November!C31+B31</f>
        <v>2598179</v>
      </c>
      <c r="D31" s="81">
        <f>165+325+175+55+62+190+31+102+14+35+1+1+4+30+15+30+130+50+30+1+1+2+2+925+175</f>
        <v>2551</v>
      </c>
      <c r="E31" s="12">
        <f>November!E31+D31</f>
        <v>22035</v>
      </c>
      <c r="F31" s="12"/>
      <c r="G31" s="12">
        <f>November!G31+F31</f>
        <v>0</v>
      </c>
    </row>
    <row r="32" spans="1:7" x14ac:dyDescent="0.2">
      <c r="A32" s="11" t="s">
        <v>29</v>
      </c>
      <c r="B32" s="80"/>
      <c r="C32" s="12">
        <f>November!C32+B32</f>
        <v>0</v>
      </c>
      <c r="D32" s="81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0"/>
      <c r="C33" s="12">
        <f>November!C33+B33</f>
        <v>0</v>
      </c>
      <c r="D33" s="81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0"/>
      <c r="C34" s="12">
        <f>November!C34+B34</f>
        <v>0</v>
      </c>
      <c r="D34" s="81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0"/>
      <c r="C35" s="12">
        <f>November!C35+B35</f>
        <v>0</v>
      </c>
      <c r="D35" s="81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0"/>
      <c r="C36" s="12">
        <f>November!C36+B36</f>
        <v>8</v>
      </c>
      <c r="D36" s="81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0">
        <v>108496</v>
      </c>
      <c r="C37" s="12">
        <f>November!C37+B37</f>
        <v>1082501</v>
      </c>
      <c r="D37" s="81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0">
        <f>40+28450</f>
        <v>28490</v>
      </c>
      <c r="C38" s="12">
        <f>November!C38+B38</f>
        <v>344694</v>
      </c>
      <c r="D38" s="81">
        <f>220</f>
        <v>220</v>
      </c>
      <c r="E38" s="12">
        <f>November!E38+D38</f>
        <v>2175</v>
      </c>
      <c r="F38" s="12"/>
      <c r="G38" s="12">
        <f>November!G38+F38</f>
        <v>0</v>
      </c>
    </row>
    <row r="39" spans="1:7" x14ac:dyDescent="0.2">
      <c r="A39" s="11" t="s">
        <v>36</v>
      </c>
      <c r="B39" s="80">
        <f>1100+1100+500+500+500+500+600+600+600+600+15930</f>
        <v>22530</v>
      </c>
      <c r="C39" s="12">
        <f>November!C39+B39</f>
        <v>176077</v>
      </c>
      <c r="D39" s="81">
        <f>3+400</f>
        <v>403</v>
      </c>
      <c r="E39" s="12">
        <f>November!E39+D39</f>
        <v>10649</v>
      </c>
      <c r="F39" s="12"/>
      <c r="G39" s="12">
        <f>November!G39+F39</f>
        <v>0</v>
      </c>
    </row>
    <row r="40" spans="1:7" x14ac:dyDescent="0.2">
      <c r="A40" s="11" t="s">
        <v>37</v>
      </c>
      <c r="B40" s="80">
        <f>1+2+2+1+400+2125+2130+525+450+2100+400+192981</f>
        <v>201117</v>
      </c>
      <c r="C40" s="12">
        <f>November!C40+B40</f>
        <v>2280754</v>
      </c>
      <c r="D40" s="81">
        <v>1085</v>
      </c>
      <c r="E40" s="12">
        <f>November!E40+D40</f>
        <v>8436</v>
      </c>
      <c r="F40" s="12"/>
      <c r="G40" s="12">
        <f>November!G40+F40</f>
        <v>0</v>
      </c>
    </row>
    <row r="41" spans="1:7" x14ac:dyDescent="0.2">
      <c r="A41" s="11" t="s">
        <v>38</v>
      </c>
      <c r="B41" s="80"/>
      <c r="C41" s="12">
        <f>November!C41+B41</f>
        <v>0</v>
      </c>
      <c r="D41" s="81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0"/>
      <c r="C42" s="12">
        <f>November!C42+B42</f>
        <v>326</v>
      </c>
      <c r="D42" s="81"/>
      <c r="E42" s="12">
        <f>November!E42+D42</f>
        <v>294</v>
      </c>
      <c r="F42" s="12"/>
      <c r="G42" s="12">
        <f>November!G42+F42</f>
        <v>0</v>
      </c>
    </row>
    <row r="43" spans="1:7" x14ac:dyDescent="0.2">
      <c r="A43" s="11" t="s">
        <v>40</v>
      </c>
      <c r="B43" s="80"/>
      <c r="C43" s="12">
        <f>November!C43+B43</f>
        <v>0</v>
      </c>
      <c r="D43" s="81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0"/>
      <c r="C44" s="12">
        <f>November!C44+B44</f>
        <v>0</v>
      </c>
      <c r="D44" s="81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0">
        <f>1400+620+620+620+1400+168+80+160+450+620+620+620+1280+1200+4900+1+1+2470+625+625+91+87+40+117+53+151+73+102+70+108+92+98+90+380+128+240+100+100+1400+1400+700+620+620+1400+510+350+4000+1320+1060+73933</f>
        <v>107913</v>
      </c>
      <c r="C45" s="12">
        <f>November!C45+B45</f>
        <v>1042588</v>
      </c>
      <c r="D45" s="81">
        <f>40+1312</f>
        <v>1352</v>
      </c>
      <c r="E45" s="12">
        <f>November!E45+D45</f>
        <v>25304</v>
      </c>
      <c r="F45" s="12"/>
      <c r="G45" s="12">
        <f>November!G45+F45</f>
        <v>0</v>
      </c>
    </row>
    <row r="46" spans="1:7" x14ac:dyDescent="0.2">
      <c r="A46" s="11" t="s">
        <v>43</v>
      </c>
      <c r="B46" s="80"/>
      <c r="C46" s="12">
        <f>November!C46+B46</f>
        <v>0</v>
      </c>
      <c r="D46" s="81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0">
        <v>59250</v>
      </c>
      <c r="C47" s="12">
        <f>November!C47+B47</f>
        <v>577554</v>
      </c>
      <c r="D47" s="81"/>
      <c r="E47" s="12">
        <f>November!E47+D47</f>
        <v>5514</v>
      </c>
      <c r="F47" s="12"/>
      <c r="G47" s="12">
        <f>November!G47+F47</f>
        <v>0</v>
      </c>
    </row>
    <row r="48" spans="1:7" x14ac:dyDescent="0.2">
      <c r="A48" s="11" t="s">
        <v>45</v>
      </c>
      <c r="B48" s="80"/>
      <c r="C48" s="12">
        <f>November!C48+B48</f>
        <v>283907</v>
      </c>
      <c r="D48" s="81"/>
      <c r="E48" s="12">
        <f>November!E48+D48</f>
        <v>2</v>
      </c>
      <c r="F48" s="12"/>
      <c r="G48" s="12">
        <f>November!G48+F48</f>
        <v>0</v>
      </c>
    </row>
    <row r="49" spans="1:256" x14ac:dyDescent="0.2">
      <c r="A49" s="11" t="s">
        <v>46</v>
      </c>
      <c r="B49" s="80"/>
      <c r="C49" s="12">
        <f>November!C49+B49</f>
        <v>0</v>
      </c>
      <c r="D49" s="81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0"/>
      <c r="C50" s="12">
        <f>November!C50+B50</f>
        <v>4</v>
      </c>
      <c r="D50" s="81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0"/>
      <c r="C51" s="12">
        <f>November!C51+B51</f>
        <v>0</v>
      </c>
      <c r="D51" s="81"/>
      <c r="E51" s="12">
        <f>November!E51+D51</f>
        <v>2</v>
      </c>
      <c r="F51" s="12"/>
      <c r="G51" s="12">
        <f>November!G51+F51</f>
        <v>0</v>
      </c>
    </row>
    <row r="52" spans="1:256" x14ac:dyDescent="0.2">
      <c r="A52" s="11" t="s">
        <v>49</v>
      </c>
      <c r="B52" s="80"/>
      <c r="C52" s="12">
        <f>November!C52+B52</f>
        <v>0</v>
      </c>
      <c r="D52" s="81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0">
        <f>227+56+13+48+72+25+700+700+100+100+200+200+4+200+590+175+545+120+240+100+140+100+220+100+250+250+230+250+120+175+450+975+975+210+30+1200+2100+800+1000+36+200+150+250+250+250+7695</f>
        <v>22821</v>
      </c>
      <c r="C53" s="12">
        <f>November!C53+B53</f>
        <v>201058</v>
      </c>
      <c r="D53" s="81">
        <f>2</f>
        <v>2</v>
      </c>
      <c r="E53" s="12">
        <f>November!E53+D53</f>
        <v>1384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0">
        <f>2400+12381</f>
        <v>14781</v>
      </c>
      <c r="C54" s="12">
        <f>November!C54+B54</f>
        <v>147825</v>
      </c>
      <c r="D54" s="81"/>
      <c r="E54" s="12">
        <f>November!E54+D54</f>
        <v>1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2366726</v>
      </c>
      <c r="C55" s="14">
        <f>November!C55+B55</f>
        <v>26761228</v>
      </c>
      <c r="D55" s="14">
        <f>SUM(D7:D54)</f>
        <v>18168</v>
      </c>
      <c r="E55" s="14">
        <f>November!E55+D55</f>
        <v>221595</v>
      </c>
      <c r="F55" s="14">
        <f>SUM(F7:F54)</f>
        <v>14869</v>
      </c>
      <c r="G55" s="14">
        <f>November!G55+F55</f>
        <v>123872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350</v>
      </c>
      <c r="D58" s="23">
        <f>November!D58+C58</f>
        <v>704</v>
      </c>
      <c r="E58" s="17"/>
    </row>
    <row r="59" spans="1:256" x14ac:dyDescent="0.2">
      <c r="A59" s="1" t="s">
        <v>56</v>
      </c>
      <c r="B59" s="22"/>
      <c r="C59" s="22">
        <v>12327</v>
      </c>
      <c r="D59" s="23">
        <f>November!D59+C59</f>
        <v>84156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>
        <f>115+135+200+45+175+360+180+160+200+135+180+360+175+45+160+360+120+115+250+135+96+8+21+600+55+12+8+8+24+22+96+10+115+200+135+45+8+2280+20+1600+615+1124+180+475+505+290+200+350+1280+160+360+60+60+115+200+135+45+60+160+360+160+135+45+60+360+200+115+60+135+200+45+60+115+160+360+120+8+35+10+111+7615</f>
        <v>25811</v>
      </c>
      <c r="D62" s="23">
        <f>November!D62+C62</f>
        <v>317508</v>
      </c>
    </row>
    <row r="63" spans="1:256" x14ac:dyDescent="0.2">
      <c r="A63" s="1" t="s">
        <v>65</v>
      </c>
      <c r="B63" s="22"/>
      <c r="C63" s="22"/>
      <c r="D63" s="23">
        <f>November!D63+C63</f>
        <v>142170</v>
      </c>
    </row>
    <row r="64" spans="1:256" x14ac:dyDescent="0.2">
      <c r="A64" s="1" t="s">
        <v>63</v>
      </c>
      <c r="B64" s="22"/>
      <c r="C64" s="22">
        <f>140+52+20+200+185+115+150+180+185+220+65+130+100+240+250+45+115+200+200+205+200+200+80+52+260+320+200+130+80+120+45+20+250+75+170+240+52+200+200+205+200+220+115+140+185+180+150+115+185+200+65+240+120+52+20+60+153+130+75+140+180+240+90+52+80+200+205+200+220+115+250+145+40+45+30+130+1057+200+220+115+200+200+205+175+80+45+250+37+240+60+190+120+40+65+130+200+185+115+150+180+185+200+130+185+115+200+285+220+115+150+180+185+200+200+205+65+120+70+20+45+130+180+80</f>
        <v>18987</v>
      </c>
      <c r="D64" s="23">
        <f>November!D64+C64</f>
        <v>296686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>
        <f>100+110+30+75+65+167+100+145+135+205+40+38+75+50+74+100+200+100+50+40+75+100+74+140+100+84+140+75+40+40+74+100+100+120+40+75+188+50+40+693</f>
        <v>4247</v>
      </c>
      <c r="D66" s="23">
        <f>November!D66+C66</f>
        <v>67476</v>
      </c>
    </row>
    <row r="67" spans="1:4" x14ac:dyDescent="0.2">
      <c r="A67" s="1" t="s">
        <v>62</v>
      </c>
      <c r="C67" s="22">
        <v>850</v>
      </c>
      <c r="D67" s="23">
        <f>November!D67+C67</f>
        <v>10399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3" activePane="bottomLeft" state="frozen"/>
      <selection pane="bottomLeft" activeCell="B68" sqref="B68"/>
    </sheetView>
  </sheetViews>
  <sheetFormatPr defaultColWidth="11.77734375" defaultRowHeight="15" x14ac:dyDescent="0.2"/>
  <cols>
    <col min="1" max="1" width="16.77734375" style="51" customWidth="1"/>
    <col min="2" max="4" width="13.6640625" style="47" customWidth="1"/>
    <col min="5" max="7" width="12.6640625" style="47" customWidth="1"/>
    <col min="8" max="16384" width="11.77734375" style="47"/>
  </cols>
  <sheetData>
    <row r="1" spans="1:256" ht="1.1499999999999999" customHeight="1" x14ac:dyDescent="0.25">
      <c r="I1" s="61"/>
    </row>
    <row r="2" spans="1:256" ht="23.25" x14ac:dyDescent="0.35">
      <c r="A2" s="3" t="s">
        <v>78</v>
      </c>
      <c r="B2" s="62"/>
      <c r="D2" s="62"/>
      <c r="F2" s="47" t="s">
        <v>67</v>
      </c>
      <c r="G2" s="39"/>
      <c r="I2" s="61"/>
    </row>
    <row r="3" spans="1:256" ht="12.95" customHeight="1" x14ac:dyDescent="0.25">
      <c r="F3" s="47" t="s">
        <v>79</v>
      </c>
      <c r="I3" s="61"/>
    </row>
    <row r="4" spans="1:256" ht="12.9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>
        <f>996+996+996</f>
        <v>2988</v>
      </c>
      <c r="C7" s="24">
        <f>January!C7+B7</f>
        <v>2988</v>
      </c>
      <c r="D7" s="79"/>
      <c r="E7" s="24">
        <f>January!E7+D7</f>
        <v>0</v>
      </c>
      <c r="F7" s="24"/>
      <c r="G7" s="24">
        <f>January!G7+F7</f>
        <v>0</v>
      </c>
    </row>
    <row r="8" spans="1:256" x14ac:dyDescent="0.2">
      <c r="A8" s="41" t="s">
        <v>64</v>
      </c>
      <c r="B8" s="77"/>
      <c r="C8" s="24">
        <f>January!C8+B8</f>
        <v>0</v>
      </c>
      <c r="D8" s="79"/>
      <c r="E8" s="24">
        <f>January!E8+D8</f>
        <v>0</v>
      </c>
      <c r="F8" s="24"/>
      <c r="G8" s="24">
        <f>January!G8+F8</f>
        <v>0</v>
      </c>
    </row>
    <row r="9" spans="1:256" x14ac:dyDescent="0.2">
      <c r="A9" s="41" t="s">
        <v>7</v>
      </c>
      <c r="B9" s="77">
        <f>1195+1220+500+850+280+650+450+800+550+850+638+850+675+500+480+380+650+400+1050+1050+1000+1050+1050+1050+1050+1050+2085+1959+550+483+483+400</f>
        <v>26228</v>
      </c>
      <c r="C9" s="24">
        <f>January!C9+B9</f>
        <v>42668</v>
      </c>
      <c r="D9" s="79"/>
      <c r="E9" s="24">
        <f>January!E9+D9</f>
        <v>0</v>
      </c>
      <c r="F9" s="24"/>
      <c r="G9" s="24">
        <f>January!G9+F9</f>
        <v>0</v>
      </c>
    </row>
    <row r="10" spans="1:256" x14ac:dyDescent="0.2">
      <c r="A10" s="41" t="s">
        <v>8</v>
      </c>
      <c r="B10" s="77"/>
      <c r="C10" s="24">
        <f>January!C10+B10</f>
        <v>0</v>
      </c>
      <c r="D10" s="79"/>
      <c r="E10" s="24">
        <f>January!E10+D10</f>
        <v>0</v>
      </c>
      <c r="F10" s="24"/>
      <c r="G10" s="24">
        <f>January!G10+F10</f>
        <v>0</v>
      </c>
    </row>
    <row r="11" spans="1:256" x14ac:dyDescent="0.2">
      <c r="A11" s="86" t="s">
        <v>52</v>
      </c>
      <c r="B11" s="77"/>
      <c r="C11" s="24">
        <f>January!C11+B11</f>
        <v>263906</v>
      </c>
      <c r="D11" s="79"/>
      <c r="E11" s="24">
        <f>January!E11+D11</f>
        <v>1103</v>
      </c>
      <c r="F11" s="24"/>
      <c r="G11" s="24">
        <f>January!G11+F11</f>
        <v>9615</v>
      </c>
    </row>
    <row r="12" spans="1:256" x14ac:dyDescent="0.2">
      <c r="A12" s="41" t="s">
        <v>9</v>
      </c>
      <c r="B12" s="77">
        <f>1350+1350+900+700+700+2000+1750+1998+2000+2080+2050+700+700+375+400+467+1994+2024+2070+2025+2025+1976+2076+2100+1976+2076+960+700+62923</f>
        <v>104445</v>
      </c>
      <c r="C12" s="24">
        <f>January!C12+B12</f>
        <v>184811</v>
      </c>
      <c r="D12" s="79"/>
      <c r="E12" s="24">
        <f>January!E12+D12</f>
        <v>900</v>
      </c>
      <c r="F12" s="24"/>
      <c r="G12" s="24">
        <f>January!G12+F12</f>
        <v>0</v>
      </c>
    </row>
    <row r="13" spans="1:256" x14ac:dyDescent="0.2">
      <c r="A13" s="41" t="s">
        <v>10</v>
      </c>
      <c r="B13" s="77"/>
      <c r="C13" s="24">
        <f>January!C13+B13</f>
        <v>0</v>
      </c>
      <c r="D13" s="79"/>
      <c r="E13" s="24">
        <f>January!E13+D13</f>
        <v>0</v>
      </c>
      <c r="F13" s="24"/>
      <c r="G13" s="24">
        <f>January!G13+F13</f>
        <v>0</v>
      </c>
    </row>
    <row r="14" spans="1:256" x14ac:dyDescent="0.2">
      <c r="A14" s="41" t="s">
        <v>11</v>
      </c>
      <c r="B14" s="77"/>
      <c r="C14" s="24">
        <f>January!C14+B14</f>
        <v>0</v>
      </c>
      <c r="D14" s="79"/>
      <c r="E14" s="24">
        <f>January!E14+D14</f>
        <v>0</v>
      </c>
      <c r="F14" s="24"/>
      <c r="G14" s="24">
        <f>January!G14+F14</f>
        <v>0</v>
      </c>
    </row>
    <row r="15" spans="1:256" x14ac:dyDescent="0.2">
      <c r="A15" s="41" t="s">
        <v>12</v>
      </c>
      <c r="B15" s="77"/>
      <c r="C15" s="24">
        <f>January!C15+B15</f>
        <v>0</v>
      </c>
      <c r="D15" s="79"/>
      <c r="E15" s="24">
        <f>January!E15+D15</f>
        <v>1</v>
      </c>
      <c r="F15" s="24"/>
      <c r="G15" s="24">
        <f>January!G15+F15</f>
        <v>0</v>
      </c>
    </row>
    <row r="16" spans="1:256" x14ac:dyDescent="0.2">
      <c r="A16" s="41" t="s">
        <v>13</v>
      </c>
      <c r="B16" s="77"/>
      <c r="C16" s="24">
        <f>January!C16+B16</f>
        <v>0</v>
      </c>
      <c r="D16" s="79"/>
      <c r="E16" s="24">
        <f>January!E16+D16</f>
        <v>0</v>
      </c>
      <c r="F16" s="24"/>
      <c r="G16" s="24">
        <f>January!G16+F16</f>
        <v>0</v>
      </c>
    </row>
    <row r="17" spans="1:7" x14ac:dyDescent="0.2">
      <c r="A17" s="41" t="s">
        <v>14</v>
      </c>
      <c r="B17" s="77"/>
      <c r="C17" s="24">
        <f>January!C17+B17</f>
        <v>0</v>
      </c>
      <c r="D17" s="79"/>
      <c r="E17" s="24">
        <f>January!E17+D17</f>
        <v>0</v>
      </c>
      <c r="F17" s="24"/>
      <c r="G17" s="24">
        <f>January!G17+F17</f>
        <v>0</v>
      </c>
    </row>
    <row r="18" spans="1:7" x14ac:dyDescent="0.2">
      <c r="A18" s="41" t="s">
        <v>15</v>
      </c>
      <c r="B18" s="77">
        <f>360+415+370+350+230+410+250+300+400+450+280+382+280+330+1600+1600+790+1200+1200+1200+1200+1200+1000+1000+1060+1060+750+1250+370+340+300+280+185+280+220+280+1300+1254+1253+924+60+270+1306+320+563+563+562+562+1450+1450+810+755+755+755+630+622+630+611+638+629+626+625+636+632+625+616+830+1040+830+830+1450+800+1280+1200+1050+320+350+350+370+350+285+836+750+1385+341534</f>
        <v>401444</v>
      </c>
      <c r="C18" s="24">
        <f>January!C18+B18</f>
        <v>879150</v>
      </c>
      <c r="D18" s="79">
        <f>23+235</f>
        <v>258</v>
      </c>
      <c r="E18" s="24">
        <f>January!E18+D18</f>
        <v>3897</v>
      </c>
      <c r="F18" s="24"/>
      <c r="G18" s="24">
        <f>January!G18+F18</f>
        <v>0</v>
      </c>
    </row>
    <row r="19" spans="1:7" x14ac:dyDescent="0.2">
      <c r="A19" s="41" t="s">
        <v>16</v>
      </c>
      <c r="B19" s="77">
        <v>30508</v>
      </c>
      <c r="C19" s="24">
        <f>January!C19+B19</f>
        <v>64032</v>
      </c>
      <c r="D19" s="79">
        <f>239</f>
        <v>239</v>
      </c>
      <c r="E19" s="24">
        <f>January!E19+D19</f>
        <v>244</v>
      </c>
      <c r="F19" s="24"/>
      <c r="G19" s="24">
        <f>January!G19+F19</f>
        <v>0</v>
      </c>
    </row>
    <row r="20" spans="1:7" x14ac:dyDescent="0.2">
      <c r="A20" s="41" t="s">
        <v>17</v>
      </c>
      <c r="B20" s="77">
        <f>1000+700+80+475+1616+1200+200+600+924+888+304+326+362+946+2+1000+1040+210+3+1210+1200+2000+9845</f>
        <v>26131</v>
      </c>
      <c r="C20" s="24">
        <f>January!C20+B20</f>
        <v>33430</v>
      </c>
      <c r="D20" s="79">
        <v>369</v>
      </c>
      <c r="E20" s="24">
        <f>January!E20+D20</f>
        <v>1301</v>
      </c>
      <c r="F20" s="24"/>
      <c r="G20" s="24">
        <f>January!G20+F20</f>
        <v>0</v>
      </c>
    </row>
    <row r="21" spans="1:7" x14ac:dyDescent="0.2">
      <c r="A21" s="41" t="s">
        <v>18</v>
      </c>
      <c r="B21" s="77">
        <f>170+170</f>
        <v>340</v>
      </c>
      <c r="C21" s="24">
        <f>January!C21+B21</f>
        <v>5097</v>
      </c>
      <c r="D21" s="79">
        <v>61</v>
      </c>
      <c r="E21" s="24">
        <f>January!E21+D21</f>
        <v>483</v>
      </c>
      <c r="F21" s="24"/>
      <c r="G21" s="24">
        <f>January!G21+F21</f>
        <v>0</v>
      </c>
    </row>
    <row r="22" spans="1:7" x14ac:dyDescent="0.2">
      <c r="A22" s="41" t="s">
        <v>19</v>
      </c>
      <c r="B22" s="77"/>
      <c r="C22" s="24">
        <f>January!C22+B22</f>
        <v>0</v>
      </c>
      <c r="D22" s="79"/>
      <c r="E22" s="24">
        <f>January!E22+D22</f>
        <v>0</v>
      </c>
      <c r="F22" s="24"/>
      <c r="G22" s="24">
        <f>January!G22+F22</f>
        <v>0</v>
      </c>
    </row>
    <row r="23" spans="1:7" x14ac:dyDescent="0.2">
      <c r="A23" s="41" t="s">
        <v>20</v>
      </c>
      <c r="B23" s="77"/>
      <c r="C23" s="24">
        <f>January!C23+B23</f>
        <v>0</v>
      </c>
      <c r="D23" s="79"/>
      <c r="E23" s="24">
        <f>January!E23+D23</f>
        <v>0</v>
      </c>
      <c r="F23" s="24"/>
      <c r="G23" s="24">
        <f>January!G23+F23</f>
        <v>0</v>
      </c>
    </row>
    <row r="24" spans="1:7" x14ac:dyDescent="0.2">
      <c r="A24" s="41" t="s">
        <v>21</v>
      </c>
      <c r="B24" s="77"/>
      <c r="C24" s="24">
        <f>January!C24+B24</f>
        <v>0</v>
      </c>
      <c r="D24" s="79"/>
      <c r="E24" s="24">
        <f>January!E24+D24</f>
        <v>0</v>
      </c>
      <c r="F24" s="24"/>
      <c r="G24" s="24">
        <f>January!G24+F24</f>
        <v>0</v>
      </c>
    </row>
    <row r="25" spans="1:7" x14ac:dyDescent="0.2">
      <c r="A25" s="41" t="s">
        <v>22</v>
      </c>
      <c r="B25" s="77"/>
      <c r="C25" s="24">
        <f>January!C25+B25</f>
        <v>0</v>
      </c>
      <c r="D25" s="79"/>
      <c r="E25" s="24">
        <f>January!E25+D25</f>
        <v>0</v>
      </c>
      <c r="F25" s="24"/>
      <c r="G25" s="24">
        <f>January!G25+F25</f>
        <v>0</v>
      </c>
    </row>
    <row r="26" spans="1:7" x14ac:dyDescent="0.2">
      <c r="A26" s="41" t="s">
        <v>23</v>
      </c>
      <c r="B26" s="77">
        <f>8+1080</f>
        <v>1088</v>
      </c>
      <c r="C26" s="24">
        <f>January!C26+B26</f>
        <v>1088</v>
      </c>
      <c r="D26" s="79"/>
      <c r="E26" s="24">
        <f>January!E26+D26</f>
        <v>0</v>
      </c>
      <c r="F26" s="24"/>
      <c r="G26" s="24">
        <f>January!G26+F26</f>
        <v>0</v>
      </c>
    </row>
    <row r="27" spans="1:7" x14ac:dyDescent="0.2">
      <c r="A27" s="41" t="s">
        <v>24</v>
      </c>
      <c r="B27" s="77">
        <f>500+2100+40+500+580+2500+650+594+800+520+528+400+180+212+800+500+24+1000+600+675+2400+2100+500+2100+500+3060+1030+1260+900+900+720+121+213+1300+1100+1852+635+600+600+405+550+635+550+675+450+900+960+960+1960+1030+3090+212+210+950+1050+3000+1590+2120+850+650+1200+900+800+182+1500+385+2200+250+635+635+605+405+605+660+2200+660+2200+2400+550+183954</f>
        <v>261317</v>
      </c>
      <c r="C27" s="24">
        <f>January!C27+B27</f>
        <v>472367</v>
      </c>
      <c r="D27" s="79">
        <f>35+440+441+30+6253</f>
        <v>7199</v>
      </c>
      <c r="E27" s="24">
        <f>January!E27+D27</f>
        <v>18639</v>
      </c>
      <c r="F27" s="24"/>
      <c r="G27" s="24">
        <f>January!G27+F27</f>
        <v>0</v>
      </c>
    </row>
    <row r="28" spans="1:7" x14ac:dyDescent="0.2">
      <c r="A28" s="41" t="s">
        <v>25</v>
      </c>
      <c r="B28" s="77">
        <v>62700</v>
      </c>
      <c r="C28" s="24">
        <f>January!C28+B28</f>
        <v>140075</v>
      </c>
      <c r="D28" s="79"/>
      <c r="E28" s="24">
        <f>January!E28+D28</f>
        <v>0</v>
      </c>
      <c r="F28" s="24"/>
      <c r="G28" s="24">
        <f>January!G28+F28</f>
        <v>0</v>
      </c>
    </row>
    <row r="29" spans="1:7" x14ac:dyDescent="0.2">
      <c r="A29" s="41" t="s">
        <v>26</v>
      </c>
      <c r="B29" s="77">
        <f>722+1035+409+2166+1150+2415+1000+1000+575+575+420+419+415+786+624+624+2124+1416+235+1200+1800+600+1200+1150+650+650+1300+1300+3750+3700+1500+3700+547+547+562+277+120+1400+980+665+665+664+664+664+664+664+2394+782+783+1400+1800+4400+1420+469+938+4976+2619+2358+2712+629+630+630+1650+1650+1065+2450+600+700+1440+650+2514+2830+1250+760+1520+1100+1100+1100+1250+1250+1320+980+100+1619+2288+764+1528+2280+800+120+180867</f>
        <v>296178</v>
      </c>
      <c r="C29" s="24">
        <f>January!C29+B29</f>
        <v>707128</v>
      </c>
      <c r="D29" s="79">
        <v>2262</v>
      </c>
      <c r="E29" s="24">
        <f>January!E29+D29</f>
        <v>5873</v>
      </c>
      <c r="F29" s="24"/>
      <c r="G29" s="24">
        <f>January!G29+F29</f>
        <v>2520</v>
      </c>
    </row>
    <row r="30" spans="1:7" x14ac:dyDescent="0.2">
      <c r="A30" s="41" t="s">
        <v>27</v>
      </c>
      <c r="B30" s="77">
        <v>4690</v>
      </c>
      <c r="C30" s="24">
        <f>January!C30+B30</f>
        <v>10520</v>
      </c>
      <c r="D30" s="79"/>
      <c r="E30" s="24">
        <f>January!E30+D30</f>
        <v>0</v>
      </c>
      <c r="F30" s="24"/>
      <c r="G30" s="24">
        <f>January!G30+F30</f>
        <v>0</v>
      </c>
    </row>
    <row r="31" spans="1:7" x14ac:dyDescent="0.2">
      <c r="A31" s="41" t="s">
        <v>28</v>
      </c>
      <c r="B31" s="77">
        <f>1050+900+2525+275+1275+1525+165+500+500+725+2525+650+550+1350+1350+1530+1300+1400+1400+1350+1350+1300+1300+600+1000+490+700+1100+600+600+200+390+900+190+110+190+525+155+310+750+750+550+775+475+1025+2225+1000+2108+470+1800+2100+750+800+500+72+550+600+1150+725+750+750+600+325+1100+750+850+1100+800+490+800+600+600+600+142961</f>
        <v>207106</v>
      </c>
      <c r="C31" s="24">
        <f>January!C31+B31</f>
        <v>416047</v>
      </c>
      <c r="D31" s="79">
        <f>650+40+160+160+525+455+455+78+78+78+78+78+100+170+120+165+155+310+30+90+235+45+75</f>
        <v>4330</v>
      </c>
      <c r="E31" s="24">
        <f>January!E31+D31</f>
        <v>7636</v>
      </c>
      <c r="F31" s="24"/>
      <c r="G31" s="24">
        <f>January!G31+F31</f>
        <v>0</v>
      </c>
    </row>
    <row r="32" spans="1:7" x14ac:dyDescent="0.2">
      <c r="A32" s="41" t="s">
        <v>29</v>
      </c>
      <c r="B32" s="77"/>
      <c r="C32" s="24">
        <f>January!C32+B32</f>
        <v>0</v>
      </c>
      <c r="D32" s="79"/>
      <c r="E32" s="24">
        <f>January!E32+D32</f>
        <v>0</v>
      </c>
      <c r="F32" s="24"/>
      <c r="G32" s="24">
        <f>January!G32+F32</f>
        <v>0</v>
      </c>
    </row>
    <row r="33" spans="1:7" x14ac:dyDescent="0.2">
      <c r="A33" s="41" t="s">
        <v>30</v>
      </c>
      <c r="B33" s="77"/>
      <c r="C33" s="24">
        <f>January!C33+B33</f>
        <v>0</v>
      </c>
      <c r="D33" s="79"/>
      <c r="E33" s="24">
        <f>January!E33+D33</f>
        <v>0</v>
      </c>
      <c r="F33" s="24"/>
      <c r="G33" s="24">
        <f>January!G33+F33</f>
        <v>0</v>
      </c>
    </row>
    <row r="34" spans="1:7" x14ac:dyDescent="0.2">
      <c r="A34" s="41" t="s">
        <v>31</v>
      </c>
      <c r="B34" s="77"/>
      <c r="C34" s="24">
        <f>January!C34+B34</f>
        <v>0</v>
      </c>
      <c r="D34" s="79"/>
      <c r="E34" s="24">
        <f>January!E34+D34</f>
        <v>0</v>
      </c>
      <c r="F34" s="24"/>
      <c r="G34" s="24">
        <f>January!G34+F34</f>
        <v>0</v>
      </c>
    </row>
    <row r="35" spans="1:7" x14ac:dyDescent="0.2">
      <c r="A35" s="41" t="s">
        <v>32</v>
      </c>
      <c r="B35" s="77"/>
      <c r="C35" s="24">
        <f>January!C35+B35</f>
        <v>0</v>
      </c>
      <c r="D35" s="79"/>
      <c r="E35" s="24">
        <f>January!E35+D35</f>
        <v>0</v>
      </c>
      <c r="F35" s="24"/>
      <c r="G35" s="24">
        <f>January!G35+F35</f>
        <v>0</v>
      </c>
    </row>
    <row r="36" spans="1:7" x14ac:dyDescent="0.2">
      <c r="A36" s="41" t="s">
        <v>33</v>
      </c>
      <c r="B36" s="77"/>
      <c r="C36" s="24">
        <f>January!C36+B36</f>
        <v>0</v>
      </c>
      <c r="D36" s="79"/>
      <c r="E36" s="24">
        <f>January!E36+D36</f>
        <v>0</v>
      </c>
      <c r="F36" s="24"/>
      <c r="G36" s="24">
        <f>January!G36+F36</f>
        <v>0</v>
      </c>
    </row>
    <row r="37" spans="1:7" x14ac:dyDescent="0.2">
      <c r="A37" s="41" t="s">
        <v>34</v>
      </c>
      <c r="B37" s="77">
        <v>71094</v>
      </c>
      <c r="C37" s="24">
        <f>January!C37+B37</f>
        <v>152932</v>
      </c>
      <c r="D37" s="79"/>
      <c r="E37" s="24">
        <f>January!E37+D37</f>
        <v>0</v>
      </c>
      <c r="F37" s="24"/>
      <c r="G37" s="24">
        <f>January!G37+F37</f>
        <v>0</v>
      </c>
    </row>
    <row r="38" spans="1:7" x14ac:dyDescent="0.2">
      <c r="A38" s="41" t="s">
        <v>35</v>
      </c>
      <c r="B38" s="77">
        <v>26620</v>
      </c>
      <c r="C38" s="24">
        <f>January!C38+B38</f>
        <v>67114</v>
      </c>
      <c r="D38" s="79"/>
      <c r="E38" s="24">
        <f>January!E38+D38</f>
        <v>0</v>
      </c>
      <c r="F38" s="24"/>
      <c r="G38" s="24">
        <f>January!G38+F38</f>
        <v>0</v>
      </c>
    </row>
    <row r="39" spans="1:7" x14ac:dyDescent="0.2">
      <c r="A39" s="41" t="s">
        <v>36</v>
      </c>
      <c r="B39" s="77">
        <f>850+550+1250+750+6850</f>
        <v>10250</v>
      </c>
      <c r="C39" s="24">
        <f>January!C39+B39</f>
        <v>24520</v>
      </c>
      <c r="D39" s="79">
        <v>164</v>
      </c>
      <c r="E39" s="24">
        <f>January!E39+D39</f>
        <v>522</v>
      </c>
      <c r="F39" s="24"/>
      <c r="G39" s="24">
        <f>January!G39+F39</f>
        <v>0</v>
      </c>
    </row>
    <row r="40" spans="1:7" x14ac:dyDescent="0.2">
      <c r="A40" s="41" t="s">
        <v>37</v>
      </c>
      <c r="B40" s="77">
        <f>2822+2822+2160+1100+2160+2160+2050+2100+1240+2160+2200+1500+2160+1800+620+2812+2050+2125+2160+1730+115186</f>
        <v>155117</v>
      </c>
      <c r="C40" s="24">
        <f>January!C40+B40</f>
        <v>388774</v>
      </c>
      <c r="D40" s="79">
        <v>2535</v>
      </c>
      <c r="E40" s="24">
        <f>January!E40+D40</f>
        <v>3983</v>
      </c>
      <c r="F40" s="24"/>
      <c r="G40" s="24">
        <f>January!G40+F40</f>
        <v>0</v>
      </c>
    </row>
    <row r="41" spans="1:7" x14ac:dyDescent="0.2">
      <c r="A41" s="41" t="s">
        <v>38</v>
      </c>
      <c r="B41" s="77"/>
      <c r="C41" s="24">
        <f>January!C41+B41</f>
        <v>0</v>
      </c>
      <c r="D41" s="79"/>
      <c r="E41" s="24">
        <f>January!E41+D41</f>
        <v>0</v>
      </c>
      <c r="F41" s="24"/>
      <c r="G41" s="24">
        <f>January!G41+F41</f>
        <v>0</v>
      </c>
    </row>
    <row r="42" spans="1:7" x14ac:dyDescent="0.2">
      <c r="A42" s="41" t="s">
        <v>39</v>
      </c>
      <c r="B42" s="77"/>
      <c r="C42" s="24">
        <f>January!C42+B42</f>
        <v>0</v>
      </c>
      <c r="D42" s="79"/>
      <c r="E42" s="24">
        <f>January!E42+D42</f>
        <v>0</v>
      </c>
      <c r="F42" s="24"/>
      <c r="G42" s="24">
        <f>January!G42+F42</f>
        <v>0</v>
      </c>
    </row>
    <row r="43" spans="1:7" x14ac:dyDescent="0.2">
      <c r="A43" s="41" t="s">
        <v>40</v>
      </c>
      <c r="B43" s="77"/>
      <c r="C43" s="24">
        <f>January!C43+B43</f>
        <v>0</v>
      </c>
      <c r="D43" s="79"/>
      <c r="E43" s="24">
        <f>January!E43+D43</f>
        <v>0</v>
      </c>
      <c r="F43" s="24"/>
      <c r="G43" s="24">
        <f>January!G43+F43</f>
        <v>0</v>
      </c>
    </row>
    <row r="44" spans="1:7" x14ac:dyDescent="0.2">
      <c r="A44" s="41" t="s">
        <v>41</v>
      </c>
      <c r="B44" s="77"/>
      <c r="C44" s="24">
        <f>January!C44+B44</f>
        <v>0</v>
      </c>
      <c r="D44" s="79"/>
      <c r="E44" s="24">
        <f>January!E44+D44</f>
        <v>0</v>
      </c>
      <c r="F44" s="24"/>
      <c r="G44" s="24">
        <f>January!G44+F44</f>
        <v>0</v>
      </c>
    </row>
    <row r="45" spans="1:7" x14ac:dyDescent="0.2">
      <c r="A45" s="41" t="s">
        <v>42</v>
      </c>
      <c r="B45" s="77">
        <f>600+620+620+40+75+240+75+150+128+100+650+650+600+600+600+620+640+620+620+620+1350+700+1350+600+620+620+1350+550+550+550+500+500+500+500+2500+640+42683</f>
        <v>64931</v>
      </c>
      <c r="C45" s="24">
        <f>January!C45+B45</f>
        <v>140533</v>
      </c>
      <c r="D45" s="79">
        <f>25+1867</f>
        <v>1892</v>
      </c>
      <c r="E45" s="24">
        <f>January!E45+D45</f>
        <v>5505</v>
      </c>
      <c r="F45" s="24"/>
      <c r="G45" s="24">
        <f>January!G45+F45</f>
        <v>0</v>
      </c>
    </row>
    <row r="46" spans="1:7" x14ac:dyDescent="0.2">
      <c r="A46" s="41" t="s">
        <v>43</v>
      </c>
      <c r="B46" s="77"/>
      <c r="C46" s="24">
        <f>January!C46+B46</f>
        <v>0</v>
      </c>
      <c r="D46" s="79"/>
      <c r="E46" s="24">
        <f>January!E46+D46</f>
        <v>0</v>
      </c>
      <c r="F46" s="24"/>
      <c r="G46" s="24">
        <f>January!G46+F46</f>
        <v>0</v>
      </c>
    </row>
    <row r="47" spans="1:7" x14ac:dyDescent="0.2">
      <c r="A47" s="41" t="s">
        <v>44</v>
      </c>
      <c r="B47" s="77">
        <f>3500+4600+30161</f>
        <v>38261</v>
      </c>
      <c r="C47" s="24">
        <f>January!C47+B47</f>
        <v>46661</v>
      </c>
      <c r="D47" s="79"/>
      <c r="E47" s="24">
        <f>January!E47+D47</f>
        <v>0</v>
      </c>
      <c r="F47" s="24"/>
      <c r="G47" s="24">
        <f>January!G47+F47</f>
        <v>0</v>
      </c>
    </row>
    <row r="48" spans="1:7" x14ac:dyDescent="0.2">
      <c r="A48" s="41" t="s">
        <v>45</v>
      </c>
      <c r="B48" s="77">
        <v>32321</v>
      </c>
      <c r="C48" s="24">
        <f>January!C48+B48</f>
        <v>61025</v>
      </c>
      <c r="D48" s="79"/>
      <c r="E48" s="24">
        <f>January!E48+D48</f>
        <v>0</v>
      </c>
      <c r="F48" s="24"/>
      <c r="G48" s="24">
        <f>January!G48+F48</f>
        <v>0</v>
      </c>
    </row>
    <row r="49" spans="1:256" x14ac:dyDescent="0.2">
      <c r="A49" s="41" t="s">
        <v>46</v>
      </c>
      <c r="B49" s="77"/>
      <c r="C49" s="24">
        <f>January!C49+B49</f>
        <v>0</v>
      </c>
      <c r="D49" s="79"/>
      <c r="E49" s="24">
        <f>January!E49+D49</f>
        <v>0</v>
      </c>
      <c r="F49" s="24"/>
      <c r="G49" s="24">
        <f>January!G49+F49</f>
        <v>0</v>
      </c>
    </row>
    <row r="50" spans="1:256" x14ac:dyDescent="0.2">
      <c r="A50" s="41" t="s">
        <v>47</v>
      </c>
      <c r="B50" s="77"/>
      <c r="C50" s="24">
        <f>January!C50+B50</f>
        <v>0</v>
      </c>
      <c r="D50" s="79"/>
      <c r="E50" s="24">
        <f>January!E50+D50</f>
        <v>0</v>
      </c>
      <c r="F50" s="24"/>
      <c r="G50" s="24">
        <f>January!G50+F50</f>
        <v>0</v>
      </c>
    </row>
    <row r="51" spans="1:256" x14ac:dyDescent="0.2">
      <c r="A51" s="41" t="s">
        <v>48</v>
      </c>
      <c r="B51" s="77"/>
      <c r="C51" s="24">
        <f>January!C51+B51</f>
        <v>0</v>
      </c>
      <c r="D51" s="79"/>
      <c r="E51" s="24">
        <f>January!E51+D51</f>
        <v>0</v>
      </c>
      <c r="F51" s="24"/>
      <c r="G51" s="24">
        <f>January!G51+F51</f>
        <v>0</v>
      </c>
    </row>
    <row r="52" spans="1:256" x14ac:dyDescent="0.2">
      <c r="A52" s="41" t="s">
        <v>49</v>
      </c>
      <c r="B52" s="77"/>
      <c r="C52" s="24">
        <f>January!C52+B52</f>
        <v>0</v>
      </c>
      <c r="D52" s="79"/>
      <c r="E52" s="24">
        <f>January!E52+D52</f>
        <v>0</v>
      </c>
      <c r="F52" s="24"/>
      <c r="G52" s="24">
        <f>January!G52+F52</f>
        <v>0</v>
      </c>
    </row>
    <row r="53" spans="1:256" x14ac:dyDescent="0.2">
      <c r="A53" s="41" t="s">
        <v>50</v>
      </c>
      <c r="B53" s="77">
        <f>5+47+1025+1000+520+23+175+875+2400+100+250+65+2400+500+300+450+625+625+24+100+150+100+250+100+175+125+50+150+2400+190+1200+85+150+200+130+120+140+320+140+125+855</f>
        <v>18664</v>
      </c>
      <c r="C53" s="24">
        <f>January!C53+B53</f>
        <v>23209</v>
      </c>
      <c r="D53" s="79">
        <f>13+6+46</f>
        <v>65</v>
      </c>
      <c r="E53" s="24">
        <f>January!E53+D53</f>
        <v>111</v>
      </c>
      <c r="F53" s="24"/>
      <c r="G53" s="24">
        <f>January!G53+F53</f>
        <v>0</v>
      </c>
    </row>
    <row r="54" spans="1:256" ht="15.75" thickBot="1" x14ac:dyDescent="0.25">
      <c r="A54" s="41" t="s">
        <v>51</v>
      </c>
      <c r="B54" s="77">
        <v>11760</v>
      </c>
      <c r="C54" s="24">
        <f>January!C54+B54</f>
        <v>21187</v>
      </c>
      <c r="D54" s="79"/>
      <c r="E54" s="24">
        <f>January!E54+D54</f>
        <v>0</v>
      </c>
      <c r="F54" s="24"/>
      <c r="G54" s="24">
        <f>January!G54+F54</f>
        <v>0</v>
      </c>
    </row>
    <row r="55" spans="1:256" ht="26.1" customHeight="1" thickBot="1" x14ac:dyDescent="0.25">
      <c r="A55" s="73" t="s">
        <v>53</v>
      </c>
      <c r="B55" s="55">
        <f>SUM(B7:B54)</f>
        <v>1854181</v>
      </c>
      <c r="C55" s="55">
        <f>January!C55+B55</f>
        <v>4149262</v>
      </c>
      <c r="D55" s="55">
        <f>SUM(D7:D54)</f>
        <v>19374</v>
      </c>
      <c r="E55" s="55">
        <f>January!E55+D55</f>
        <v>50198</v>
      </c>
      <c r="F55" s="55">
        <f>SUM(F7:F54)</f>
        <v>0</v>
      </c>
      <c r="G55" s="55">
        <f>January!G55+F55</f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74"/>
      <c r="B56" s="46"/>
      <c r="C56" s="46"/>
      <c r="D56" s="46"/>
      <c r="E56" s="46"/>
    </row>
    <row r="57" spans="1:256" ht="16.5" thickBot="1" x14ac:dyDescent="0.3">
      <c r="A57" s="75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51" t="s">
        <v>55</v>
      </c>
      <c r="B58" s="52"/>
      <c r="C58" s="25"/>
      <c r="D58" s="53">
        <f>January!D58+C58</f>
        <v>0</v>
      </c>
      <c r="E58" s="46"/>
    </row>
    <row r="59" spans="1:256" x14ac:dyDescent="0.2">
      <c r="A59" s="51" t="s">
        <v>56</v>
      </c>
      <c r="B59" s="25"/>
      <c r="C59" s="25">
        <v>2750</v>
      </c>
      <c r="D59" s="53">
        <f>January!D59+C59</f>
        <v>5560</v>
      </c>
    </row>
    <row r="60" spans="1:256" x14ac:dyDescent="0.2">
      <c r="A60" s="51" t="s">
        <v>57</v>
      </c>
      <c r="B60" s="25"/>
      <c r="C60" s="25"/>
      <c r="D60" s="53">
        <f>January!D60+C60</f>
        <v>0</v>
      </c>
    </row>
    <row r="61" spans="1:256" x14ac:dyDescent="0.2">
      <c r="A61" s="51" t="s">
        <v>58</v>
      </c>
      <c r="B61" s="25"/>
      <c r="C61" s="25"/>
      <c r="D61" s="53">
        <f>January!D61+C61</f>
        <v>0</v>
      </c>
    </row>
    <row r="62" spans="1:256" x14ac:dyDescent="0.2">
      <c r="A62" s="51" t="s">
        <v>59</v>
      </c>
      <c r="B62" s="25"/>
      <c r="C62" s="25">
        <f>135+280+115+45+175+380+120+108+8+106+8+20+15+115+45+175+120+280+135+180+175+200+8+10+96+8+10+10+35+450+285+2320+597+310+770+520+150+1657+115+200+45+280+120+175+135+7040</f>
        <v>18286</v>
      </c>
      <c r="D62" s="53">
        <f>January!D62+C62</f>
        <v>69245</v>
      </c>
    </row>
    <row r="63" spans="1:256" x14ac:dyDescent="0.2">
      <c r="A63" s="51" t="s">
        <v>65</v>
      </c>
      <c r="B63" s="25"/>
      <c r="C63" s="25">
        <f>80+285+275+75+52+45+270+20+150+320+346+275+80+106+320+275+80+20+270+45+255+275+52+150+24+80+106+45+270+20+320+150+454+275+228+275+75+150+320+20+240+45+106+80+60+75+45+20</f>
        <v>7604</v>
      </c>
      <c r="D63" s="53">
        <f>January!D63+C63</f>
        <v>30509</v>
      </c>
    </row>
    <row r="64" spans="1:256" x14ac:dyDescent="0.2">
      <c r="A64" s="51" t="s">
        <v>63</v>
      </c>
      <c r="B64" s="25"/>
      <c r="C64" s="96">
        <f>130+200+130+130+170+130+140+115+200+205+200+180+280+75+120+160+180+185+200+40+90+105+115+165+110+180+200+205+200+200+140+115+280+75+90+25+160+180+185+190+200+180+115+105+90+70+330+110+140+85+200+140+115+190+180+200+205+160+180+185+200+100+105+115+280+75+80+280+75+135+180+200+205+200+170+140+115+125+160+180+185+185+200+130+105+115+280+75+180+185+200+130+105+115+190+120+160+180+185+200+130+105+115+280+75+115+180+200+205+200+200+140+115+280+75+160+110+125+180+200+205+200+200+140+115+190+130+130+130+170+130+22+64+135+72+90+70+90+75+45+45+74+45+15+120+35+80+80+70+125+45+90+45+50+85+43+200+72+140+35+22+64+105+70+65+70+55+90+220+45+100+90+90+35+45+43+140+140+35+63+72+64+22+140+140+72+100+90+70+70+56+45+10+65+150+150+140+72+10+100+35+80+100+70+100+72+90+90+50+45+70+55+45+68+55+72+55+140+90+70+35+100+110+63+65+15+220+64+22+43+70+10+100+40+200+90+140+70+35+35+85+175+140+70+200+90+140+35+35+85+175+140+70+15+220+40+22+64+145+145+85+175+55+63+63+35+50+115+45+90+175+45+90+72+300+90+72+35+72+55+64+22+140+70+60+35+230+50+166+90+35+55+43+70+10+100+100+76+35+75+150+80+55+90+45+80+200+65+140+70+35+55+43+66+10+100+220+40+64+22+35+85+45+90+43+104+15+70+140+70+130+140+15+220+64+22+105+26+260+55+63+90+15+220+64+22+105+26+260+70+140+70+130+115+280+70+115+180+200+205+200+200+180+200+205+115+110+140+85+160+180+185+135+180+200+180+185+200+105+190+120+160+180+185+200+130+130+105+115+280+75+180+185+200+205+200+170+140+115+125+160+200+100+105+115+280+75+80+280+75+140+115+280+75+160+110+125+200+200+140+115+190+130+180+190+200+180+115+105+200+140+115+190+200+205+130+105+180+200+140+115+180+185+90+70+200+180+280+75+120+160+200+140+115+200+205+280+75+115+160+180+185+200+115+165+110+205+200+200</f>
        <v>57664</v>
      </c>
      <c r="D64" s="53">
        <f>January!D64+C64</f>
        <v>59260</v>
      </c>
    </row>
    <row r="65" spans="1:4" x14ac:dyDescent="0.2">
      <c r="A65" s="51" t="s">
        <v>60</v>
      </c>
      <c r="C65" s="25"/>
      <c r="D65" s="53">
        <f>January!D65+C65</f>
        <v>0</v>
      </c>
    </row>
    <row r="66" spans="1:4" x14ac:dyDescent="0.2">
      <c r="A66" s="51" t="s">
        <v>61</v>
      </c>
      <c r="C66" s="25">
        <f>205+89+110+140+45+65+100+235+54+135+35+150+185+160+75+136+135+65+91+110+170+25+50+65+65+40+130+165+195+80+55+75+85+55+75+89+185+160+65+135+132+390</f>
        <v>4806</v>
      </c>
      <c r="D66" s="53">
        <f>January!D66+C66</f>
        <v>8483</v>
      </c>
    </row>
    <row r="67" spans="1:4" x14ac:dyDescent="0.2">
      <c r="A67" s="51" t="s">
        <v>62</v>
      </c>
      <c r="C67" s="25">
        <v>538</v>
      </c>
      <c r="D67" s="53">
        <f>January!D67+C67</f>
        <v>1635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49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68</v>
      </c>
      <c r="G2" s="39"/>
      <c r="I2" s="2"/>
    </row>
    <row r="3" spans="1:256" ht="15.75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/>
      <c r="C7" s="24">
        <f>February!C7+B7</f>
        <v>2988</v>
      </c>
      <c r="D7" s="79"/>
      <c r="E7" s="24">
        <f>February!E7+D7</f>
        <v>0</v>
      </c>
      <c r="F7" s="24"/>
      <c r="G7" s="24">
        <f>February!G7+F7</f>
        <v>0</v>
      </c>
    </row>
    <row r="8" spans="1:256" x14ac:dyDescent="0.2">
      <c r="A8" s="11" t="s">
        <v>64</v>
      </c>
      <c r="B8" s="77"/>
      <c r="C8" s="24">
        <f>February!C8+B8</f>
        <v>0</v>
      </c>
      <c r="D8" s="79"/>
      <c r="E8" s="24">
        <f>February!E8+D8</f>
        <v>0</v>
      </c>
      <c r="F8" s="24"/>
      <c r="G8" s="24">
        <f>February!G8+F8</f>
        <v>0</v>
      </c>
    </row>
    <row r="9" spans="1:256" x14ac:dyDescent="0.2">
      <c r="A9" s="11" t="s">
        <v>7</v>
      </c>
      <c r="B9" s="77">
        <f>100+2747+2278+2595+520+600+500+850+450+800+550+850+2597+500+900+800+1050+1050+613+437+1050+1050+1050+1050+150+900+1050</f>
        <v>27087</v>
      </c>
      <c r="C9" s="24">
        <f>February!C9+B9</f>
        <v>69755</v>
      </c>
      <c r="D9" s="79">
        <f>6</f>
        <v>6</v>
      </c>
      <c r="E9" s="24">
        <f>February!E9+D9</f>
        <v>6</v>
      </c>
      <c r="F9" s="24"/>
      <c r="G9" s="24">
        <f>February!G9+F9</f>
        <v>0</v>
      </c>
    </row>
    <row r="10" spans="1:256" x14ac:dyDescent="0.2">
      <c r="A10" s="11" t="s">
        <v>8</v>
      </c>
      <c r="B10" s="77"/>
      <c r="C10" s="24">
        <f>February!C10+B10</f>
        <v>0</v>
      </c>
      <c r="D10" s="79"/>
      <c r="E10" s="24">
        <f>February!E10+D10</f>
        <v>0</v>
      </c>
      <c r="F10" s="24"/>
      <c r="G10" s="24">
        <f>February!G10+F10</f>
        <v>0</v>
      </c>
    </row>
    <row r="11" spans="1:256" x14ac:dyDescent="0.2">
      <c r="A11" s="87" t="s">
        <v>52</v>
      </c>
      <c r="B11" s="77">
        <v>182249</v>
      </c>
      <c r="C11" s="24">
        <f>February!C11+B11</f>
        <v>446155</v>
      </c>
      <c r="D11" s="79">
        <v>2853</v>
      </c>
      <c r="E11" s="24">
        <f>February!E11+D11</f>
        <v>3956</v>
      </c>
      <c r="F11" s="24">
        <v>8358</v>
      </c>
      <c r="G11" s="24">
        <f>February!G11+F11</f>
        <v>17973</v>
      </c>
    </row>
    <row r="12" spans="1:256" x14ac:dyDescent="0.2">
      <c r="A12" s="11" t="s">
        <v>9</v>
      </c>
      <c r="B12" s="77">
        <f>1750+1750+1750+1000+950+1100+1620+1650+1720+1000+1100+900+900+370+650+130+287+405+650+700+2310+2320+750+750+700+700+1360+420+2300+2350+56210</f>
        <v>90552</v>
      </c>
      <c r="C12" s="24">
        <f>February!C12+B12</f>
        <v>275363</v>
      </c>
      <c r="D12" s="79"/>
      <c r="E12" s="24">
        <f>February!E12+D12</f>
        <v>900</v>
      </c>
      <c r="F12" s="24"/>
      <c r="G12" s="24">
        <f>February!G12+F12</f>
        <v>0</v>
      </c>
    </row>
    <row r="13" spans="1:256" x14ac:dyDescent="0.2">
      <c r="A13" s="11" t="s">
        <v>10</v>
      </c>
      <c r="B13" s="77"/>
      <c r="C13" s="24">
        <f>February!C13+B13</f>
        <v>0</v>
      </c>
      <c r="D13" s="79"/>
      <c r="E13" s="24">
        <f>February!E13+D13</f>
        <v>0</v>
      </c>
      <c r="F13" s="24"/>
      <c r="G13" s="24">
        <f>February!G13+F13</f>
        <v>0</v>
      </c>
    </row>
    <row r="14" spans="1:256" x14ac:dyDescent="0.2">
      <c r="A14" s="11" t="s">
        <v>11</v>
      </c>
      <c r="B14" s="77"/>
      <c r="C14" s="24">
        <f>February!C14+B14</f>
        <v>0</v>
      </c>
      <c r="D14" s="79"/>
      <c r="E14" s="24">
        <f>February!E14+D14</f>
        <v>0</v>
      </c>
      <c r="F14" s="24"/>
      <c r="G14" s="24">
        <f>February!G14+F14</f>
        <v>0</v>
      </c>
    </row>
    <row r="15" spans="1:256" x14ac:dyDescent="0.2">
      <c r="A15" s="11" t="s">
        <v>12</v>
      </c>
      <c r="B15" s="77"/>
      <c r="C15" s="24">
        <f>February!C15+B15</f>
        <v>0</v>
      </c>
      <c r="D15" s="79"/>
      <c r="E15" s="24">
        <f>February!E15+D15</f>
        <v>1</v>
      </c>
      <c r="F15" s="24"/>
      <c r="G15" s="24">
        <f>February!G15+F15</f>
        <v>0</v>
      </c>
    </row>
    <row r="16" spans="1:256" x14ac:dyDescent="0.2">
      <c r="A16" s="11" t="s">
        <v>13</v>
      </c>
      <c r="B16" s="77">
        <v>700</v>
      </c>
      <c r="C16" s="24">
        <f>February!C16+B16</f>
        <v>700</v>
      </c>
      <c r="D16" s="79"/>
      <c r="E16" s="24">
        <f>February!E16+D16</f>
        <v>0</v>
      </c>
      <c r="F16" s="24"/>
      <c r="G16" s="24">
        <f>February!G16+F16</f>
        <v>0</v>
      </c>
    </row>
    <row r="17" spans="1:7" x14ac:dyDescent="0.2">
      <c r="A17" s="11" t="s">
        <v>14</v>
      </c>
      <c r="B17" s="77"/>
      <c r="C17" s="24">
        <f>February!C17+B17</f>
        <v>0</v>
      </c>
      <c r="D17" s="79"/>
      <c r="E17" s="24">
        <f>February!E17+D17</f>
        <v>0</v>
      </c>
      <c r="F17" s="24"/>
      <c r="G17" s="24">
        <f>February!G17+F17</f>
        <v>0</v>
      </c>
    </row>
    <row r="18" spans="1:7" x14ac:dyDescent="0.2">
      <c r="A18" s="11" t="s">
        <v>15</v>
      </c>
      <c r="B18" s="77">
        <f>500+1450+1450+1200+1200+1200+1200+784+700+750+750+2000+750+750+750+1500+700+629+629+280+190+370+190+265+265+270+340+230+280+190+190+1050+900+1500+1450+1450+792+350+500+320+1500+1930+716+629+1257+629+656+270+940+720+1040+830+960+960+960+160+805+1500+350+610+660+100+1138+1468+807+1453+1530+1530+1000+1200+1200+1300+350+360+350+350+350+190+260+260+360+1300+1300+2+1260+1260+265+265+190+910+960+960+960+265+180+300+260+190+350+300+300+300+350+300+589+350+600+500+1200+1200+220+320+220+868+1200+1075+1075+1075+1075+250+350+791+773+772+792+792+773+350+300+350+350+300+250+500+375+325+350+325+400+347582</f>
        <v>445246</v>
      </c>
      <c r="C18" s="24">
        <f>February!C18+B18</f>
        <v>1324396</v>
      </c>
      <c r="D18" s="79">
        <f>160+120+120+15+455</f>
        <v>870</v>
      </c>
      <c r="E18" s="24">
        <f>February!E18+D18</f>
        <v>4767</v>
      </c>
      <c r="F18" s="24"/>
      <c r="G18" s="24">
        <f>February!G18+F18</f>
        <v>0</v>
      </c>
    </row>
    <row r="19" spans="1:7" x14ac:dyDescent="0.2">
      <c r="A19" s="11" t="s">
        <v>16</v>
      </c>
      <c r="B19" s="77">
        <f>9+2+316+39424</f>
        <v>39751</v>
      </c>
      <c r="C19" s="24">
        <f>February!C19+B19</f>
        <v>103783</v>
      </c>
      <c r="D19" s="79">
        <v>7</v>
      </c>
      <c r="E19" s="24">
        <f>February!E19+D19</f>
        <v>251</v>
      </c>
      <c r="F19" s="24"/>
      <c r="G19" s="24">
        <f>February!G19+F19</f>
        <v>0</v>
      </c>
    </row>
    <row r="20" spans="1:7" x14ac:dyDescent="0.2">
      <c r="A20" s="11" t="s">
        <v>17</v>
      </c>
      <c r="B20" s="77">
        <f>1200+70+1210+1200+14682</f>
        <v>18362</v>
      </c>
      <c r="C20" s="24">
        <f>February!C20+B20</f>
        <v>51792</v>
      </c>
      <c r="D20" s="79">
        <f>230+3+764</f>
        <v>997</v>
      </c>
      <c r="E20" s="24">
        <f>February!E20+D20</f>
        <v>2298</v>
      </c>
      <c r="F20" s="24"/>
      <c r="G20" s="24">
        <f>February!G20+F20</f>
        <v>0</v>
      </c>
    </row>
    <row r="21" spans="1:7" x14ac:dyDescent="0.2">
      <c r="A21" s="11" t="s">
        <v>18</v>
      </c>
      <c r="B21" s="77">
        <f>1420</f>
        <v>1420</v>
      </c>
      <c r="C21" s="24">
        <f>February!C21+B21</f>
        <v>6517</v>
      </c>
      <c r="D21" s="79">
        <v>45</v>
      </c>
      <c r="E21" s="24">
        <f>February!E21+D21</f>
        <v>528</v>
      </c>
      <c r="F21" s="24"/>
      <c r="G21" s="24">
        <f>February!G21+F21</f>
        <v>0</v>
      </c>
    </row>
    <row r="22" spans="1:7" x14ac:dyDescent="0.2">
      <c r="A22" s="11" t="s">
        <v>19</v>
      </c>
      <c r="B22" s="77"/>
      <c r="C22" s="24">
        <f>February!C22+B22</f>
        <v>0</v>
      </c>
      <c r="D22" s="79"/>
      <c r="E22" s="24">
        <f>February!E22+D22</f>
        <v>0</v>
      </c>
      <c r="F22" s="24"/>
      <c r="G22" s="24">
        <f>February!G22+F22</f>
        <v>0</v>
      </c>
    </row>
    <row r="23" spans="1:7" x14ac:dyDescent="0.2">
      <c r="A23" s="11" t="s">
        <v>20</v>
      </c>
      <c r="B23" s="77"/>
      <c r="C23" s="24">
        <f>February!C23+B23</f>
        <v>0</v>
      </c>
      <c r="D23" s="79"/>
      <c r="E23" s="24">
        <f>February!E23+D23</f>
        <v>0</v>
      </c>
      <c r="F23" s="24"/>
      <c r="G23" s="24">
        <f>February!G23+F23</f>
        <v>0</v>
      </c>
    </row>
    <row r="24" spans="1:7" x14ac:dyDescent="0.2">
      <c r="A24" s="11" t="s">
        <v>21</v>
      </c>
      <c r="B24" s="77"/>
      <c r="C24" s="24">
        <f>February!C24+B24</f>
        <v>0</v>
      </c>
      <c r="D24" s="79"/>
      <c r="E24" s="24">
        <f>February!E24+D24</f>
        <v>0</v>
      </c>
      <c r="F24" s="24"/>
      <c r="G24" s="24">
        <f>February!G24+F24</f>
        <v>0</v>
      </c>
    </row>
    <row r="25" spans="1:7" x14ac:dyDescent="0.2">
      <c r="A25" s="11" t="s">
        <v>22</v>
      </c>
      <c r="B25" s="77"/>
      <c r="C25" s="24">
        <f>February!C25+B25</f>
        <v>0</v>
      </c>
      <c r="D25" s="79"/>
      <c r="E25" s="24">
        <f>February!E25+D25</f>
        <v>0</v>
      </c>
      <c r="F25" s="24"/>
      <c r="G25" s="24">
        <f>February!G25+F25</f>
        <v>0</v>
      </c>
    </row>
    <row r="26" spans="1:7" x14ac:dyDescent="0.2">
      <c r="A26" s="11" t="s">
        <v>23</v>
      </c>
      <c r="B26" s="77"/>
      <c r="C26" s="24">
        <f>February!C26+B26</f>
        <v>1088</v>
      </c>
      <c r="D26" s="79">
        <v>1642</v>
      </c>
      <c r="E26" s="24">
        <f>February!E26+D26</f>
        <v>1642</v>
      </c>
      <c r="F26" s="24"/>
      <c r="G26" s="24">
        <f>February!G26+F26</f>
        <v>0</v>
      </c>
    </row>
    <row r="27" spans="1:7" x14ac:dyDescent="0.2">
      <c r="A27" s="11" t="s">
        <v>24</v>
      </c>
      <c r="B27" s="77">
        <f>30+550+600+180+182+4200+341+1700+650+400+354+405+400+720+4000+540+635+700+420+1200+1200+320+2400+650+320+4108+2000+660+420+400+415+560+2060+1680+900+1250+800+2400+250+12+26+243+1000+660+660+300+1325+14+12+2100+950+500+550+800+210+850+800+850+410+360+360+700+700+420+540+434+365+450+650+660+567+650+650+2400+420+940+1260+365+120+340+640+850+500+180+210+650+470+420+280+330+600+600+2054+1150+2054+850+800+112632</f>
        <v>191893</v>
      </c>
      <c r="C27" s="24">
        <f>February!C27+B27</f>
        <v>664260</v>
      </c>
      <c r="D27" s="79">
        <f>35+41+120+118+8+30+18+7040</f>
        <v>7410</v>
      </c>
      <c r="E27" s="24">
        <f>February!E27+D27</f>
        <v>26049</v>
      </c>
      <c r="F27" s="24"/>
      <c r="G27" s="24">
        <f>February!G27+F27</f>
        <v>0</v>
      </c>
    </row>
    <row r="28" spans="1:7" x14ac:dyDescent="0.2">
      <c r="A28" s="11" t="s">
        <v>25</v>
      </c>
      <c r="B28" s="77">
        <v>67280</v>
      </c>
      <c r="C28" s="24">
        <f>February!C28+B28</f>
        <v>207355</v>
      </c>
      <c r="D28" s="79"/>
      <c r="E28" s="24">
        <f>February!E28+D28</f>
        <v>0</v>
      </c>
      <c r="F28" s="24"/>
      <c r="G28" s="24">
        <f>February!G28+F28</f>
        <v>0</v>
      </c>
    </row>
    <row r="29" spans="1:7" x14ac:dyDescent="0.2">
      <c r="A29" s="11" t="s">
        <v>26</v>
      </c>
      <c r="B29" s="77">
        <f>1350+2487+2487+1200+2500+2450+1249+2020+330+2230+684+684+684+684+776+950+702+2816+1030+1030+2352+1572+788+1250+1325+2600+1250+1200+1200+1100+1100+1100+1100+1100+700+1100+700+1100+1100+1000+1000+1000+2576+1568+608+1822+1256+1254+786+785+785+710+240+710+470+2304+785+785+786+3784+1585+861+400+199+64+312+570+570+570+577+578+517+1475+757+3078+2625+2171+2700+2700+2700+2700+625+625+650+650+650+1200+1000+1367+1367+1367+1000+1000+925+785+785+786+2330+410+410+175237</f>
        <v>297972</v>
      </c>
      <c r="C29" s="24">
        <f>February!C29+B29</f>
        <v>1005100</v>
      </c>
      <c r="D29" s="79"/>
      <c r="E29" s="24">
        <f>February!E29+D29</f>
        <v>5873</v>
      </c>
      <c r="F29" s="24"/>
      <c r="G29" s="24">
        <f>February!G29+F29</f>
        <v>2520</v>
      </c>
    </row>
    <row r="30" spans="1:7" x14ac:dyDescent="0.2">
      <c r="A30" s="11" t="s">
        <v>27</v>
      </c>
      <c r="B30" s="77">
        <v>4375</v>
      </c>
      <c r="C30" s="24">
        <f>February!C30+B30</f>
        <v>14895</v>
      </c>
      <c r="D30" s="79"/>
      <c r="E30" s="24">
        <f>February!E30+D30</f>
        <v>0</v>
      </c>
      <c r="F30" s="24"/>
      <c r="G30" s="24">
        <f>February!G30+F30</f>
        <v>0</v>
      </c>
    </row>
    <row r="31" spans="1:7" x14ac:dyDescent="0.2">
      <c r="A31" s="11" t="s">
        <v>28</v>
      </c>
      <c r="B31" s="77">
        <f>1100+1645+1645+1645+170+150+165+1000+200+800+50+600+700+1100+750+500+600+600+1050+1200+1646+1646+1646+600+950+64+64+24+64+600+800+8+8+8+138001</f>
        <v>161799</v>
      </c>
      <c r="C31" s="24">
        <f>February!C31+B31</f>
        <v>577846</v>
      </c>
      <c r="D31" s="79">
        <f>8+325+325+160+60+84+60+270+68+195+19+900+1+60+1+6</f>
        <v>2542</v>
      </c>
      <c r="E31" s="24">
        <f>February!E31+D31</f>
        <v>10178</v>
      </c>
      <c r="F31" s="24"/>
      <c r="G31" s="24">
        <f>February!G31+F31</f>
        <v>0</v>
      </c>
    </row>
    <row r="32" spans="1:7" x14ac:dyDescent="0.2">
      <c r="A32" s="11" t="s">
        <v>29</v>
      </c>
      <c r="B32" s="77"/>
      <c r="C32" s="24">
        <f>February!C32+B32</f>
        <v>0</v>
      </c>
      <c r="D32" s="79"/>
      <c r="E32" s="24">
        <f>February!E32+D32</f>
        <v>0</v>
      </c>
      <c r="F32" s="24"/>
      <c r="G32" s="24">
        <f>February!G32+F32</f>
        <v>0</v>
      </c>
    </row>
    <row r="33" spans="1:7" x14ac:dyDescent="0.2">
      <c r="A33" s="11" t="s">
        <v>30</v>
      </c>
      <c r="B33" s="77"/>
      <c r="C33" s="24">
        <f>February!C33+B33</f>
        <v>0</v>
      </c>
      <c r="D33" s="79"/>
      <c r="E33" s="24">
        <f>February!E33+D33</f>
        <v>0</v>
      </c>
      <c r="F33" s="24"/>
      <c r="G33" s="24">
        <f>February!G33+F33</f>
        <v>0</v>
      </c>
    </row>
    <row r="34" spans="1:7" x14ac:dyDescent="0.2">
      <c r="A34" s="11" t="s">
        <v>31</v>
      </c>
      <c r="B34" s="77"/>
      <c r="C34" s="24">
        <f>February!C34+B34</f>
        <v>0</v>
      </c>
      <c r="D34" s="79"/>
      <c r="E34" s="24">
        <f>February!E34+D34</f>
        <v>0</v>
      </c>
      <c r="F34" s="24"/>
      <c r="G34" s="24">
        <f>February!G34+F34</f>
        <v>0</v>
      </c>
    </row>
    <row r="35" spans="1:7" x14ac:dyDescent="0.2">
      <c r="A35" s="11" t="s">
        <v>32</v>
      </c>
      <c r="B35" s="77"/>
      <c r="C35" s="24">
        <f>February!C35+B35</f>
        <v>0</v>
      </c>
      <c r="D35" s="79"/>
      <c r="E35" s="24">
        <f>February!E35+D35</f>
        <v>0</v>
      </c>
      <c r="F35" s="24"/>
      <c r="G35" s="24">
        <f>February!G35+F35</f>
        <v>0</v>
      </c>
    </row>
    <row r="36" spans="1:7" x14ac:dyDescent="0.2">
      <c r="A36" s="11" t="s">
        <v>33</v>
      </c>
      <c r="B36" s="77"/>
      <c r="C36" s="24">
        <f>February!C36+B36</f>
        <v>0</v>
      </c>
      <c r="D36" s="79"/>
      <c r="E36" s="24">
        <f>February!E36+D36</f>
        <v>0</v>
      </c>
      <c r="F36" s="24"/>
      <c r="G36" s="24">
        <f>February!G36+F36</f>
        <v>0</v>
      </c>
    </row>
    <row r="37" spans="1:7" x14ac:dyDescent="0.2">
      <c r="A37" s="11" t="s">
        <v>34</v>
      </c>
      <c r="B37" s="77">
        <v>79609</v>
      </c>
      <c r="C37" s="24">
        <f>February!C37+B37</f>
        <v>232541</v>
      </c>
      <c r="D37" s="79"/>
      <c r="E37" s="24">
        <f>February!E37+D37</f>
        <v>0</v>
      </c>
      <c r="F37" s="24"/>
      <c r="G37" s="24">
        <f>February!G37+F37</f>
        <v>0</v>
      </c>
    </row>
    <row r="38" spans="1:7" x14ac:dyDescent="0.2">
      <c r="A38" s="11" t="s">
        <v>35</v>
      </c>
      <c r="B38" s="77">
        <v>21990</v>
      </c>
      <c r="C38" s="24">
        <f>February!C38+B38</f>
        <v>89104</v>
      </c>
      <c r="D38" s="79"/>
      <c r="E38" s="24">
        <f>February!E38+D38</f>
        <v>0</v>
      </c>
      <c r="F38" s="24"/>
      <c r="G38" s="24">
        <f>February!G38+F38</f>
        <v>0</v>
      </c>
    </row>
    <row r="39" spans="1:7" x14ac:dyDescent="0.2">
      <c r="A39" s="11" t="s">
        <v>36</v>
      </c>
      <c r="B39" s="77">
        <f>950+500+1900+5663</f>
        <v>9013</v>
      </c>
      <c r="C39" s="24">
        <f>February!C39+B39</f>
        <v>33533</v>
      </c>
      <c r="D39" s="79">
        <v>3286</v>
      </c>
      <c r="E39" s="24">
        <f>February!E39+D39</f>
        <v>3808</v>
      </c>
      <c r="F39" s="24"/>
      <c r="G39" s="24">
        <f>February!G39+F39</f>
        <v>0</v>
      </c>
    </row>
    <row r="40" spans="1:7" x14ac:dyDescent="0.2">
      <c r="A40" s="11" t="s">
        <v>37</v>
      </c>
      <c r="B40" s="77">
        <f>2505+1550+1565+2458+2125+2100+2150+2160+2200+425+1850+670+121543</f>
        <v>143301</v>
      </c>
      <c r="C40" s="24">
        <f>February!C40+B40</f>
        <v>532075</v>
      </c>
      <c r="D40" s="79">
        <v>120</v>
      </c>
      <c r="E40" s="24">
        <f>February!E40+D40</f>
        <v>4103</v>
      </c>
      <c r="F40" s="24"/>
      <c r="G40" s="24">
        <f>February!G40+F40</f>
        <v>0</v>
      </c>
    </row>
    <row r="41" spans="1:7" x14ac:dyDescent="0.2">
      <c r="A41" s="11" t="s">
        <v>38</v>
      </c>
      <c r="B41" s="77"/>
      <c r="C41" s="24">
        <f>February!C41+B41</f>
        <v>0</v>
      </c>
      <c r="D41" s="79"/>
      <c r="E41" s="24">
        <f>February!E41+D41</f>
        <v>0</v>
      </c>
      <c r="F41" s="24"/>
      <c r="G41" s="24">
        <f>February!G41+F41</f>
        <v>0</v>
      </c>
    </row>
    <row r="42" spans="1:7" x14ac:dyDescent="0.2">
      <c r="A42" s="11" t="s">
        <v>39</v>
      </c>
      <c r="B42" s="77"/>
      <c r="C42" s="24">
        <f>February!C42+B42</f>
        <v>0</v>
      </c>
      <c r="D42" s="79"/>
      <c r="E42" s="24">
        <f>February!E42+D42</f>
        <v>0</v>
      </c>
      <c r="F42" s="24"/>
      <c r="G42" s="24">
        <f>February!G42+F42</f>
        <v>0</v>
      </c>
    </row>
    <row r="43" spans="1:7" x14ac:dyDescent="0.2">
      <c r="A43" s="11" t="s">
        <v>40</v>
      </c>
      <c r="B43" s="77"/>
      <c r="C43" s="24">
        <f>February!C43+B43</f>
        <v>0</v>
      </c>
      <c r="D43" s="79"/>
      <c r="E43" s="24">
        <f>February!E43+D43</f>
        <v>0</v>
      </c>
      <c r="F43" s="24"/>
      <c r="G43" s="24">
        <f>February!G43+F43</f>
        <v>0</v>
      </c>
    </row>
    <row r="44" spans="1:7" x14ac:dyDescent="0.2">
      <c r="A44" s="11" t="s">
        <v>41</v>
      </c>
      <c r="B44" s="77"/>
      <c r="C44" s="24">
        <f>February!C44+B44</f>
        <v>0</v>
      </c>
      <c r="D44" s="79"/>
      <c r="E44" s="24">
        <f>February!E44+D44</f>
        <v>0</v>
      </c>
      <c r="F44" s="24"/>
      <c r="G44" s="24">
        <f>February!G44+F44</f>
        <v>0</v>
      </c>
    </row>
    <row r="45" spans="1:7" x14ac:dyDescent="0.2">
      <c r="A45" s="11" t="s">
        <v>42</v>
      </c>
      <c r="B45" s="77">
        <f>150+60+120+240+128+1000+1250+600+335+1350+1350+1350+49317</f>
        <v>57250</v>
      </c>
      <c r="C45" s="24">
        <f>February!C45+B45</f>
        <v>197783</v>
      </c>
      <c r="D45" s="79">
        <f>155+600+1892</f>
        <v>2647</v>
      </c>
      <c r="E45" s="24">
        <f>February!E45+D45</f>
        <v>8152</v>
      </c>
      <c r="F45" s="24"/>
      <c r="G45" s="24">
        <f>February!G45+F45</f>
        <v>0</v>
      </c>
    </row>
    <row r="46" spans="1:7" x14ac:dyDescent="0.2">
      <c r="A46" s="11" t="s">
        <v>43</v>
      </c>
      <c r="B46" s="77"/>
      <c r="C46" s="24">
        <f>February!C46+B46</f>
        <v>0</v>
      </c>
      <c r="D46" s="79"/>
      <c r="E46" s="24">
        <f>February!E46+D46</f>
        <v>0</v>
      </c>
      <c r="F46" s="24"/>
      <c r="G46" s="24">
        <f>February!G46+F46</f>
        <v>0</v>
      </c>
    </row>
    <row r="47" spans="1:7" x14ac:dyDescent="0.2">
      <c r="A47" s="11" t="s">
        <v>44</v>
      </c>
      <c r="B47" s="77">
        <f>6+36800</f>
        <v>36806</v>
      </c>
      <c r="C47" s="24">
        <f>February!C47+B47</f>
        <v>83467</v>
      </c>
      <c r="D47" s="79"/>
      <c r="E47" s="24">
        <f>February!E47+D47</f>
        <v>0</v>
      </c>
      <c r="F47" s="24"/>
      <c r="G47" s="24">
        <f>February!G47+F47</f>
        <v>0</v>
      </c>
    </row>
    <row r="48" spans="1:7" x14ac:dyDescent="0.2">
      <c r="A48" s="11" t="s">
        <v>45</v>
      </c>
      <c r="B48" s="77">
        <v>36138</v>
      </c>
      <c r="C48" s="24">
        <f>February!C48+B48</f>
        <v>97163</v>
      </c>
      <c r="D48" s="79"/>
      <c r="E48" s="24">
        <f>February!E48+D48</f>
        <v>0</v>
      </c>
      <c r="F48" s="24"/>
      <c r="G48" s="24">
        <f>February!G48+F48</f>
        <v>0</v>
      </c>
    </row>
    <row r="49" spans="1:256" x14ac:dyDescent="0.2">
      <c r="A49" s="11" t="s">
        <v>46</v>
      </c>
      <c r="B49" s="77"/>
      <c r="C49" s="24">
        <f>February!C49+B49</f>
        <v>0</v>
      </c>
      <c r="D49" s="79"/>
      <c r="E49" s="24">
        <f>February!E49+D49</f>
        <v>0</v>
      </c>
      <c r="F49" s="24"/>
      <c r="G49" s="24">
        <f>February!G49+F49</f>
        <v>0</v>
      </c>
    </row>
    <row r="50" spans="1:256" x14ac:dyDescent="0.2">
      <c r="A50" s="11" t="s">
        <v>47</v>
      </c>
      <c r="B50" s="77">
        <f>4</f>
        <v>4</v>
      </c>
      <c r="C50" s="24">
        <f>February!C50+B50</f>
        <v>4</v>
      </c>
      <c r="D50" s="79"/>
      <c r="E50" s="24">
        <f>February!E50+D50</f>
        <v>0</v>
      </c>
      <c r="F50" s="24"/>
      <c r="G50" s="24">
        <f>February!G50+F50</f>
        <v>0</v>
      </c>
    </row>
    <row r="51" spans="1:256" x14ac:dyDescent="0.2">
      <c r="A51" s="11" t="s">
        <v>48</v>
      </c>
      <c r="B51" s="77"/>
      <c r="C51" s="24">
        <f>February!C51+B51</f>
        <v>0</v>
      </c>
      <c r="D51" s="79"/>
      <c r="E51" s="24">
        <f>February!E51+D51</f>
        <v>0</v>
      </c>
      <c r="F51" s="24"/>
      <c r="G51" s="24">
        <f>February!G51+F51</f>
        <v>0</v>
      </c>
    </row>
    <row r="52" spans="1:256" x14ac:dyDescent="0.2">
      <c r="A52" s="11" t="s">
        <v>49</v>
      </c>
      <c r="B52" s="77"/>
      <c r="C52" s="24">
        <f>February!C52+B52</f>
        <v>0</v>
      </c>
      <c r="D52" s="79"/>
      <c r="E52" s="24">
        <f>February!E52+D52</f>
        <v>0</v>
      </c>
      <c r="F52" s="24"/>
      <c r="G52" s="24">
        <f>February!G52+F52</f>
        <v>0</v>
      </c>
    </row>
    <row r="53" spans="1:256" x14ac:dyDescent="0.2">
      <c r="A53" s="11" t="s">
        <v>50</v>
      </c>
      <c r="B53" s="77">
        <f>275+200+150+150+80+130+90+1150+450+800+300+1000+925+11+4+20+46+850+450+400+800+600+250+210+140+300+160+140+250+140+100+150+150+210+200+180+100+200+200+120+800</f>
        <v>12881</v>
      </c>
      <c r="C53" s="24">
        <f>February!C53+B53</f>
        <v>36090</v>
      </c>
      <c r="D53" s="79"/>
      <c r="E53" s="24">
        <f>February!E53+D53</f>
        <v>111</v>
      </c>
      <c r="F53" s="24"/>
      <c r="G53" s="24">
        <f>February!G53+F53</f>
        <v>0</v>
      </c>
    </row>
    <row r="54" spans="1:256" ht="15.75" thickBot="1" x14ac:dyDescent="0.25">
      <c r="A54" s="11" t="s">
        <v>51</v>
      </c>
      <c r="B54" s="77">
        <v>3474</v>
      </c>
      <c r="C54" s="24">
        <f>February!C54+B54</f>
        <v>24661</v>
      </c>
      <c r="D54" s="79"/>
      <c r="E54" s="24">
        <f>February!E54+D54</f>
        <v>0</v>
      </c>
      <c r="F54" s="24"/>
      <c r="G54" s="24">
        <f>February!G54+F54</f>
        <v>0</v>
      </c>
    </row>
    <row r="55" spans="1:256" ht="26.1" customHeight="1" thickBot="1" x14ac:dyDescent="0.25">
      <c r="A55" s="13" t="s">
        <v>53</v>
      </c>
      <c r="B55" s="55">
        <f>SUM(B7:B54)</f>
        <v>1929152</v>
      </c>
      <c r="C55" s="55">
        <f>February!C55+B55</f>
        <v>6078414</v>
      </c>
      <c r="D55" s="55">
        <f>SUM(D7:D54)</f>
        <v>22425</v>
      </c>
      <c r="E55" s="55">
        <f>February!E55+D55</f>
        <v>72623</v>
      </c>
      <c r="F55" s="14">
        <f>SUM(F7:F54)</f>
        <v>8358</v>
      </c>
      <c r="G55" s="14">
        <f>February!G55+F55</f>
        <v>20493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46"/>
      <c r="C56" s="46"/>
      <c r="D56" s="46"/>
      <c r="E56" s="46"/>
    </row>
    <row r="57" spans="1:256" ht="16.5" thickBot="1" x14ac:dyDescent="0.3">
      <c r="A57" s="18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1" t="s">
        <v>55</v>
      </c>
      <c r="B58" s="52"/>
      <c r="C58" s="25"/>
      <c r="D58" s="53">
        <f>February!D58+C58</f>
        <v>0</v>
      </c>
      <c r="E58" s="46"/>
    </row>
    <row r="59" spans="1:256" x14ac:dyDescent="0.2">
      <c r="A59" s="1" t="s">
        <v>56</v>
      </c>
      <c r="B59" s="25"/>
      <c r="C59" s="25">
        <v>4760</v>
      </c>
      <c r="D59" s="53">
        <f>February!D59+C59</f>
        <v>10320</v>
      </c>
      <c r="E59" s="47"/>
    </row>
    <row r="60" spans="1:256" x14ac:dyDescent="0.2">
      <c r="A60" s="1" t="s">
        <v>57</v>
      </c>
      <c r="B60" s="25"/>
      <c r="C60" s="25"/>
      <c r="D60" s="53">
        <f>February!D60+C60</f>
        <v>0</v>
      </c>
      <c r="E60" s="47"/>
    </row>
    <row r="61" spans="1:256" ht="15.75" x14ac:dyDescent="0.25">
      <c r="A61" s="1" t="s">
        <v>58</v>
      </c>
      <c r="B61" s="25"/>
      <c r="C61" s="54"/>
      <c r="D61" s="53">
        <f>February!D61+C61</f>
        <v>0</v>
      </c>
      <c r="E61" s="47"/>
    </row>
    <row r="62" spans="1:256" x14ac:dyDescent="0.2">
      <c r="A62" s="1" t="s">
        <v>59</v>
      </c>
      <c r="B62" s="25"/>
      <c r="C62" s="25">
        <f>120+280+175+45+280+135+115+540+22+36+94+439+150+810+210+755+2320+1600+1300+115+8+20+10+200+8+175+101+8+12+8+20+96+11+40+120+175+45+120+280+175+280+115+45+280+135+115+135+280+280+135+115+45+175+280+120+175+115+45+120+280+280+135+7040</f>
        <v>21898</v>
      </c>
      <c r="D62" s="53">
        <f>February!D62+C62</f>
        <v>91143</v>
      </c>
      <c r="E62" s="47"/>
    </row>
    <row r="63" spans="1:256" x14ac:dyDescent="0.2">
      <c r="A63" s="1" t="s">
        <v>65</v>
      </c>
      <c r="B63" s="25"/>
      <c r="C63" s="25">
        <f>20+80+45+240+275+320+277+52+30+320+80+20+198+45+240+70+150+52+275+45+240+20+20+80+80+150+320+275+150+275+52+868+52+240+45+20+270+361+45+106+80+275+52+150+320+220+100+220+275+72+60+80+43+35+125+85+35+70+140+50+200+35+64+100+10+70+43+55+80+50+90+45+130+140+130+140+240+45+20+80+275+270+45+106+80+80+20+45+240+418+320+24+150+20+202+343+150+320+20+60+52+150+275+160+275+150+320+52+275+178+270+45+106+80+320+150+52+275+60+240+45+20+80+270+45+106+80+275+428+60+150+320+20</f>
        <v>19329</v>
      </c>
      <c r="D63" s="53">
        <f>February!D63+C63</f>
        <v>49838</v>
      </c>
      <c r="E63" s="47"/>
    </row>
    <row r="64" spans="1:256" x14ac:dyDescent="0.2">
      <c r="A64" s="1" t="s">
        <v>63</v>
      </c>
      <c r="B64" s="25"/>
      <c r="C64" s="25">
        <f>82+75+280+115+35+70+40+90+200+185+180+160+50+85+280+75+115+35+70+40+90+200+185+180+160+85+40+190+115+140+200+200+205+200+180+75+280+115+150+130+200+185+180+160+40+205+200+180+110+75+140+115+140+170+200+85+100+35+120+200+100+210+66+220+15+75+63+55+72+80+80+45+165+85+35+70+140+30+130+35+86+100+10+65+55+43+20+86+220+15+95+55+43+72+90+80+45+175+85+35+70+140+50+150+35+115+86+55+100+10+70+43+55+72+155+90+43+175+100+35+70+140+140+130+140+130</f>
        <v>13867</v>
      </c>
      <c r="D64" s="53">
        <f>February!D64+C64</f>
        <v>73127</v>
      </c>
      <c r="E64" s="47"/>
    </row>
    <row r="65" spans="1:5" x14ac:dyDescent="0.2">
      <c r="A65" s="1" t="s">
        <v>60</v>
      </c>
      <c r="B65" s="47"/>
      <c r="C65" s="25"/>
      <c r="D65" s="53">
        <f>February!D65+C65</f>
        <v>0</v>
      </c>
      <c r="E65" s="47"/>
    </row>
    <row r="66" spans="1:5" x14ac:dyDescent="0.2">
      <c r="A66" s="1" t="s">
        <v>61</v>
      </c>
      <c r="B66" s="47"/>
      <c r="C66" s="25">
        <f>30+150+135+91+75+65+90+63+235+125+176+60+75+65+50+165+89+75+91+100+100+125+65+125+40+72+75+91+160+110+160+845</f>
        <v>3973</v>
      </c>
      <c r="D66" s="53">
        <f>February!D66+C66</f>
        <v>12456</v>
      </c>
      <c r="E66" s="47"/>
    </row>
    <row r="67" spans="1:5" x14ac:dyDescent="0.2">
      <c r="A67" s="1" t="s">
        <v>62</v>
      </c>
      <c r="B67" s="47"/>
      <c r="C67" s="25">
        <v>802</v>
      </c>
      <c r="D67" s="53">
        <f>February!D67+C67</f>
        <v>2437</v>
      </c>
      <c r="E67" s="47"/>
    </row>
    <row r="68" spans="1:5" x14ac:dyDescent="0.2">
      <c r="B68" s="47"/>
      <c r="C68" s="47"/>
      <c r="D68" s="47"/>
      <c r="E68" s="47"/>
    </row>
    <row r="69" spans="1:5" x14ac:dyDescent="0.2">
      <c r="B69" s="47"/>
      <c r="C69" s="47"/>
      <c r="D69" s="47"/>
      <c r="E69" s="47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52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7" t="s">
        <v>79</v>
      </c>
      <c r="I3" s="2"/>
    </row>
    <row r="4" spans="1:256" ht="1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954+950+950</f>
        <v>2854</v>
      </c>
      <c r="C7" s="12">
        <f>March!C7+B7</f>
        <v>5842</v>
      </c>
      <c r="D7" s="79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77"/>
      <c r="C8" s="12">
        <f>March!C8+B8</f>
        <v>0</v>
      </c>
      <c r="D8" s="79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77">
        <f>2+4+1450+850+2253+2508+2630+2749+850+450+850+450+1+1+2+1+1+1+1+1+2+2+1050+375+675+1050+1050+825+225+1050+1050+1050+1050</f>
        <v>24509</v>
      </c>
      <c r="C9" s="12">
        <f>March!C9+B9</f>
        <v>94264</v>
      </c>
      <c r="D9" s="79"/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77"/>
      <c r="C10" s="12">
        <f>March!C10+B10</f>
        <v>0</v>
      </c>
      <c r="D10" s="79"/>
      <c r="E10" s="12">
        <f>March!E10+D10</f>
        <v>0</v>
      </c>
      <c r="F10" s="12"/>
      <c r="G10" s="12">
        <f>March!G10+F10</f>
        <v>0</v>
      </c>
    </row>
    <row r="11" spans="1:256" x14ac:dyDescent="0.2">
      <c r="A11" s="93" t="s">
        <v>52</v>
      </c>
      <c r="B11" s="77">
        <v>169605</v>
      </c>
      <c r="C11" s="12">
        <f>March!C11+B11</f>
        <v>615760</v>
      </c>
      <c r="D11" s="79">
        <v>5016</v>
      </c>
      <c r="E11" s="12">
        <f>March!E11+D11</f>
        <v>8972</v>
      </c>
      <c r="F11" s="37">
        <v>10954</v>
      </c>
      <c r="G11" s="12">
        <f>March!G11+F11</f>
        <v>28927</v>
      </c>
    </row>
    <row r="12" spans="1:256" x14ac:dyDescent="0.2">
      <c r="A12" s="11" t="s">
        <v>9</v>
      </c>
      <c r="B12" s="77">
        <f>2000+2025+150+150+350+350+700+700+700+750+700+650+600+2100+2076+2190+2200+1900+2100+1900+700+700+800+800+600+700+800+800+39309</f>
        <v>69500</v>
      </c>
      <c r="C12" s="12">
        <f>March!C12+B12</f>
        <v>344863</v>
      </c>
      <c r="D12" s="79"/>
      <c r="E12" s="12">
        <f>March!E12+D12</f>
        <v>900</v>
      </c>
      <c r="F12" s="12"/>
      <c r="G12" s="12">
        <f>March!G12+F12</f>
        <v>0</v>
      </c>
    </row>
    <row r="13" spans="1:256" x14ac:dyDescent="0.2">
      <c r="A13" s="11" t="s">
        <v>10</v>
      </c>
      <c r="B13" s="77"/>
      <c r="C13" s="12">
        <f>March!C13+B13</f>
        <v>0</v>
      </c>
      <c r="D13" s="79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77"/>
      <c r="C14" s="12">
        <f>March!C14+B14</f>
        <v>0</v>
      </c>
      <c r="D14" s="79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77"/>
      <c r="C15" s="12">
        <f>March!C15+B15</f>
        <v>0</v>
      </c>
      <c r="D15" s="79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77">
        <v>700</v>
      </c>
      <c r="C16" s="12">
        <f>March!C16+B16</f>
        <v>1400</v>
      </c>
      <c r="D16" s="79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77"/>
      <c r="C17" s="12">
        <f>March!C17+B17</f>
        <v>0</v>
      </c>
      <c r="D17" s="79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77">
        <f>793+792+792+605+662+1100+1100+960+960+500+175+1000+1000+1000+810+1000+1000+813+300+320+625+1800+1600+16+609+609+610+610+585+610+569+568+25+1056+320+1300+1400+1400+270+1100+1100+500+500+625+600+875+1725+670+750+1600+1600+1550+1+1+1+670+590+1290+1340+1340+1400+1000+725+290+300+1100+1100+1266+634+1265+1570+786+1200+1200+1200+1200+1300+1300+100+120+550+1600+1500+255647</f>
        <v>327045</v>
      </c>
      <c r="C18" s="12">
        <f>March!C18+B18</f>
        <v>1651441</v>
      </c>
      <c r="D18" s="79">
        <f>1+120+10+1102</f>
        <v>1233</v>
      </c>
      <c r="E18" s="12">
        <f>March!E18+D18</f>
        <v>6000</v>
      </c>
      <c r="F18" s="12"/>
      <c r="G18" s="12">
        <f>March!G18+F18</f>
        <v>0</v>
      </c>
    </row>
    <row r="19" spans="1:7" x14ac:dyDescent="0.2">
      <c r="A19" s="11" t="s">
        <v>16</v>
      </c>
      <c r="B19" s="77">
        <f>1500+2+1+1+350+500+24+24+1+1+1+1+2+6+36903</f>
        <v>39317</v>
      </c>
      <c r="C19" s="12">
        <f>March!C19+B19</f>
        <v>143100</v>
      </c>
      <c r="D19" s="79"/>
      <c r="E19" s="12">
        <f>March!E19+D19</f>
        <v>251</v>
      </c>
      <c r="F19" s="12"/>
      <c r="G19" s="12">
        <f>March!G19+F19</f>
        <v>0</v>
      </c>
    </row>
    <row r="20" spans="1:7" x14ac:dyDescent="0.2">
      <c r="A20" s="11" t="s">
        <v>17</v>
      </c>
      <c r="B20" s="77">
        <f>650+326+304+1000+362+210+500+500+960+400+150+475+250+80+314+175+1200+13241</f>
        <v>21097</v>
      </c>
      <c r="C20" s="12">
        <f>March!C20+B20</f>
        <v>72889</v>
      </c>
      <c r="D20" s="79">
        <v>905</v>
      </c>
      <c r="E20" s="12">
        <f>March!E20+D20</f>
        <v>3203</v>
      </c>
      <c r="F20" s="12"/>
      <c r="G20" s="12">
        <f>March!G20+F20</f>
        <v>0</v>
      </c>
    </row>
    <row r="21" spans="1:7" x14ac:dyDescent="0.2">
      <c r="A21" s="11" t="s">
        <v>18</v>
      </c>
      <c r="B21" s="77">
        <f>152+110+1520+500+1386+1271</f>
        <v>4939</v>
      </c>
      <c r="C21" s="12">
        <f>March!C21+B21</f>
        <v>11456</v>
      </c>
      <c r="D21" s="79">
        <v>48</v>
      </c>
      <c r="E21" s="12">
        <f>March!E21+D21</f>
        <v>576</v>
      </c>
      <c r="F21" s="12"/>
      <c r="G21" s="12">
        <f>March!G21+F21</f>
        <v>0</v>
      </c>
    </row>
    <row r="22" spans="1:7" x14ac:dyDescent="0.2">
      <c r="A22" s="11" t="s">
        <v>19</v>
      </c>
      <c r="B22" s="77"/>
      <c r="C22" s="12">
        <f>March!C22+B22</f>
        <v>0</v>
      </c>
      <c r="D22" s="79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77"/>
      <c r="C23" s="12">
        <f>March!C23+B23</f>
        <v>0</v>
      </c>
      <c r="D23" s="79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77"/>
      <c r="C24" s="12">
        <f>March!C24+B24</f>
        <v>0</v>
      </c>
      <c r="D24" s="79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77"/>
      <c r="C25" s="12">
        <f>March!C25+B25</f>
        <v>0</v>
      </c>
      <c r="D25" s="79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77"/>
      <c r="C26" s="12">
        <f>March!C26+B26</f>
        <v>1088</v>
      </c>
      <c r="D26" s="79">
        <v>180</v>
      </c>
      <c r="E26" s="12">
        <f>March!E26+D26</f>
        <v>1822</v>
      </c>
      <c r="F26" s="12"/>
      <c r="G26" s="12">
        <f>March!G26+F26</f>
        <v>0</v>
      </c>
    </row>
    <row r="27" spans="1:7" x14ac:dyDescent="0.2">
      <c r="A27" s="11" t="s">
        <v>24</v>
      </c>
      <c r="B27" s="77">
        <f>365+290+620+370+155+1+1+1+1+35+625+180+660+1000+180+3000+693+670+670+650+650+650+600+648+405+405+405+850+800+300+2415+1932+2+4340+540+850+2400+340+1000+650+3000+567+660+420+399+316+650+300+1920+650+235+250+700+700+679+425+200+240+77+500+1200+500+1200+1127+2400+1755+370+10+1+2400+120585</f>
        <v>174785</v>
      </c>
      <c r="C27" s="12">
        <f>March!C27+B27</f>
        <v>839045</v>
      </c>
      <c r="D27" s="79">
        <v>1154</v>
      </c>
      <c r="E27" s="12">
        <f>March!E27+D27</f>
        <v>27203</v>
      </c>
      <c r="F27" s="12"/>
      <c r="G27" s="12">
        <f>March!G27+F27</f>
        <v>0</v>
      </c>
    </row>
    <row r="28" spans="1:7" x14ac:dyDescent="0.2">
      <c r="A28" s="11" t="s">
        <v>25</v>
      </c>
      <c r="B28" s="77">
        <v>67350</v>
      </c>
      <c r="C28" s="12">
        <f>March!C28+B28</f>
        <v>274705</v>
      </c>
      <c r="D28" s="79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77">
        <f>925+977+1279+5240+1300+1425+1300+330+1350+1425+1350+1350+2550+650+650+650+650+354+1283+559+1118+676+676+676+1265+1550+775+775+1505+1631+544+752+2256+780+2850+2040+2040+409+344+753+753+1506+600+589+1178+2525+200+750+750+120+40+689+689+460+759+985+1360+1100+1100+1100+1100+1100+1100+1100+1100+1100+1100+1100+1100+1100+1100+1770+1770+1650+1650+1650+1700+785+1571+2420+1890+2+16+725+725+2082+2082+1526+1526+1700+1150+11+300+182391</f>
        <v>289457</v>
      </c>
      <c r="C29" s="12">
        <f>March!C29+B29</f>
        <v>1294557</v>
      </c>
      <c r="D29" s="79">
        <v>763</v>
      </c>
      <c r="E29" s="12">
        <f>March!E29+D29</f>
        <v>6636</v>
      </c>
      <c r="F29" s="12"/>
      <c r="G29" s="12">
        <f>March!G29+F29</f>
        <v>2520</v>
      </c>
    </row>
    <row r="30" spans="1:7" x14ac:dyDescent="0.2">
      <c r="A30" s="11" t="s">
        <v>27</v>
      </c>
      <c r="B30" s="77">
        <v>4720</v>
      </c>
      <c r="C30" s="12">
        <f>March!C30+B30</f>
        <v>19615</v>
      </c>
      <c r="D30" s="79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77">
        <f>8+130+60+1025+1225+1025+170+2525+1646+1646+600+850+750+1025+1025+2525+1225+1225+1025+1050+700+1075+1275+1200+1646+600+6+1200+14+600+600+6+1050+128+1573+1573+1573+900+1300+2525+725+1525+2025+2025+4525+2+1+1+620+1538+1538+3500+475+775+3500+2225+550+4+2+5+600+600+131205</f>
        <v>198270</v>
      </c>
      <c r="C31" s="12">
        <f>March!C31+B31</f>
        <v>776116</v>
      </c>
      <c r="D31" s="79">
        <f>240+45+110+120+50+30+15+72</f>
        <v>682</v>
      </c>
      <c r="E31" s="12">
        <f>March!E31+D31</f>
        <v>10860</v>
      </c>
      <c r="F31" s="12"/>
      <c r="G31" s="12">
        <f>March!G31+F31</f>
        <v>0</v>
      </c>
    </row>
    <row r="32" spans="1:7" x14ac:dyDescent="0.2">
      <c r="A32" s="11" t="s">
        <v>29</v>
      </c>
      <c r="B32" s="77"/>
      <c r="C32" s="12">
        <f>March!C32+B32</f>
        <v>0</v>
      </c>
      <c r="D32" s="79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77"/>
      <c r="C33" s="12">
        <f>March!C33+B33</f>
        <v>0</v>
      </c>
      <c r="D33" s="79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77"/>
      <c r="C34" s="12">
        <f>March!C34+B34</f>
        <v>0</v>
      </c>
      <c r="D34" s="79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77"/>
      <c r="C35" s="12">
        <f>March!C35+B35</f>
        <v>0</v>
      </c>
      <c r="D35" s="79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77"/>
      <c r="C36" s="12">
        <f>March!C36+B36</f>
        <v>0</v>
      </c>
      <c r="D36" s="79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77">
        <v>67522</v>
      </c>
      <c r="C37" s="12">
        <f>March!C37+B37</f>
        <v>300063</v>
      </c>
      <c r="D37" s="79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77">
        <v>27885</v>
      </c>
      <c r="C38" s="12">
        <f>March!C38+B38</f>
        <v>116989</v>
      </c>
      <c r="D38" s="79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36</v>
      </c>
      <c r="B39" s="77">
        <f>550+800+2000+500+500+1000+2000+6820</f>
        <v>14170</v>
      </c>
      <c r="C39" s="12">
        <f>March!C39+B39</f>
        <v>47703</v>
      </c>
      <c r="D39" s="79">
        <v>503</v>
      </c>
      <c r="E39" s="12">
        <f>March!E39+D39</f>
        <v>4311</v>
      </c>
      <c r="F39" s="12"/>
      <c r="G39" s="12">
        <f>March!G39+F39</f>
        <v>0</v>
      </c>
    </row>
    <row r="40" spans="1:7" x14ac:dyDescent="0.2">
      <c r="A40" s="11" t="s">
        <v>37</v>
      </c>
      <c r="B40" s="77">
        <f>2160+1555+2160+2160+1100+2160+2240+2050+2160+2160+2160+550+550+2160+2050+2160+950+1600+129721</f>
        <v>161806</v>
      </c>
      <c r="C40" s="12">
        <f>March!C40+B40</f>
        <v>693881</v>
      </c>
      <c r="D40" s="79">
        <v>123</v>
      </c>
      <c r="E40" s="12">
        <f>March!E40+D40</f>
        <v>4226</v>
      </c>
      <c r="F40" s="12"/>
      <c r="G40" s="12">
        <f>March!G40+F40</f>
        <v>0</v>
      </c>
    </row>
    <row r="41" spans="1:7" x14ac:dyDescent="0.2">
      <c r="A41" s="11" t="s">
        <v>38</v>
      </c>
      <c r="B41" s="77"/>
      <c r="C41" s="12">
        <f>March!C41+B41</f>
        <v>0</v>
      </c>
      <c r="D41" s="79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77"/>
      <c r="C42" s="12">
        <f>March!C42+B42</f>
        <v>0</v>
      </c>
      <c r="D42" s="79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40</v>
      </c>
      <c r="B43" s="77"/>
      <c r="C43" s="12">
        <f>March!C43+B43</f>
        <v>0</v>
      </c>
      <c r="D43" s="79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77"/>
      <c r="C44" s="12">
        <f>March!C44+B44</f>
        <v>0</v>
      </c>
      <c r="D44" s="79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77">
        <f>600+620+620+620+600+1190+6+160+127+128+100+100+500+600+600+600+97+76+1350+2056+2056+800+1200+800+800+800+650+650+400+2145+2250+290+640+60632</f>
        <v>84863</v>
      </c>
      <c r="C45" s="12">
        <f>March!C45+B45</f>
        <v>282646</v>
      </c>
      <c r="D45" s="79">
        <f>4+2+9+2+44+45+3+450+1410</f>
        <v>1969</v>
      </c>
      <c r="E45" s="12">
        <f>March!E45+D45</f>
        <v>10121</v>
      </c>
      <c r="F45" s="12"/>
      <c r="G45" s="12">
        <f>March!G45+F45</f>
        <v>0</v>
      </c>
    </row>
    <row r="46" spans="1:7" x14ac:dyDescent="0.2">
      <c r="A46" s="11" t="s">
        <v>43</v>
      </c>
      <c r="B46" s="77"/>
      <c r="C46" s="12">
        <f>March!C46+B46</f>
        <v>0</v>
      </c>
      <c r="D46" s="79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77">
        <f>4+68+10+49294</f>
        <v>49376</v>
      </c>
      <c r="C47" s="12">
        <f>March!C47+B47</f>
        <v>132843</v>
      </c>
      <c r="D47" s="79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45</v>
      </c>
      <c r="B48" s="77">
        <v>31218</v>
      </c>
      <c r="C48" s="12">
        <f>March!C48+B48</f>
        <v>128381</v>
      </c>
      <c r="D48" s="79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77"/>
      <c r="C49" s="12">
        <f>March!C49+B49</f>
        <v>0</v>
      </c>
      <c r="D49" s="79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77"/>
      <c r="C50" s="12">
        <f>March!C50+B50</f>
        <v>4</v>
      </c>
      <c r="D50" s="79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77"/>
      <c r="C51" s="12">
        <f>March!C51+B51</f>
        <v>0</v>
      </c>
      <c r="D51" s="79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77"/>
      <c r="C52" s="12">
        <f>March!C52+B52</f>
        <v>0</v>
      </c>
      <c r="D52" s="79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77">
        <f>60+250+127+30+500+185+1800+1000+17+58+1500+800+94+122+2400+1800+32+73+1+1+140+150+250+300+110+200+240+100+25+53+450+350+800+800+180+210+245+90+150+200+120+130+450+275+150+4+250</f>
        <v>17272</v>
      </c>
      <c r="C53" s="12">
        <f>March!C53+B53</f>
        <v>53362</v>
      </c>
      <c r="D53" s="79">
        <f>11+46</f>
        <v>57</v>
      </c>
      <c r="E53" s="12">
        <f>March!E53+D53</f>
        <v>168</v>
      </c>
      <c r="F53" s="12"/>
      <c r="G53" s="12">
        <f>March!G53+F53</f>
        <v>0</v>
      </c>
    </row>
    <row r="54" spans="1:256" ht="15.75" thickBot="1" x14ac:dyDescent="0.25">
      <c r="A54" s="90" t="s">
        <v>51</v>
      </c>
      <c r="B54" s="97">
        <v>10162</v>
      </c>
      <c r="C54" s="91">
        <f>March!C54+B54</f>
        <v>34823</v>
      </c>
      <c r="D54" s="98"/>
      <c r="E54" s="91">
        <f>March!E54+D54</f>
        <v>0</v>
      </c>
      <c r="F54" s="91"/>
      <c r="G54" s="91">
        <f>March!G54+F54</f>
        <v>0</v>
      </c>
    </row>
    <row r="55" spans="1:256" ht="26.1" customHeight="1" thickTop="1" thickBot="1" x14ac:dyDescent="0.25">
      <c r="A55" s="88" t="s">
        <v>53</v>
      </c>
      <c r="B55" s="89">
        <f>SUM(B7:B54)</f>
        <v>1858422</v>
      </c>
      <c r="C55" s="89">
        <f>March!C55+B55</f>
        <v>7936836</v>
      </c>
      <c r="D55" s="89">
        <f>SUM(D7:D54)</f>
        <v>12633</v>
      </c>
      <c r="E55" s="89">
        <f>March!E55+D55</f>
        <v>85256</v>
      </c>
      <c r="F55" s="89">
        <f>SUM(F7:F54)</f>
        <v>10954</v>
      </c>
      <c r="G55" s="89">
        <f>March!G55+F55</f>
        <v>31447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0</v>
      </c>
      <c r="E58" s="17"/>
    </row>
    <row r="59" spans="1:256" x14ac:dyDescent="0.2">
      <c r="A59" s="1" t="s">
        <v>56</v>
      </c>
      <c r="B59" s="22"/>
      <c r="C59" s="25">
        <v>5821</v>
      </c>
      <c r="D59" s="23">
        <f>March!D59+C59</f>
        <v>16141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>
        <f>36+600+21+18+128+8+50+16+200+8+175+10+15+8+96+8+8+96+120+280+135+280+115+760+480+850+145+1300+2204+2270+30+1400+7040</f>
        <v>18910</v>
      </c>
      <c r="D62" s="23">
        <f>March!D62+C62</f>
        <v>110053</v>
      </c>
    </row>
    <row r="63" spans="1:256" x14ac:dyDescent="0.2">
      <c r="A63" s="1" t="s">
        <v>65</v>
      </c>
      <c r="B63" s="22"/>
      <c r="C63" s="25">
        <f>497+275+80+106+45+270+20+320+150+80+20+45+240+228+275+52+150+320+838+60+40+150+320+275+270+20+45+80+106+228+8+60+150+320+52+275+40+240+45+20+80+171+70+275+52+320+150+200+80+20+45+240+40+275+80+106+462+45+270+20+150+40+30+320+80+20+45+240+40+200+151+60+275+52+150+60+275+80+106+391+45+270+20+320+150+40+25</f>
        <v>13451</v>
      </c>
      <c r="D63" s="23">
        <f>March!D63+C63</f>
        <v>63289</v>
      </c>
    </row>
    <row r="64" spans="1:256" x14ac:dyDescent="0.2">
      <c r="A64" s="1" t="s">
        <v>63</v>
      </c>
      <c r="B64" s="22"/>
      <c r="C64" s="25">
        <f>140+130+140+130+35+100+175+45+90+175+45+55+75+10+100+64+22+200+130+115+58+35+180+140+70+35+85+220+140+70+35+125+100+45+65+104+15+220+25+64+22+200+170+115+65+70+10+100+64+22+200+95+115+35+160+180+200+205+200+200+140+115+300+145+160+180+185+105+250+120+180+200+205+140+250+130+160+180+185+105+80+105+140+250+356+135+180+200+205+160+180+185+105+250+100+145+180+200+205+140+200+135+160+180+185+105+250+95+80+45+260+135+140+70+35+100+85+45+90+135+110+55+63+80+15+220+70+58+125+55+43+70+10+100+64+22+200+130+115+35+68+160+140+70+35+85+175+45+80+55+63+80+15+220+30+64+22+200+200+115+220+140+70+140+70+35+60+140+45+210+140+70+35+125+175+45+65+65+15+210+64+22+20+200+200+115+65+70+10+100+50+22+64+155+200+130+115+35+180+140+70+35+100+105+90+130+45+65+70+10+100+70+22+64+35+180+130+115+250+35+180+140+70+35+100+15+125+65+75+15+210+22+64+15+125+200+210+55+115+200+140+70+35+100+135+45+160+180+185+105+90+25+180+200+205+35+105+250+125</f>
        <v>29422</v>
      </c>
      <c r="D64" s="23">
        <f>March!D64+C64</f>
        <v>102549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>
        <f>91+160+200+150+150+165+75+59+65+50+91+75+130+130+65+160+35+57+100+100+75+176+820+81+100+160+50+122+75+65+233+40+125+50+62+65+50+75+91+50+130+135+120+65+130+135+91+75+130+74+1153</f>
        <v>6911</v>
      </c>
      <c r="D66" s="23">
        <f>March!D66+C66</f>
        <v>19367</v>
      </c>
    </row>
    <row r="67" spans="1:4" x14ac:dyDescent="0.2">
      <c r="A67" s="1" t="s">
        <v>62</v>
      </c>
      <c r="C67" s="25">
        <v>976</v>
      </c>
      <c r="D67" s="23">
        <f>March!D67+C67</f>
        <v>3413</v>
      </c>
    </row>
    <row r="68" spans="1:4" x14ac:dyDescent="0.2">
      <c r="C68" s="47"/>
    </row>
    <row r="69" spans="1:4" x14ac:dyDescent="0.2">
      <c r="C69" s="47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tabSelected="1" defaultGridColor="0" colorId="22" zoomScale="115" zoomScaleNormal="115" workbookViewId="0">
      <pane ySplit="6" topLeftCell="A55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70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April!C7+B7</f>
        <v>5842</v>
      </c>
      <c r="D7" s="81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2"/>
      <c r="C8" s="26">
        <f>April!C8+B8</f>
        <v>0</v>
      </c>
      <c r="D8" s="83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82">
        <f>1967+2505+2571+2659+2431+2379+2210+2198+2222</f>
        <v>21142</v>
      </c>
      <c r="C9" s="26">
        <f>April!C9+B9</f>
        <v>115406</v>
      </c>
      <c r="D9" s="83"/>
      <c r="E9" s="26">
        <f>April!E9+D9</f>
        <v>6</v>
      </c>
      <c r="F9" s="26"/>
      <c r="G9" s="26">
        <f>April!G9+F9</f>
        <v>0</v>
      </c>
    </row>
    <row r="10" spans="1:256" x14ac:dyDescent="0.2">
      <c r="A10" s="11" t="s">
        <v>8</v>
      </c>
      <c r="B10" s="82"/>
      <c r="C10" s="26">
        <f>April!C10+B10</f>
        <v>0</v>
      </c>
      <c r="D10" s="83">
        <v>5</v>
      </c>
      <c r="E10" s="26">
        <f>April!E10+D10</f>
        <v>5</v>
      </c>
      <c r="F10" s="26"/>
      <c r="G10" s="26">
        <f>April!G10+F10</f>
        <v>0</v>
      </c>
    </row>
    <row r="11" spans="1:256" x14ac:dyDescent="0.2">
      <c r="A11" s="92" t="s">
        <v>52</v>
      </c>
      <c r="B11" s="82">
        <v>196907</v>
      </c>
      <c r="C11" s="26">
        <f>April!C11+B11</f>
        <v>812667</v>
      </c>
      <c r="D11" s="83">
        <v>2449</v>
      </c>
      <c r="E11" s="26">
        <f>April!E11+D11</f>
        <v>11421</v>
      </c>
      <c r="F11" s="26">
        <v>11071</v>
      </c>
      <c r="G11" s="26">
        <f>April!G11+F11</f>
        <v>39998</v>
      </c>
    </row>
    <row r="12" spans="1:256" x14ac:dyDescent="0.2">
      <c r="A12" s="11" t="s">
        <v>9</v>
      </c>
      <c r="B12" s="82">
        <f>2000+2200+2050+2000+2080+2030+900+900+1000+1000+1750+1700+2000+1850+1900+2074+2300+2450+2026+1750+1700+2000+1850+1900+2074+2300+2450+2026+44346</f>
        <v>96606</v>
      </c>
      <c r="C12" s="26">
        <f>April!C12+B12</f>
        <v>441469</v>
      </c>
      <c r="D12" s="83"/>
      <c r="E12" s="26">
        <f>April!E12+D12</f>
        <v>900</v>
      </c>
      <c r="F12" s="26"/>
      <c r="G12" s="26">
        <f>April!G12+F12</f>
        <v>0</v>
      </c>
    </row>
    <row r="13" spans="1:256" x14ac:dyDescent="0.2">
      <c r="A13" s="11" t="s">
        <v>10</v>
      </c>
      <c r="B13" s="82"/>
      <c r="C13" s="26">
        <f>April!C13+B13</f>
        <v>0</v>
      </c>
      <c r="D13" s="83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82"/>
      <c r="C14" s="26">
        <f>April!C14+B14</f>
        <v>0</v>
      </c>
      <c r="D14" s="83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82"/>
      <c r="C15" s="26">
        <f>April!C15+B15</f>
        <v>0</v>
      </c>
      <c r="D15" s="83"/>
      <c r="E15" s="26">
        <f>April!E15+D15</f>
        <v>1</v>
      </c>
      <c r="F15" s="26"/>
      <c r="G15" s="26">
        <f>April!G15+F15</f>
        <v>0</v>
      </c>
    </row>
    <row r="16" spans="1:256" x14ac:dyDescent="0.2">
      <c r="A16" s="11" t="s">
        <v>13</v>
      </c>
      <c r="B16" s="82"/>
      <c r="C16" s="26">
        <f>April!C16+B16</f>
        <v>1400</v>
      </c>
      <c r="D16" s="83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82"/>
      <c r="C17" s="26">
        <f>April!C17+B17</f>
        <v>0</v>
      </c>
      <c r="D17" s="83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82">
        <f>340+1450+1450+1200+837+550+340+180+260+340+270+290+830+830+830+830+1050+900+380+380+415+400+300+235+250+270+713+1482+1482+1221+725+726+280+180+180+320+260+270+1200+180+180+230+370+270+340+370+380+380+1150+1450+1450+853+734+734+1520+420+684+334+684+684+617+626+626+636+625+622+629+625+500+706+810+810+1800+1260+360+610+8+360+230+380+280+370+350+280+705+1000+1200+1200+1200+1200+1070+700+1200+1450+845+1450+830+8+6+680+1200+560+1050+320+649+1350+160+1350+650+650+650+696+696+696+2+305120</f>
        <v>382506</v>
      </c>
      <c r="C18" s="26">
        <f>April!C18+B18</f>
        <v>2033947</v>
      </c>
      <c r="D18" s="83">
        <v>601</v>
      </c>
      <c r="E18" s="26">
        <f>April!E18+D18</f>
        <v>6601</v>
      </c>
      <c r="F18" s="26"/>
      <c r="G18" s="26">
        <f>April!G18+F18</f>
        <v>0</v>
      </c>
    </row>
    <row r="19" spans="1:7" x14ac:dyDescent="0.2">
      <c r="A19" s="11" t="s">
        <v>16</v>
      </c>
      <c r="B19" s="82">
        <f>50+1+1+3+30+8+7+1+1+1+500+500+500+1150+500+500+500+500+40718</f>
        <v>45471</v>
      </c>
      <c r="C19" s="26">
        <f>April!C19+B19</f>
        <v>188571</v>
      </c>
      <c r="D19" s="83">
        <f>7+2+4+3+3+1+3+6+2+1+5+3+1+4+1+2+2+1+2+3+2+7+3+2+53</f>
        <v>123</v>
      </c>
      <c r="E19" s="26">
        <f>April!E19+D19</f>
        <v>374</v>
      </c>
      <c r="F19" s="26"/>
      <c r="G19" s="26">
        <f>April!G19+F19</f>
        <v>0</v>
      </c>
    </row>
    <row r="20" spans="1:7" x14ac:dyDescent="0.2">
      <c r="A20" s="11" t="s">
        <v>17</v>
      </c>
      <c r="B20" s="82">
        <f>850+360+230+325+230+230+600+134+135+500+525+525+1440+800+50+600+140+140+60+9398</f>
        <v>17272</v>
      </c>
      <c r="C20" s="26">
        <f>April!C20+B20</f>
        <v>90161</v>
      </c>
      <c r="D20" s="83">
        <f>4+2+3+1137</f>
        <v>1146</v>
      </c>
      <c r="E20" s="26">
        <f>April!E20+D20</f>
        <v>4349</v>
      </c>
      <c r="F20" s="26"/>
      <c r="G20" s="26">
        <f>April!G20+F20</f>
        <v>0</v>
      </c>
    </row>
    <row r="21" spans="1:7" x14ac:dyDescent="0.2">
      <c r="A21" s="11" t="s">
        <v>18</v>
      </c>
      <c r="B21" s="82"/>
      <c r="C21" s="26">
        <f>April!C21+B21</f>
        <v>11456</v>
      </c>
      <c r="D21" s="83">
        <f>1</f>
        <v>1</v>
      </c>
      <c r="E21" s="26">
        <f>April!E21+D21</f>
        <v>577</v>
      </c>
      <c r="F21" s="26"/>
      <c r="G21" s="26">
        <f>April!G21+F21</f>
        <v>0</v>
      </c>
    </row>
    <row r="22" spans="1:7" x14ac:dyDescent="0.2">
      <c r="A22" s="11" t="s">
        <v>19</v>
      </c>
      <c r="B22" s="82"/>
      <c r="C22" s="26">
        <f>April!C22+B22</f>
        <v>0</v>
      </c>
      <c r="D22" s="83">
        <v>14</v>
      </c>
      <c r="E22" s="26">
        <f>April!E22+D22</f>
        <v>14</v>
      </c>
      <c r="F22" s="26"/>
      <c r="G22" s="26">
        <f>April!G22+F22</f>
        <v>0</v>
      </c>
    </row>
    <row r="23" spans="1:7" x14ac:dyDescent="0.2">
      <c r="A23" s="11" t="s">
        <v>20</v>
      </c>
      <c r="B23" s="82"/>
      <c r="C23" s="26">
        <f>April!C23+B23</f>
        <v>0</v>
      </c>
      <c r="D23" s="83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82"/>
      <c r="C24" s="26">
        <f>April!C24+B24</f>
        <v>0</v>
      </c>
      <c r="D24" s="83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82"/>
      <c r="C25" s="26">
        <f>April!C25+B25</f>
        <v>0</v>
      </c>
      <c r="D25" s="83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82"/>
      <c r="C26" s="26">
        <f>April!C26+B26</f>
        <v>1088</v>
      </c>
      <c r="D26" s="83">
        <v>2025</v>
      </c>
      <c r="E26" s="26">
        <f>April!E26+D26</f>
        <v>3847</v>
      </c>
      <c r="F26" s="26"/>
      <c r="G26" s="26">
        <f>April!G26+F26</f>
        <v>0</v>
      </c>
    </row>
    <row r="27" spans="1:7" x14ac:dyDescent="0.2">
      <c r="A27" s="11" t="s">
        <v>24</v>
      </c>
      <c r="B27" s="82">
        <f>84+1+210+120+900+1880+500+800+650+650+2525+136+1150+2100+2000+1200+1190+1900+2425+2100+2150+520+350+250+250+520+250+250+440+440+440+2055+2055+2600+1100+9+810+79+1200+600+550+550+10+3+1521+2535+550+2+2+50+1000+1000+2150+944+2832+350+300+300+540+540+440+350+2031+2031+380+460+650+650+620+580+800+650+500+1880+1020+1900+700+400+220+2450+3000+2350+3500+160+25+2+2000+2000+550+550+575+340+290+400+400+950+3000+495+2200+2000+2000+720+120+210+180+180+340+120+320+90+500+580+580+650+650+413+800+800+131016</f>
        <v>238386</v>
      </c>
      <c r="C27" s="26">
        <f>April!C27+B27</f>
        <v>1077431</v>
      </c>
      <c r="D27" s="83">
        <f>3+3+125+220+30+76+220+1020</f>
        <v>1697</v>
      </c>
      <c r="E27" s="26">
        <f>April!E27+D27</f>
        <v>28900</v>
      </c>
      <c r="F27" s="26"/>
      <c r="G27" s="26">
        <f>April!G27+F27</f>
        <v>0</v>
      </c>
    </row>
    <row r="28" spans="1:7" x14ac:dyDescent="0.2">
      <c r="A28" s="11" t="s">
        <v>25</v>
      </c>
      <c r="B28" s="82">
        <v>73405</v>
      </c>
      <c r="C28" s="26">
        <f>April!C28+B28</f>
        <v>348110</v>
      </c>
      <c r="D28" s="83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82">
        <f>1000+1000+1250+1250+1000+1100+1050+1000+1000+1200+1200+1400+1100+1100+1100+1100+1100+700+1560+1484+742+2226+2500+1325+900+1403+1200+1475+1500+1215+1838+560+722+1350+1350+1350+1350+1250+1425+2356+570+570+2280+747+1493+2318+2100+900+900+1430+450+750+1640+1015+1300+1+3+1+777+777+1270+1920+520+1070+1270+2055+493+1410+705+705+703+1176+1506+2128+710+2765+1201+1367+1367+1200+1200+1367+400+250+150+450+150+8+1670+1680+1670+2530+1520+30+1217+1218+750+750+750+5+743+777+777+1390+870+1890+2217+748+1554+540+2280+256+1554+550+1475+1195+1935+2500+769+1245+1425+841+760+408+747+600+195172</f>
        <v>339277</v>
      </c>
      <c r="C29" s="26">
        <f>April!C29+B29</f>
        <v>1633834</v>
      </c>
      <c r="D29" s="83">
        <f>25+4+1717</f>
        <v>1746</v>
      </c>
      <c r="E29" s="26">
        <f>April!E29+D29</f>
        <v>8382</v>
      </c>
      <c r="F29" s="26"/>
      <c r="G29" s="26">
        <f>April!G29+F29</f>
        <v>2520</v>
      </c>
    </row>
    <row r="30" spans="1:7" x14ac:dyDescent="0.2">
      <c r="A30" s="11" t="s">
        <v>27</v>
      </c>
      <c r="B30" s="77">
        <v>3475</v>
      </c>
      <c r="C30" s="26">
        <f>April!C30+B30</f>
        <v>23090</v>
      </c>
      <c r="D30" s="83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82">
        <f>1538+400+850+175+850+525+850+1050+500+500+1350+800+900+300+600+600+1350+400+500+800+600+500+500+400+875+350+825+750+1150+1100+500+6+240+1300+1300+1601+1000+1350+1601+1601+2225+165+2025+2025+144+1225+700+650+600+500+3+4525+1025+1225+490+600+600+1200+1200+420+7+9+9+3+3+6+450+600+174682</f>
        <v>229703</v>
      </c>
      <c r="C31" s="26">
        <f>April!C31+B31</f>
        <v>1005819</v>
      </c>
      <c r="D31" s="83">
        <f>210+48+48+3+45+13+2+120+131+45+60+3+200+12+40+44+34+44+10+180</f>
        <v>1292</v>
      </c>
      <c r="E31" s="26">
        <f>April!E31+D31</f>
        <v>12152</v>
      </c>
      <c r="F31" s="26"/>
      <c r="G31" s="26">
        <f>April!G31+F31</f>
        <v>0</v>
      </c>
    </row>
    <row r="32" spans="1:7" x14ac:dyDescent="0.2">
      <c r="A32" s="11" t="s">
        <v>29</v>
      </c>
      <c r="B32" s="82"/>
      <c r="C32" s="26">
        <f>April!C32+B32</f>
        <v>0</v>
      </c>
      <c r="D32" s="83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82"/>
      <c r="C33" s="26">
        <f>April!C33+B33</f>
        <v>0</v>
      </c>
      <c r="D33" s="83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82"/>
      <c r="C34" s="26">
        <f>April!C34+B34</f>
        <v>0</v>
      </c>
      <c r="D34" s="83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82"/>
      <c r="C35" s="26">
        <f>April!C35+B35</f>
        <v>0</v>
      </c>
      <c r="D35" s="83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82"/>
      <c r="C36" s="26">
        <f>April!C36+B36</f>
        <v>0</v>
      </c>
      <c r="D36" s="83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82">
        <v>87865</v>
      </c>
      <c r="C37" s="26">
        <f>April!C37+B37</f>
        <v>387928</v>
      </c>
      <c r="D37" s="83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82">
        <v>26270</v>
      </c>
      <c r="C38" s="26">
        <f>April!C38+B38</f>
        <v>143259</v>
      </c>
      <c r="D38" s="83">
        <f>50</f>
        <v>50</v>
      </c>
      <c r="E38" s="26">
        <f>April!E38+D38</f>
        <v>50</v>
      </c>
      <c r="F38" s="26"/>
      <c r="G38" s="26">
        <f>April!G38+F38</f>
        <v>0</v>
      </c>
    </row>
    <row r="39" spans="1:7" x14ac:dyDescent="0.2">
      <c r="A39" s="11" t="s">
        <v>36</v>
      </c>
      <c r="B39" s="82">
        <v>7210</v>
      </c>
      <c r="C39" s="26">
        <f>April!C39+B39</f>
        <v>54913</v>
      </c>
      <c r="D39" s="83">
        <v>469</v>
      </c>
      <c r="E39" s="26">
        <f>April!E39+D39</f>
        <v>4780</v>
      </c>
      <c r="F39" s="26"/>
      <c r="G39" s="26">
        <f>April!G39+F39</f>
        <v>0</v>
      </c>
    </row>
    <row r="40" spans="1:7" x14ac:dyDescent="0.2">
      <c r="A40" s="11" t="s">
        <v>37</v>
      </c>
      <c r="B40" s="82">
        <f>1200+2100+2140+1400+2160+2160+2160+975+2121+2100+1+173638</f>
        <v>192155</v>
      </c>
      <c r="C40" s="26">
        <f>April!C40+B40</f>
        <v>886036</v>
      </c>
      <c r="D40" s="83">
        <v>141</v>
      </c>
      <c r="E40" s="26">
        <f>April!E40+D40</f>
        <v>4367</v>
      </c>
      <c r="F40" s="26"/>
      <c r="G40" s="26">
        <f>April!G40+F40</f>
        <v>0</v>
      </c>
    </row>
    <row r="41" spans="1:7" x14ac:dyDescent="0.2">
      <c r="A41" s="11" t="s">
        <v>38</v>
      </c>
      <c r="B41" s="82"/>
      <c r="C41" s="26">
        <f>April!C41+B41</f>
        <v>0</v>
      </c>
      <c r="D41" s="83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82"/>
      <c r="C42" s="26">
        <f>April!C42+B42</f>
        <v>0</v>
      </c>
      <c r="D42" s="83">
        <v>3</v>
      </c>
      <c r="E42" s="26">
        <f>April!E42+D42</f>
        <v>3</v>
      </c>
      <c r="F42" s="26"/>
      <c r="G42" s="26">
        <f>April!G42+F42</f>
        <v>0</v>
      </c>
    </row>
    <row r="43" spans="1:7" x14ac:dyDescent="0.2">
      <c r="A43" s="11" t="s">
        <v>40</v>
      </c>
      <c r="B43" s="82"/>
      <c r="C43" s="26">
        <f>April!C43+B43</f>
        <v>0</v>
      </c>
      <c r="D43" s="83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82"/>
      <c r="C44" s="26">
        <f>April!C44+B44</f>
        <v>0</v>
      </c>
      <c r="D44" s="83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82">
        <f>8+8+8+8+8+8+1100+1+8+640+640+650+500+325+58+124+124+198+850+850+1085+970+1300+1400+1460+1040+520+520+71306</f>
        <v>85717</v>
      </c>
      <c r="C45" s="26">
        <f>April!C45+B45</f>
        <v>368363</v>
      </c>
      <c r="D45" s="83">
        <f>300+3868</f>
        <v>4168</v>
      </c>
      <c r="E45" s="26">
        <f>April!E45+D45</f>
        <v>14289</v>
      </c>
      <c r="F45" s="26"/>
      <c r="G45" s="26">
        <f>April!G45+F45</f>
        <v>0</v>
      </c>
    </row>
    <row r="46" spans="1:7" x14ac:dyDescent="0.2">
      <c r="A46" s="11" t="s">
        <v>43</v>
      </c>
      <c r="B46" s="82"/>
      <c r="C46" s="26">
        <f>April!C46+B46</f>
        <v>0</v>
      </c>
      <c r="D46" s="83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82"/>
      <c r="C47" s="26">
        <f>April!C47+B47</f>
        <v>132843</v>
      </c>
      <c r="D47" s="83">
        <f>14</f>
        <v>14</v>
      </c>
      <c r="E47" s="26">
        <f>April!E47+D47</f>
        <v>14</v>
      </c>
      <c r="F47" s="26"/>
      <c r="G47" s="26">
        <f>April!G47+F47</f>
        <v>0</v>
      </c>
    </row>
    <row r="48" spans="1:7" x14ac:dyDescent="0.2">
      <c r="A48" s="11" t="s">
        <v>45</v>
      </c>
      <c r="B48" s="82">
        <v>33008</v>
      </c>
      <c r="C48" s="26">
        <f>April!C48+B48</f>
        <v>161389</v>
      </c>
      <c r="D48" s="83">
        <v>2</v>
      </c>
      <c r="E48" s="26">
        <f>April!E48+D48</f>
        <v>2</v>
      </c>
      <c r="F48" s="26"/>
      <c r="G48" s="26">
        <f>April!G48+F48</f>
        <v>0</v>
      </c>
    </row>
    <row r="49" spans="1:256" x14ac:dyDescent="0.2">
      <c r="A49" s="11" t="s">
        <v>46</v>
      </c>
      <c r="B49" s="82"/>
      <c r="C49" s="26">
        <f>April!C49+B49</f>
        <v>0</v>
      </c>
      <c r="D49" s="83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82"/>
      <c r="C50" s="26">
        <f>April!C50+B50</f>
        <v>4</v>
      </c>
      <c r="D50" s="83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82"/>
      <c r="C51" s="26">
        <f>April!C51+B51</f>
        <v>0</v>
      </c>
      <c r="D51" s="83">
        <f>1</f>
        <v>1</v>
      </c>
      <c r="E51" s="26">
        <f>April!E51+D51</f>
        <v>1</v>
      </c>
      <c r="F51" s="26"/>
      <c r="G51" s="26">
        <f>April!G51+F51</f>
        <v>0</v>
      </c>
    </row>
    <row r="52" spans="1:256" x14ac:dyDescent="0.2">
      <c r="A52" s="11" t="s">
        <v>49</v>
      </c>
      <c r="B52" s="82"/>
      <c r="C52" s="26">
        <f>April!C52+B52</f>
        <v>0</v>
      </c>
      <c r="D52" s="83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82">
        <f>6+150+100+115+385+200+250+1250+400+6+850+400+40+400+925+400+180+120+100+150+250+100+200+15+1000+1000+800+400+1200+950+100+150+280+120+4+190+225+200+120+150+115+200+200</f>
        <v>14396</v>
      </c>
      <c r="C53" s="26">
        <f>April!C53+B53</f>
        <v>67758</v>
      </c>
      <c r="D53" s="83">
        <v>20</v>
      </c>
      <c r="E53" s="26">
        <f>April!E53+D53</f>
        <v>188</v>
      </c>
      <c r="F53" s="26"/>
      <c r="G53" s="26">
        <f>April!G53+F53</f>
        <v>0</v>
      </c>
    </row>
    <row r="54" spans="1:256" ht="15.75" thickBot="1" x14ac:dyDescent="0.25">
      <c r="A54" s="90" t="s">
        <v>51</v>
      </c>
      <c r="B54" s="82">
        <v>12865</v>
      </c>
      <c r="C54" s="26">
        <f>April!C54+B54</f>
        <v>47688</v>
      </c>
      <c r="D54" s="83">
        <v>1</v>
      </c>
      <c r="E54" s="26">
        <f>April!E54+D54</f>
        <v>1</v>
      </c>
      <c r="F54" s="26"/>
      <c r="G54" s="26">
        <f>April!G54+F54</f>
        <v>0</v>
      </c>
    </row>
    <row r="55" spans="1:256" ht="26.1" customHeight="1" thickTop="1" thickBot="1" x14ac:dyDescent="0.25">
      <c r="A55" s="88" t="s">
        <v>53</v>
      </c>
      <c r="B55" s="14">
        <f>SUM(B7:B54)</f>
        <v>2103636</v>
      </c>
      <c r="C55" s="14">
        <f>April!C55+B55</f>
        <v>10040472</v>
      </c>
      <c r="D55" s="14">
        <f>SUM(D7:D54)</f>
        <v>15968</v>
      </c>
      <c r="E55" s="14">
        <f>April!E55+D55</f>
        <v>101224</v>
      </c>
      <c r="F55" s="14">
        <f>SUM(F7:F54)</f>
        <v>11071</v>
      </c>
      <c r="G55" s="14">
        <f>April!G55+F55</f>
        <v>42518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0</v>
      </c>
      <c r="E58" s="29"/>
      <c r="F58" s="30"/>
      <c r="G58" s="30"/>
    </row>
    <row r="59" spans="1:256" x14ac:dyDescent="0.2">
      <c r="A59" s="1" t="s">
        <v>56</v>
      </c>
      <c r="B59" s="33"/>
      <c r="C59" s="33">
        <v>5941</v>
      </c>
      <c r="D59" s="34">
        <f>April!D59+C59</f>
        <v>22082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>
        <f>115+135+280+120+175+45+115+280+135+280+45+175+280+120+120+280+175+115+175+280+45+175+15+96+8+8+10+30+96+50+8+2300+570+1300+665+1600+2290+375+139+15+60+200+8+240+135+115+45+175+260+120+135+280+115+45+120+280+175+100+36+560+14+6+16+7905</f>
        <v>24385</v>
      </c>
      <c r="D62" s="34">
        <f>April!D62+C62</f>
        <v>134438</v>
      </c>
      <c r="E62" s="30"/>
      <c r="F62" s="30"/>
      <c r="G62" s="30"/>
    </row>
    <row r="63" spans="1:256" x14ac:dyDescent="0.2">
      <c r="A63" s="1" t="s">
        <v>65</v>
      </c>
      <c r="B63" s="33"/>
      <c r="C63" s="33">
        <f>60+150+320+52+60+24+106+20+45+320+275+60+80+150+40+270+484+176+240+40+80+45+20+40+240+45+20+80+208+106+320+150+80+20+106+383+275+270+320+150+40+45+168+60+60+150+320+52+45+20+80+40+240+20+320+150+40+60+60+80+106+45+270+290+8+275+194+52+320+150+60+200+80+20+240+40+106+80+45+20+60+60+40+150+320+100+680+270+45+106+80+275+40+150+320+20+270+322+45+60+80+240+20+103+24+40+60+52+320+150</f>
        <v>15083</v>
      </c>
      <c r="D63" s="34">
        <f>April!D63+C63</f>
        <v>78372</v>
      </c>
      <c r="E63" s="30"/>
      <c r="F63" s="30"/>
      <c r="G63" s="30"/>
    </row>
    <row r="64" spans="1:256" x14ac:dyDescent="0.2">
      <c r="A64" s="1" t="s">
        <v>63</v>
      </c>
      <c r="B64" s="33"/>
      <c r="C64" s="33">
        <f>140+100+120+130+140+65+45+175+100+35+70+140+170+35+250+115+140+180+86+100+10+175+115+200+180+86+210+15+80+65+45+140+100+35+70+140+200+150</f>
        <v>4352</v>
      </c>
      <c r="D64" s="34">
        <f>April!D64+C64</f>
        <v>106901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>
        <f>65+140+40+70+91+175+130+80+155+80+160+50+65+30+75+210+150+50+130+75+176+200+150+70+40+75+70+180+90+150+90+130+130+75+25+238+65+50+125+140+70+90+180+120+90+140+150+70+65+115+100+70+30+90+120+130+75+927</f>
        <v>6922</v>
      </c>
      <c r="D66" s="34">
        <f>April!D66+C66</f>
        <v>26289</v>
      </c>
      <c r="E66" s="30"/>
      <c r="F66" s="30"/>
      <c r="G66" s="30"/>
    </row>
    <row r="67" spans="1:7" x14ac:dyDescent="0.2">
      <c r="A67" s="1" t="s">
        <v>62</v>
      </c>
      <c r="B67" s="30"/>
      <c r="C67" s="33">
        <v>976</v>
      </c>
      <c r="D67" s="34">
        <f>April!D67+C67</f>
        <v>4389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60"/>
      <c r="C2" s="30"/>
      <c r="D2" s="60"/>
      <c r="E2" s="30"/>
      <c r="F2" t="s">
        <v>71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795+2442</f>
        <v>3237</v>
      </c>
      <c r="C7" s="12">
        <f>May!C7+B7</f>
        <v>9079</v>
      </c>
      <c r="D7" s="81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0">
        <f>2+2+3+3+2+5+3+7+2+5+3</f>
        <v>37</v>
      </c>
      <c r="C8" s="12">
        <f>May!C8+B8</f>
        <v>37</v>
      </c>
      <c r="D8" s="81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77">
        <f>850+450+850+450+2+1050+1050+1100+1100+300+800+1100+1100+1100+1100+800+450+450+900+3+3+3+4+3+4+3+6+4+7+2300+1763+2505+240+280+205+390+130+290+650+270+2372+2397+2207+2595+1851+875+450</f>
        <v>36812</v>
      </c>
      <c r="C9" s="12">
        <f>May!C9+B9</f>
        <v>152218</v>
      </c>
      <c r="D9" s="79"/>
      <c r="E9" s="12">
        <f>May!E9+D9</f>
        <v>6</v>
      </c>
      <c r="F9" s="12"/>
      <c r="G9" s="12">
        <f>May!G9+F9</f>
        <v>0</v>
      </c>
    </row>
    <row r="10" spans="1:256" x14ac:dyDescent="0.2">
      <c r="A10" s="11" t="s">
        <v>8</v>
      </c>
      <c r="B10" s="80">
        <f>1+9+1+1+1+1+1+1+5+4+4+4+41+3+4+1+5</f>
        <v>87</v>
      </c>
      <c r="C10" s="12">
        <f>May!C10+B10</f>
        <v>87</v>
      </c>
      <c r="D10" s="81"/>
      <c r="E10" s="12">
        <f>May!E10+D10</f>
        <v>5</v>
      </c>
      <c r="F10" s="12"/>
      <c r="G10" s="12">
        <f>May!G10+F10</f>
        <v>0</v>
      </c>
    </row>
    <row r="11" spans="1:256" x14ac:dyDescent="0.2">
      <c r="A11" s="92" t="s">
        <v>52</v>
      </c>
      <c r="B11" s="80">
        <v>195906</v>
      </c>
      <c r="C11" s="12">
        <f>May!C11+B11</f>
        <v>1008573</v>
      </c>
      <c r="D11" s="81">
        <v>1618</v>
      </c>
      <c r="E11" s="12">
        <f>May!E11+D11</f>
        <v>13039</v>
      </c>
      <c r="F11" s="12">
        <v>11091</v>
      </c>
      <c r="G11" s="12">
        <f>May!G11+F11</f>
        <v>51089</v>
      </c>
    </row>
    <row r="12" spans="1:256" x14ac:dyDescent="0.2">
      <c r="A12" s="11" t="s">
        <v>9</v>
      </c>
      <c r="B12" s="77">
        <f>2+1000+1200+100+240+1775+1750+1775+1100+1100+2274+2400+2274+4+4+1100+450+650+2+3+1+2225+2200+2200+2200+1550+1600+770+830+1575+1635+1000+1000+43022+25825</f>
        <v>106836</v>
      </c>
      <c r="C12" s="12">
        <f>May!C12+B12</f>
        <v>548305</v>
      </c>
      <c r="D12" s="81"/>
      <c r="E12" s="12">
        <f>May!E12+D12</f>
        <v>900</v>
      </c>
      <c r="F12" s="12"/>
      <c r="G12" s="12">
        <f>May!G12+F12</f>
        <v>0</v>
      </c>
    </row>
    <row r="13" spans="1:256" x14ac:dyDescent="0.2">
      <c r="A13" s="11" t="s">
        <v>10</v>
      </c>
      <c r="B13" s="77"/>
      <c r="C13" s="12">
        <f>May!C13+B13</f>
        <v>0</v>
      </c>
      <c r="D13" s="81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7"/>
      <c r="C14" s="12">
        <f>May!C14+B14</f>
        <v>0</v>
      </c>
      <c r="D14" s="81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7"/>
      <c r="C15" s="12">
        <f>May!C15+B15</f>
        <v>0</v>
      </c>
      <c r="D15" s="81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7">
        <f>4+3+6+2+1+1+1+2+8+750</f>
        <v>778</v>
      </c>
      <c r="C16" s="12">
        <f>May!C16+B16</f>
        <v>2178</v>
      </c>
      <c r="D16" s="81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77"/>
      <c r="C17" s="12">
        <f>May!C17+B17</f>
        <v>0</v>
      </c>
      <c r="D17" s="81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7">
        <f>5+2+1000+1000+1000+525+400+1260+1260+1260+1310+12600+2+6+10+5+950+320+601+290+370+280+290+280+48+657+543+656+543+1034+1000+2+1+8+1200+1100+1400+1150+1150+1150+1200+1200+1350+1250+300+100+110+825+400+400+400+740+740+740+376+3+2+846+700+1450+550+120+285+1200+1200+849+1450+1450+1+1+1+1+1+1300+1000+1000+625+626+3+3+4+601+1249+609+617+632+600+1+1+1+1+2+1+1+7+2+1+5+850+1400+1450+3+1+5+3+1000+1000+1000+1000+11+1+1+1+1+1+1450+477+1+7+6+1+1+1+1+1+8+5+9+7+5+4+4+4+1+1+1+1+1+1+1+5+192280+137350</f>
        <v>405163</v>
      </c>
      <c r="C18" s="12">
        <f>May!C18+B18</f>
        <v>2439110</v>
      </c>
      <c r="D18" s="81">
        <f>401+331</f>
        <v>732</v>
      </c>
      <c r="E18" s="12">
        <f>May!E18+D18</f>
        <v>7333</v>
      </c>
      <c r="F18" s="12"/>
      <c r="G18" s="12">
        <f>May!G18+F18</f>
        <v>0</v>
      </c>
    </row>
    <row r="19" spans="1:7" x14ac:dyDescent="0.2">
      <c r="A19" s="11" t="s">
        <v>16</v>
      </c>
      <c r="B19" s="80">
        <f>1+2+1+1+5+10+6+3+2+4+6+4+1+6+6+7+313+1150+1+13+8+7+3+1+21693+28550</f>
        <v>51804</v>
      </c>
      <c r="C19" s="12">
        <f>May!C19+B19</f>
        <v>240375</v>
      </c>
      <c r="D19" s="81">
        <v>4</v>
      </c>
      <c r="E19" s="12">
        <f>May!E19+D19</f>
        <v>378</v>
      </c>
      <c r="F19" s="12"/>
      <c r="G19" s="12">
        <f>May!G19+F19</f>
        <v>0</v>
      </c>
    </row>
    <row r="20" spans="1:7" x14ac:dyDescent="0.2">
      <c r="A20" s="11" t="s">
        <v>17</v>
      </c>
      <c r="B20" s="80">
        <f>1+1+110+1+2+2+2+4+200+500+2+1+1+1610+370+526+803+475+80+3+3+1+1470+1250+1+2+1250+800+680+900+1+2+2+1+4+2+3+6+4+80083+850</f>
        <v>92009</v>
      </c>
      <c r="C20" s="12">
        <f>May!C20+B20</f>
        <v>182170</v>
      </c>
      <c r="D20" s="81">
        <f>80+32+40+232+52+6+415</f>
        <v>857</v>
      </c>
      <c r="E20" s="12">
        <f>May!E20+D20</f>
        <v>5206</v>
      </c>
      <c r="F20" s="12"/>
      <c r="G20" s="12">
        <f>May!G20+F20</f>
        <v>0</v>
      </c>
    </row>
    <row r="21" spans="1:7" x14ac:dyDescent="0.2">
      <c r="A21" s="11" t="s">
        <v>18</v>
      </c>
      <c r="B21" s="80">
        <f>1265+1480+950+1400</f>
        <v>5095</v>
      </c>
      <c r="C21" s="12">
        <f>May!C21+B21</f>
        <v>16551</v>
      </c>
      <c r="D21" s="81">
        <f>300</f>
        <v>300</v>
      </c>
      <c r="E21" s="12">
        <f>May!E21+D21</f>
        <v>877</v>
      </c>
      <c r="F21" s="12"/>
      <c r="G21" s="12">
        <f>May!G21+F21</f>
        <v>0</v>
      </c>
    </row>
    <row r="22" spans="1:7" x14ac:dyDescent="0.2">
      <c r="A22" s="11" t="s">
        <v>19</v>
      </c>
      <c r="B22" s="80">
        <v>3</v>
      </c>
      <c r="C22" s="12">
        <f>May!C22+B22</f>
        <v>3</v>
      </c>
      <c r="D22" s="81"/>
      <c r="E22" s="12">
        <f>May!E22+D22</f>
        <v>14</v>
      </c>
      <c r="F22" s="12"/>
      <c r="G22" s="12">
        <f>May!G22+F22</f>
        <v>0</v>
      </c>
    </row>
    <row r="23" spans="1:7" x14ac:dyDescent="0.2">
      <c r="A23" s="11" t="s">
        <v>20</v>
      </c>
      <c r="B23" s="80"/>
      <c r="C23" s="12">
        <f>May!C23+B23</f>
        <v>0</v>
      </c>
      <c r="D23" s="81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0"/>
      <c r="C24" s="12">
        <f>May!C24+B24</f>
        <v>0</v>
      </c>
      <c r="D24" s="81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0"/>
      <c r="C25" s="12">
        <f>May!C25+B25</f>
        <v>0</v>
      </c>
      <c r="D25" s="81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0">
        <f>3+6+2+2+2+2+3+4+2+1+4+3+5+6</f>
        <v>45</v>
      </c>
      <c r="C26" s="12">
        <f>May!C26+B26</f>
        <v>1133</v>
      </c>
      <c r="D26" s="81">
        <v>50</v>
      </c>
      <c r="E26" s="12">
        <f>May!E26+D26</f>
        <v>3897</v>
      </c>
      <c r="F26" s="12"/>
      <c r="G26" s="12">
        <f>May!G26+F26</f>
        <v>0</v>
      </c>
    </row>
    <row r="27" spans="1:7" x14ac:dyDescent="0.2">
      <c r="A27" s="11" t="s">
        <v>24</v>
      </c>
      <c r="B27" s="80">
        <f>600+200+250+300+690+725+2500+975+1000+1000+1000+2080+2080+300+300+340+850+1+2+650+100+600+180+340+180+1200+1470+940+250+250+500+420+500+600+2000+500+600+2400+4+4+1450+1+1+136+850+2+2+2+2+1000+2700+800+2200+2400+1275+350+200+430+430+430+34+800+2400+393+367+380+300+75+2000+1000+310+60+1245+650+472+73+130+575+650+520+400+700+700+460+416+420+650+650+560+560+1200+1200+375+640+2100+2028+2028+2056+2056+650+2000+1960+2400+2400+2400+2500+2400+850+800+650+650+430+430+430+600+430+640+510+2450+2370+1575+800+560+650+650+650+800+650+570+4+7+2+400+400+380+420+420+420+950+1000+2040+320+2200+275+375+2400+1200+2160+390+390+2400+1170+2000+91755+43264</f>
        <v>266772</v>
      </c>
      <c r="C27" s="12">
        <f>May!C27+B27</f>
        <v>1344203</v>
      </c>
      <c r="D27" s="81">
        <f>1+1+2+35+16+48+48+30+125+117+115+72+45+220+1152</f>
        <v>2027</v>
      </c>
      <c r="E27" s="12">
        <f>May!E27+D27</f>
        <v>30927</v>
      </c>
      <c r="F27" s="12">
        <f>430+430</f>
        <v>860</v>
      </c>
      <c r="G27" s="12">
        <f>May!G27+F27</f>
        <v>860</v>
      </c>
    </row>
    <row r="28" spans="1:7" x14ac:dyDescent="0.2">
      <c r="A28" s="11" t="s">
        <v>25</v>
      </c>
      <c r="B28" s="80">
        <v>71287</v>
      </c>
      <c r="C28" s="12">
        <f>May!C28+B28</f>
        <v>419397</v>
      </c>
      <c r="D28" s="81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7">
        <f>176+1150+1005+816+1440+2323+707+2123+214+688+2736+750+750+1640+1920+1460+1+2+1200+1200+1200+1200+1+1+1+137+172+157+185+175+1150+2660+1150+1008+1730+605+1425+1000+2500+620+1300+1300+1300+1300+1300+1785+1638+1638+1500+1728+1+1+1+5+260+625+541+597+1194+786+785+785+788+953+609+609+2450+2+600+730+689+84+1950+1+2+4340+373+1688+1775+2275+1000+3+2+400+500+1065+2435+2500+1250+1250+1000+1000+600+1830+697+1393+600+759+1570+590+1050+1567+1568+1000+1000+500+500+1050+1050+1050+1050+850+850+850+1100+1100+1100+1100+1100+1100+1100+1100+1050+1050+1050+1050+327+603+640+1590+2+875+728+1460+730+1571+781+2358+2294+2009+700+500+1752+1100+1100+562+1400+700+1396+1100+600+1240+756+1100+1100+1100+1100+1100+900+900+900+715+152462+47473</f>
        <v>364769</v>
      </c>
      <c r="C29" s="12">
        <f>May!C29+B29</f>
        <v>1998603</v>
      </c>
      <c r="D29" s="81">
        <v>1594</v>
      </c>
      <c r="E29" s="12">
        <f>May!E29+D29</f>
        <v>9976</v>
      </c>
      <c r="F29" s="12"/>
      <c r="G29" s="12">
        <f>May!G29+F29</f>
        <v>2520</v>
      </c>
    </row>
    <row r="30" spans="1:7" x14ac:dyDescent="0.2">
      <c r="A30" s="11" t="s">
        <v>27</v>
      </c>
      <c r="B30" s="80">
        <v>5255</v>
      </c>
      <c r="C30" s="12">
        <f>May!C30+B30</f>
        <v>28345</v>
      </c>
      <c r="D30" s="81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0">
        <f>1+2+2+7+6+2900+2525+1300+1534+1534+1534+625+600+4+1025+1250+850+1300+600+836+1250+1375+800+490+2+599+1350+1250+600+700+3+128+240+100+2+6+2+4+4+4+4+600+600+1568+900+1568+1568+475+775+725+2525+1000+1075+1000+1150+1100+500+1525+2525+600+600+120+600+600+1250+1250+1200+650+508+4525+2225+7+1+7+7+7+1+8+5+1350+116465+10490</f>
        <v>191003</v>
      </c>
      <c r="C31" s="12">
        <f>May!C31+B31</f>
        <v>1196822</v>
      </c>
      <c r="D31" s="79">
        <f>200+210+60+70+45+200+50+360+120+20+31+13+168</f>
        <v>1547</v>
      </c>
      <c r="E31" s="12">
        <f>May!E31+D31</f>
        <v>13699</v>
      </c>
      <c r="F31" s="12"/>
      <c r="G31" s="12">
        <f>May!G31+F31</f>
        <v>0</v>
      </c>
    </row>
    <row r="32" spans="1:7" x14ac:dyDescent="0.2">
      <c r="A32" s="11" t="s">
        <v>29</v>
      </c>
      <c r="B32" s="80"/>
      <c r="C32" s="12">
        <f>May!C32+B32</f>
        <v>0</v>
      </c>
      <c r="D32" s="81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0"/>
      <c r="C33" s="12">
        <f>May!C33+B33</f>
        <v>0</v>
      </c>
      <c r="D33" s="81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0"/>
      <c r="C34" s="12">
        <f>May!C34+B34</f>
        <v>0</v>
      </c>
      <c r="D34" s="81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0"/>
      <c r="C35" s="12">
        <f>May!C35+B35</f>
        <v>0</v>
      </c>
      <c r="D35" s="81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0">
        <f>2+6</f>
        <v>8</v>
      </c>
      <c r="C36" s="12">
        <f>May!C36+B36</f>
        <v>8</v>
      </c>
      <c r="D36" s="81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0">
        <f>1100+1100+1100+1100+91749+5600</f>
        <v>101749</v>
      </c>
      <c r="C37" s="12">
        <f>May!C37+B37</f>
        <v>489677</v>
      </c>
      <c r="D37" s="81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0">
        <v>26080</v>
      </c>
      <c r="C38" s="12">
        <f>May!C38+B38</f>
        <v>169339</v>
      </c>
      <c r="D38" s="81">
        <f>10</f>
        <v>10</v>
      </c>
      <c r="E38" s="12">
        <f>May!E38+D38</f>
        <v>60</v>
      </c>
      <c r="F38" s="12"/>
      <c r="G38" s="12">
        <f>May!G38+F38</f>
        <v>0</v>
      </c>
    </row>
    <row r="39" spans="1:7" x14ac:dyDescent="0.2">
      <c r="A39" s="11" t="s">
        <v>36</v>
      </c>
      <c r="B39" s="80">
        <f>3+6+8+750+850+2000+4+1+3+2+5+1+8+5+5+1+2+2+2+2+1+9680</f>
        <v>13341</v>
      </c>
      <c r="C39" s="12">
        <f>May!C39+B39</f>
        <v>68254</v>
      </c>
      <c r="D39" s="81"/>
      <c r="E39" s="12">
        <f>May!E39+D39</f>
        <v>4780</v>
      </c>
      <c r="F39" s="12"/>
      <c r="G39" s="12">
        <f>May!G39+F39</f>
        <v>0</v>
      </c>
    </row>
    <row r="40" spans="1:7" x14ac:dyDescent="0.2">
      <c r="A40" s="11" t="s">
        <v>37</v>
      </c>
      <c r="B40" s="80">
        <f>4+3+1+1+8+2+2+2+3+2050+2100+2160+4+2+3+2050+2160+2160+2050+2+2+2+1+3+4+5+2+1+1+4+3+3+4+1+1+8+1+3+2+5+1+4+1+4+4+2+4+1+4+2+2200+2+3+6+2150+2220+450+1710+2+4+1+4+2+2200+2+5+1+1+1+1+1+1+5+2+1+1+1+2000+2160+2100+930+850+2160+132274</f>
        <v>168301</v>
      </c>
      <c r="C40" s="12">
        <f>May!C40+B40</f>
        <v>1054337</v>
      </c>
      <c r="D40" s="81">
        <v>8</v>
      </c>
      <c r="E40" s="12">
        <f>May!E40+D40</f>
        <v>4375</v>
      </c>
      <c r="F40" s="12"/>
      <c r="G40" s="12">
        <f>May!G40+F40</f>
        <v>0</v>
      </c>
    </row>
    <row r="41" spans="1:7" x14ac:dyDescent="0.2">
      <c r="A41" s="11" t="s">
        <v>38</v>
      </c>
      <c r="B41" s="80"/>
      <c r="C41" s="12">
        <f>May!C41+B41</f>
        <v>0</v>
      </c>
      <c r="D41" s="81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0">
        <f>2+2</f>
        <v>4</v>
      </c>
      <c r="C42" s="12">
        <f>May!C42+B42</f>
        <v>4</v>
      </c>
      <c r="D42" s="81"/>
      <c r="E42" s="12">
        <f>May!E42+D42</f>
        <v>3</v>
      </c>
      <c r="F42" s="12"/>
      <c r="G42" s="12">
        <f>May!G42+F42</f>
        <v>0</v>
      </c>
    </row>
    <row r="43" spans="1:7" x14ac:dyDescent="0.2">
      <c r="A43" s="11" t="s">
        <v>40</v>
      </c>
      <c r="B43" s="80"/>
      <c r="C43" s="12">
        <f>May!C43+B43</f>
        <v>0</v>
      </c>
      <c r="D43" s="81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0"/>
      <c r="C44" s="12">
        <f>May!C44+B44</f>
        <v>0</v>
      </c>
      <c r="D44" s="81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7">
        <f>3+680+680+1+200+6+1400+1400+698+550+105+2400+50+160+100+100+150+400+2+2+4+1+1000+1220+1300+2430+600+600+600+600+5+240+1400+1400+11219+54350</f>
        <v>86056</v>
      </c>
      <c r="C45" s="12">
        <f>May!C45+B45</f>
        <v>454419</v>
      </c>
      <c r="D45" s="81">
        <f>25+4+300+2369</f>
        <v>2698</v>
      </c>
      <c r="E45" s="12">
        <f>May!E45+D45</f>
        <v>16987</v>
      </c>
      <c r="F45" s="12"/>
      <c r="G45" s="12">
        <f>May!G45+F45</f>
        <v>0</v>
      </c>
    </row>
    <row r="46" spans="1:7" x14ac:dyDescent="0.2">
      <c r="A46" s="11" t="s">
        <v>43</v>
      </c>
      <c r="B46" s="80"/>
      <c r="C46" s="12">
        <f>May!C46+B46</f>
        <v>0</v>
      </c>
      <c r="D46" s="81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0">
        <f>26+25+3+3+4+7+5+2+5+10+2+7+7+3+3+7+5+1+2+9+4+8+7+3+14+15+2+2+1+3+55232</f>
        <v>55427</v>
      </c>
      <c r="C47" s="12">
        <f>May!C47+B47</f>
        <v>188270</v>
      </c>
      <c r="D47" s="81">
        <v>1</v>
      </c>
      <c r="E47" s="12">
        <f>May!E47+D47</f>
        <v>15</v>
      </c>
      <c r="F47" s="12"/>
      <c r="G47" s="12">
        <f>May!G47+F47</f>
        <v>0</v>
      </c>
    </row>
    <row r="48" spans="1:7" x14ac:dyDescent="0.2">
      <c r="A48" s="11" t="s">
        <v>45</v>
      </c>
      <c r="B48" s="80">
        <v>32139</v>
      </c>
      <c r="C48" s="12">
        <f>May!C48+B48</f>
        <v>193528</v>
      </c>
      <c r="D48" s="81"/>
      <c r="E48" s="12">
        <f>May!E48+D48</f>
        <v>2</v>
      </c>
      <c r="F48" s="12"/>
      <c r="G48" s="12">
        <f>May!G48+F48</f>
        <v>0</v>
      </c>
    </row>
    <row r="49" spans="1:256" x14ac:dyDescent="0.2">
      <c r="A49" s="11" t="s">
        <v>46</v>
      </c>
      <c r="B49" s="80"/>
      <c r="C49" s="12">
        <f>May!C49+B49</f>
        <v>0</v>
      </c>
      <c r="D49" s="81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0"/>
      <c r="C50" s="12">
        <f>May!C50+B50</f>
        <v>4</v>
      </c>
      <c r="D50" s="81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0"/>
      <c r="C51" s="12">
        <f>May!C51+B51</f>
        <v>0</v>
      </c>
      <c r="D51" s="81">
        <f>1</f>
        <v>1</v>
      </c>
      <c r="E51" s="12">
        <f>May!E51+D51</f>
        <v>2</v>
      </c>
      <c r="F51" s="12"/>
      <c r="G51" s="12">
        <f>May!G51+F51</f>
        <v>0</v>
      </c>
    </row>
    <row r="52" spans="1:256" x14ac:dyDescent="0.2">
      <c r="A52" s="11" t="s">
        <v>49</v>
      </c>
      <c r="B52" s="80"/>
      <c r="C52" s="12">
        <f>May!C52+B52</f>
        <v>0</v>
      </c>
      <c r="D52" s="81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0">
        <f>2+5+120+150+1+2+2+1+2+163+750+2000+600+1000+975+975+850+30+25+55+2+2400+125+2+450+900+900+81+2+1+1+1+1+3+100+200+3+3+180+200+300+260+130+250+4+1+1+150+220+2+2+1+1+1+1+1+1+1+1+1+1+1+150+220+2+25+1000+1000+2100+1300+260+150+200+330+220+130+200+200+70+700</f>
        <v>22851</v>
      </c>
      <c r="C53" s="12">
        <f>May!C53+B53</f>
        <v>90609</v>
      </c>
      <c r="D53" s="81">
        <v>7</v>
      </c>
      <c r="E53" s="12">
        <f>May!E53+D53</f>
        <v>195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0">
        <f>12473+1000</f>
        <v>13473</v>
      </c>
      <c r="C54" s="12">
        <f>May!C54+B54</f>
        <v>61161</v>
      </c>
      <c r="D54" s="81"/>
      <c r="E54" s="12">
        <f>May!E54+D54</f>
        <v>1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2316327</v>
      </c>
      <c r="C55" s="14">
        <f>May!C55+B55</f>
        <v>12356799</v>
      </c>
      <c r="D55" s="14">
        <f>SUM(D7:D54)</f>
        <v>11454</v>
      </c>
      <c r="E55" s="14">
        <f>May!E55+D55</f>
        <v>112678</v>
      </c>
      <c r="F55" s="14">
        <f>SUM(F7:F54)</f>
        <v>11951</v>
      </c>
      <c r="G55" s="14">
        <f>May!G55+F55</f>
        <v>54469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0</v>
      </c>
      <c r="E58" s="17"/>
    </row>
    <row r="59" spans="1:256" x14ac:dyDescent="0.2">
      <c r="A59" s="1" t="s">
        <v>56</v>
      </c>
      <c r="B59" s="22"/>
      <c r="C59" s="22">
        <v>7046</v>
      </c>
      <c r="D59" s="23">
        <f>May!D59+C59</f>
        <v>29128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>
        <f>1305+695+144+2170+875+465+2320+1500+115+125+260+8+104+8+18+8+10+104+50+40+10+10+16+45+175+260+120+260+120+175+135+260+135+45+115+260+135+45+175+260+120+115+175+360+120+45+115+260+135+570+42+40+25+24+7935</f>
        <v>23161</v>
      </c>
      <c r="D62" s="23">
        <f>May!D62+C62</f>
        <v>157599</v>
      </c>
    </row>
    <row r="63" spans="1:256" x14ac:dyDescent="0.2">
      <c r="A63" s="1" t="s">
        <v>65</v>
      </c>
      <c r="B63" s="22"/>
      <c r="C63" s="22">
        <f>20+20+20+20+40+40+40+40+40+150+150+150+150+60+60+60+60+60+80+80+80+275+275+80+80+275+275+275+180+12+24+45+45+45+45+45+105+52+106+52+106+270+240+240+270+270+292+266+309+505+385+320+320+320+320+320+20+60+60+60+60+200+320+320+320+320+150+150+150+150+52+52+106+106+20+20+20</f>
        <v>11180</v>
      </c>
      <c r="D63" s="23">
        <f>May!D63+C63</f>
        <v>89552</v>
      </c>
    </row>
    <row r="64" spans="1:256" x14ac:dyDescent="0.2">
      <c r="A64" s="1" t="s">
        <v>63</v>
      </c>
      <c r="B64" s="22"/>
      <c r="C64" s="22">
        <f>65+80+15+210+140+70+35+100+55+30+7+8+60+150+35+250+115+130+170+150+64+22+100+10+80+65+100+30+7+8+125+100+35+70+140+200+115+205+170+135+64+22+210+15+85+200+115+250+200+170+20+140+110+150+105+205+200+180+240+185+105+180+160+25+90+120+105+205+200+180+115+105+185+180+160+125+250+140+205+200+180+20+105+160+180+185+65+40+30+7+8+125+100+50+70+140+170+35+250+115+130+170+22+64+70+100+10+85+65+100+30+7+8+15+125+100+35+70+140+180+125+250+115+35+175+180+22+64+210+15+65+90+100+45+30+8+7+60+35+70+140+170+75+70+35+58+250+115+130+170+22+64+115+45+100+10+70+65+100+30+8+7+175+70+35+100+22+64+130+110+140+80+140+130+60+140+250+125+125+250+175+75+280+250+105+125+140+250+140+250+105+30+110+250+140+40+43+90+100+35+70+140+150+35+115+130+170+22+64+100+10+70+65+115+200+170+22+64+210+15+138+65+100+43+70+100+35+70+140+220+60+100+35+70+140+200+100+40+43+150+100+35+70+140+130+35+115+130+200+22+64+50+10+70+65+115+55+175+170+22+56+30+210+15+90+45+100+43+175+100+35+70+140+200+43+60+152+70+252+6+65+70+100+30+22+64+170+115+130+170+56+35+170+140+70+35+100+115+200+170+20+22+64+210+15+65+45+100+8+15+185+160+180+200+205+180+185+180+160+160+180+185+180+200+205+160+180+185+160+130+140+100+70+45+45+45+55+40+100+60+100+85+175+80+115+150+210+170+100+35+35+35+35+100+100+100+100+140+70+140+70+140+100+140+70+35+35+22+64+22+64+22+44+64+22+45+10+15+15+10+63+65+75+47+65+45+45+65+115+200+170+138+300+75+95+115+100+70+250+150+250+250+115+180+170+125+170+200+115+160+115+105+180+160+185+180+160+180+170+160+205+200+180+185+180+215+160+115+250+85+125+115+205+200+200+185+180+180+185+180+190+65+45+65+45+35+37+35+35+70+132+270+22+64+66+86+86+100+40+60+100+140+70+70+140+70+140+70+140+20+15+125+15+200+250+250+10+15+10+15+45+45+45+30+200+170+130+200+205+180+115+160+270+270+115+130+170+125+115+125+130+180+70+105+70+97+140+175+145+110+75+100+100+100+100+35+864+25+275+60+20+45+45+45+45+80+80+80+80+40+40+40+40+240+270+240+270+112+215+260</f>
        <v>59612</v>
      </c>
      <c r="D64" s="23">
        <f>May!D64+C64</f>
        <v>166513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>
        <f>138+176+125+120+210+70+35+65+40+160+75+90+120+130+30+40+65+130+70+90+75+895</f>
        <v>2949</v>
      </c>
      <c r="D66" s="23">
        <f>May!D66+C66</f>
        <v>29238</v>
      </c>
    </row>
    <row r="67" spans="1:4" x14ac:dyDescent="0.2">
      <c r="A67" s="1" t="s">
        <v>62</v>
      </c>
      <c r="C67" s="22"/>
      <c r="D67" s="23">
        <f>May!D67+C67</f>
        <v>4389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57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72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82"/>
      <c r="C7" s="26">
        <f>June!C7+B7</f>
        <v>9079</v>
      </c>
      <c r="D7" s="83"/>
      <c r="E7" s="26">
        <f>June!E7+D7</f>
        <v>0</v>
      </c>
      <c r="F7" s="58"/>
      <c r="G7" s="26">
        <f>June!G7+F7</f>
        <v>0</v>
      </c>
    </row>
    <row r="8" spans="1:256" x14ac:dyDescent="0.2">
      <c r="A8" s="28" t="s">
        <v>64</v>
      </c>
      <c r="B8" s="82"/>
      <c r="C8" s="26">
        <f>June!C8+B8</f>
        <v>37</v>
      </c>
      <c r="D8" s="83"/>
      <c r="E8" s="26">
        <f>June!E8+D8</f>
        <v>0</v>
      </c>
      <c r="F8" s="58"/>
      <c r="G8" s="26">
        <f>June!G8+F8</f>
        <v>0</v>
      </c>
    </row>
    <row r="9" spans="1:256" x14ac:dyDescent="0.2">
      <c r="A9" s="28" t="s">
        <v>7</v>
      </c>
      <c r="B9" s="82">
        <f>600+950+950+550+550+2305+1100+1100+1100+1100+1100+1100+700+400+1100+1000+2275+1587+603+2275+2074+603+1587+2074+900+975+525+525+525+900+2+2+1200+1100+1100+950+550+1100+1100+1200+800+1200+1100+1200+1200+1200+1200+1100</f>
        <v>50437</v>
      </c>
      <c r="C9" s="26">
        <f>June!C9+B9</f>
        <v>202655</v>
      </c>
      <c r="D9" s="83"/>
      <c r="E9" s="26">
        <f>June!E9+D9</f>
        <v>6</v>
      </c>
      <c r="F9" s="58"/>
      <c r="G9" s="26">
        <f>June!G9+F9</f>
        <v>0</v>
      </c>
    </row>
    <row r="10" spans="1:256" x14ac:dyDescent="0.2">
      <c r="A10" s="28" t="s">
        <v>8</v>
      </c>
      <c r="B10" s="82">
        <f>1+2</f>
        <v>3</v>
      </c>
      <c r="C10" s="26">
        <f>June!C10+B10</f>
        <v>90</v>
      </c>
      <c r="D10" s="83">
        <f>1+3+2+2</f>
        <v>8</v>
      </c>
      <c r="E10" s="26">
        <f>June!E10+D10</f>
        <v>13</v>
      </c>
      <c r="F10" s="58"/>
      <c r="G10" s="26">
        <f>June!G10+F10</f>
        <v>0</v>
      </c>
    </row>
    <row r="11" spans="1:256" x14ac:dyDescent="0.2">
      <c r="A11" s="95" t="s">
        <v>52</v>
      </c>
      <c r="B11" s="77">
        <v>225544</v>
      </c>
      <c r="C11" s="26">
        <f>June!C11+B11</f>
        <v>1234117</v>
      </c>
      <c r="D11" s="83">
        <v>4313</v>
      </c>
      <c r="E11" s="26">
        <f>June!E11+D11</f>
        <v>17352</v>
      </c>
      <c r="F11" s="58">
        <v>13783</v>
      </c>
      <c r="G11" s="26">
        <f>June!G11+F11</f>
        <v>64872</v>
      </c>
    </row>
    <row r="12" spans="1:256" x14ac:dyDescent="0.2">
      <c r="A12" s="28" t="s">
        <v>9</v>
      </c>
      <c r="B12" s="82">
        <f>1750+856+856+1712+1750+1750+160+650+900+400+1050+1050+1450+1651+1091+534+1600+567+1083+1650+1651+1575+1525+1200+1200+1125+1700+1675+200+1400+1100+57995+34896</f>
        <v>129752</v>
      </c>
      <c r="C12" s="26">
        <f>June!C12+B12</f>
        <v>678057</v>
      </c>
      <c r="D12" s="83"/>
      <c r="E12" s="26">
        <f>June!E12+D12</f>
        <v>900</v>
      </c>
      <c r="F12" s="58"/>
      <c r="G12" s="26">
        <f>June!G12+F12</f>
        <v>0</v>
      </c>
    </row>
    <row r="13" spans="1:256" x14ac:dyDescent="0.2">
      <c r="A13" s="28" t="s">
        <v>10</v>
      </c>
      <c r="B13" s="82"/>
      <c r="C13" s="26">
        <f>June!C13+B13</f>
        <v>0</v>
      </c>
      <c r="D13" s="83"/>
      <c r="E13" s="26">
        <f>June!E13+D13</f>
        <v>0</v>
      </c>
      <c r="F13" s="58"/>
      <c r="G13" s="26">
        <f>June!G13+F13</f>
        <v>0</v>
      </c>
    </row>
    <row r="14" spans="1:256" x14ac:dyDescent="0.2">
      <c r="A14" s="28" t="s">
        <v>11</v>
      </c>
      <c r="B14" s="82"/>
      <c r="C14" s="26">
        <f>June!C14+B14</f>
        <v>0</v>
      </c>
      <c r="D14" s="83"/>
      <c r="E14" s="26">
        <f>June!E14+D14</f>
        <v>0</v>
      </c>
      <c r="F14" s="58"/>
      <c r="G14" s="26">
        <f>June!G14+F14</f>
        <v>0</v>
      </c>
    </row>
    <row r="15" spans="1:256" x14ac:dyDescent="0.2">
      <c r="A15" s="28" t="s">
        <v>12</v>
      </c>
      <c r="B15" s="82"/>
      <c r="C15" s="26">
        <f>June!C15+B15</f>
        <v>0</v>
      </c>
      <c r="D15" s="83"/>
      <c r="E15" s="26">
        <f>June!E15+D15</f>
        <v>1</v>
      </c>
      <c r="F15" s="58"/>
      <c r="G15" s="26">
        <f>June!G15+F15</f>
        <v>0</v>
      </c>
    </row>
    <row r="16" spans="1:256" x14ac:dyDescent="0.2">
      <c r="A16" s="28" t="s">
        <v>13</v>
      </c>
      <c r="B16" s="82">
        <f>1000+1000+1400</f>
        <v>3400</v>
      </c>
      <c r="C16" s="26">
        <f>June!C16+B16</f>
        <v>5578</v>
      </c>
      <c r="D16" s="83"/>
      <c r="E16" s="26">
        <f>June!E16+D16</f>
        <v>0</v>
      </c>
      <c r="F16" s="58"/>
      <c r="G16" s="26">
        <f>June!G16+F16</f>
        <v>0</v>
      </c>
    </row>
    <row r="17" spans="1:7" x14ac:dyDescent="0.2">
      <c r="A17" s="28" t="s">
        <v>14</v>
      </c>
      <c r="B17" s="82"/>
      <c r="C17" s="26">
        <f>June!C17+B17</f>
        <v>0</v>
      </c>
      <c r="D17" s="83"/>
      <c r="E17" s="26">
        <f>June!E17+D17</f>
        <v>0</v>
      </c>
      <c r="F17" s="58"/>
      <c r="G17" s="26">
        <f>June!G17+F17</f>
        <v>0</v>
      </c>
    </row>
    <row r="18" spans="1:7" x14ac:dyDescent="0.2">
      <c r="A18" s="28" t="s">
        <v>15</v>
      </c>
      <c r="B18" s="82">
        <f>770+1540+1481+1200+1200+1200+809+285+1400+1400+1350+1200+500+760+1400+380+600+1450+810+2+11+3+2+1+1+506+1014+1000+1000+1000+1300+30+2+2+3+4+3+816+200+320+320+1250+1250+115+235+578+1064+1200+1150+1260+1050+900+717+729+728+708+590+584+743+593+627+628+600+626+616+305+600+300+1100+1100+1100+1100+810+600+1280+1280+599+1260+820+500+1200+940+1200+1300+1050+800+1020+1100+1100+1100+1020+1260+1+222678+168973</f>
        <v>463312</v>
      </c>
      <c r="C18" s="26">
        <f>June!C18+B18</f>
        <v>2902422</v>
      </c>
      <c r="D18" s="83">
        <f>120+731+422+120+750+327</f>
        <v>2470</v>
      </c>
      <c r="E18" s="26">
        <f>June!E18+D18</f>
        <v>9803</v>
      </c>
      <c r="F18" s="58"/>
      <c r="G18" s="26">
        <f>June!G18+F18</f>
        <v>0</v>
      </c>
    </row>
    <row r="19" spans="1:7" x14ac:dyDescent="0.2">
      <c r="A19" s="28" t="s">
        <v>16</v>
      </c>
      <c r="B19" s="82">
        <f>235+2+4+1+2+2+1+1+19533+25229</f>
        <v>45010</v>
      </c>
      <c r="C19" s="26">
        <f>June!C19+B19</f>
        <v>285385</v>
      </c>
      <c r="D19" s="83">
        <f>150+150+1</f>
        <v>301</v>
      </c>
      <c r="E19" s="26">
        <f>June!E19+D19</f>
        <v>679</v>
      </c>
      <c r="F19" s="58"/>
      <c r="G19" s="26">
        <f>June!G19+F19</f>
        <v>0</v>
      </c>
    </row>
    <row r="20" spans="1:7" x14ac:dyDescent="0.2">
      <c r="A20" s="28" t="s">
        <v>17</v>
      </c>
      <c r="B20" s="82">
        <f>1200+130+130+60+25+1000+300+850+501+2000+2+2+3+4+1+75+80+475+820+6+230+4+1+11188+350</f>
        <v>19437</v>
      </c>
      <c r="C20" s="26">
        <f>June!C20+B20</f>
        <v>201607</v>
      </c>
      <c r="D20" s="83">
        <f>170+384</f>
        <v>554</v>
      </c>
      <c r="E20" s="26">
        <f>June!E20+D20</f>
        <v>5760</v>
      </c>
      <c r="F20" s="58"/>
      <c r="G20" s="26">
        <f>June!G20+F20</f>
        <v>0</v>
      </c>
    </row>
    <row r="21" spans="1:7" x14ac:dyDescent="0.2">
      <c r="A21" s="28" t="s">
        <v>18</v>
      </c>
      <c r="B21" s="82">
        <f>1+4+2+8+1+4</f>
        <v>20</v>
      </c>
      <c r="C21" s="26">
        <f>June!C21+B21</f>
        <v>16571</v>
      </c>
      <c r="D21" s="83">
        <f>150</f>
        <v>150</v>
      </c>
      <c r="E21" s="26">
        <f>June!E21+D21</f>
        <v>1027</v>
      </c>
      <c r="F21" s="58"/>
      <c r="G21" s="26">
        <f>June!G21+F21</f>
        <v>0</v>
      </c>
    </row>
    <row r="22" spans="1:7" x14ac:dyDescent="0.2">
      <c r="A22" s="28" t="s">
        <v>19</v>
      </c>
      <c r="B22" s="82"/>
      <c r="C22" s="26">
        <f>June!C22+B22</f>
        <v>3</v>
      </c>
      <c r="D22" s="83"/>
      <c r="E22" s="26">
        <f>June!E22+D22</f>
        <v>14</v>
      </c>
      <c r="F22" s="58"/>
      <c r="G22" s="26">
        <f>June!G22+F22</f>
        <v>0</v>
      </c>
    </row>
    <row r="23" spans="1:7" x14ac:dyDescent="0.2">
      <c r="A23" s="28" t="s">
        <v>20</v>
      </c>
      <c r="B23" s="82"/>
      <c r="C23" s="26">
        <f>June!C23+B23</f>
        <v>0</v>
      </c>
      <c r="D23" s="83"/>
      <c r="E23" s="26">
        <f>June!E23+D23</f>
        <v>0</v>
      </c>
      <c r="F23" s="58"/>
      <c r="G23" s="26">
        <f>June!G23+F23</f>
        <v>0</v>
      </c>
    </row>
    <row r="24" spans="1:7" x14ac:dyDescent="0.2">
      <c r="A24" s="28" t="s">
        <v>21</v>
      </c>
      <c r="B24" s="82"/>
      <c r="C24" s="26">
        <f>June!C24+B24</f>
        <v>0</v>
      </c>
      <c r="D24" s="83"/>
      <c r="E24" s="26">
        <f>June!E24+D24</f>
        <v>0</v>
      </c>
      <c r="F24" s="58"/>
      <c r="G24" s="26">
        <f>June!G24+F24</f>
        <v>0</v>
      </c>
    </row>
    <row r="25" spans="1:7" x14ac:dyDescent="0.2">
      <c r="A25" s="28" t="s">
        <v>22</v>
      </c>
      <c r="B25" s="82"/>
      <c r="C25" s="26">
        <f>June!C25+B25</f>
        <v>0</v>
      </c>
      <c r="D25" s="83"/>
      <c r="E25" s="26">
        <f>June!E25+D25</f>
        <v>0</v>
      </c>
      <c r="F25" s="58"/>
      <c r="G25" s="26">
        <f>June!G25+F25</f>
        <v>0</v>
      </c>
    </row>
    <row r="26" spans="1:7" x14ac:dyDescent="0.2">
      <c r="A26" s="28" t="s">
        <v>23</v>
      </c>
      <c r="B26" s="82">
        <v>2000</v>
      </c>
      <c r="C26" s="26">
        <f>June!C26+B26</f>
        <v>3133</v>
      </c>
      <c r="D26" s="83">
        <v>350</v>
      </c>
      <c r="E26" s="26">
        <f>June!E26+D26</f>
        <v>4247</v>
      </c>
      <c r="F26" s="58"/>
      <c r="G26" s="26">
        <f>June!G26+F26</f>
        <v>0</v>
      </c>
    </row>
    <row r="27" spans="1:7" x14ac:dyDescent="0.2">
      <c r="A27" s="28" t="s">
        <v>24</v>
      </c>
      <c r="B27" s="82">
        <f>420+410+375+570+2056+375+2028+2028+2250+200+250+850+525+525+1090+1000+340+300+340+300+300+3+350+200+350+835+380+1000+174+3+136+1+1000+1650+1200+650+570+570+570+420+420+250+250+491+2400+2050+510+560+560+650+2000+400+530+420+405+420+420+250+2050+850+75+1150+600+4800+1200+1200+2400+400+850+1140+1150+400+400+600+430+600+355+420+650+650+274+700+700+650+286+85+1000+320+2000+1700+1000+2400+1000+1000+560+650+510+212+420+420+400+530+320+425+550+2056+2056+2500+114+800+850+225+225+225+1140+1060+920+1380+800+850+112+2400+1800+250+700+550+530+280+510+380+350+400+510+2000+2000+600+600+2000+550+550+1000+420+5+975+32+2600+1300+108231+54432</f>
        <v>281330</v>
      </c>
      <c r="C27" s="26">
        <f>June!C27+B27</f>
        <v>1625533</v>
      </c>
      <c r="D27" s="83">
        <f>300+30+3718</f>
        <v>4048</v>
      </c>
      <c r="E27" s="26">
        <f>June!E27+D27</f>
        <v>34975</v>
      </c>
      <c r="F27" s="58"/>
      <c r="G27" s="26">
        <f>June!G27+F27</f>
        <v>860</v>
      </c>
    </row>
    <row r="28" spans="1:7" x14ac:dyDescent="0.2">
      <c r="A28" s="28" t="s">
        <v>25</v>
      </c>
      <c r="B28" s="82">
        <f>1080+570+1070+867+742+590+1020+67968</f>
        <v>73907</v>
      </c>
      <c r="C28" s="26">
        <f>June!C28+B28</f>
        <v>493304</v>
      </c>
      <c r="D28" s="83">
        <f>890</f>
        <v>890</v>
      </c>
      <c r="E28" s="26">
        <f>June!E28+D28</f>
        <v>890</v>
      </c>
      <c r="F28" s="58"/>
      <c r="G28" s="26">
        <f>June!G28+F28</f>
        <v>0</v>
      </c>
    </row>
    <row r="29" spans="1:7" x14ac:dyDescent="0.2">
      <c r="A29" s="28" t="s">
        <v>26</v>
      </c>
      <c r="B29" s="82">
        <f>820+680+600+830+1825+1005+1005+600+780+780+780+780+400+1309+1310+723+1446+487+486+750+1000+1870+1760+1500+500+788+68+650+200+737+737+745+676+1352+1041+1065+500+1000+1000+234+1460+731+670+684+1460+750+516+534+600+1200+620+728+728+2500+2500+1300+1300+1300+1300+500+2320+2500+2400+2400+1300+1300+1325+2500+1250+1486+4232+680+1500+751+751+1413+553+552+671+750+80+2500+930+1454+1734+1184+1184+1454+1005+720+1100+1100+1100+1100+1100+650+650+660+640+640+1258+1257+1502+750+818+1502+784+1533+197722+77131</f>
        <v>392076</v>
      </c>
      <c r="C29" s="26">
        <f>June!C29+B29</f>
        <v>2390679</v>
      </c>
      <c r="D29" s="83">
        <f>250+1792</f>
        <v>2042</v>
      </c>
      <c r="E29" s="26">
        <f>June!E29+D29</f>
        <v>12018</v>
      </c>
      <c r="F29" s="58"/>
      <c r="G29" s="26">
        <f>June!G29+F29</f>
        <v>2520</v>
      </c>
    </row>
    <row r="30" spans="1:7" x14ac:dyDescent="0.2">
      <c r="A30" s="28" t="s">
        <v>27</v>
      </c>
      <c r="B30" s="82">
        <v>6080</v>
      </c>
      <c r="C30" s="26">
        <f>June!C30+B30</f>
        <v>34425</v>
      </c>
      <c r="D30" s="83"/>
      <c r="E30" s="26">
        <f>June!E30+D30</f>
        <v>0</v>
      </c>
      <c r="F30" s="58"/>
      <c r="G30" s="26">
        <f>June!G30+F30</f>
        <v>0</v>
      </c>
    </row>
    <row r="31" spans="1:7" x14ac:dyDescent="0.2">
      <c r="A31" s="28" t="s">
        <v>28</v>
      </c>
      <c r="B31" s="82">
        <f>300+1025+8500+3000+2025+800+900+1200+400+100+120+128+55+2+420+115+1250+490+1300+590+600+600+1250+1616+1350+1616+1616+1634+1634+1634+1000+950+500+500+500+1100+1000+1225+1075+600+700+600+1200+500+700+1200+700+600+600+200+1200+1250+650+700+700+700+700+5+250+137272+21610</f>
        <v>216757</v>
      </c>
      <c r="C31" s="26">
        <f>June!C31+B31</f>
        <v>1413579</v>
      </c>
      <c r="D31" s="83">
        <f>4+6+4+2+210+60+100+90+90+30+50+8+4+40+45</f>
        <v>743</v>
      </c>
      <c r="E31" s="26">
        <f>June!E31+D31</f>
        <v>14442</v>
      </c>
      <c r="F31" s="58"/>
      <c r="G31" s="26">
        <f>June!G31+F31</f>
        <v>0</v>
      </c>
    </row>
    <row r="32" spans="1:7" x14ac:dyDescent="0.2">
      <c r="A32" s="28" t="s">
        <v>29</v>
      </c>
      <c r="B32" s="82"/>
      <c r="C32" s="26">
        <f>June!C32+B32</f>
        <v>0</v>
      </c>
      <c r="D32" s="83"/>
      <c r="E32" s="26">
        <f>June!E32+D32</f>
        <v>0</v>
      </c>
      <c r="F32" s="58"/>
      <c r="G32" s="26">
        <f>June!G32+F32</f>
        <v>0</v>
      </c>
    </row>
    <row r="33" spans="1:7" x14ac:dyDescent="0.2">
      <c r="A33" s="28" t="s">
        <v>30</v>
      </c>
      <c r="B33" s="82"/>
      <c r="C33" s="26">
        <f>June!C33+B33</f>
        <v>0</v>
      </c>
      <c r="D33" s="83"/>
      <c r="E33" s="26">
        <f>June!E33+D33</f>
        <v>0</v>
      </c>
      <c r="F33" s="58"/>
      <c r="G33" s="26">
        <f>June!G33+F33</f>
        <v>0</v>
      </c>
    </row>
    <row r="34" spans="1:7" x14ac:dyDescent="0.2">
      <c r="A34" s="28" t="s">
        <v>31</v>
      </c>
      <c r="B34" s="82"/>
      <c r="C34" s="26">
        <f>June!C34+B34</f>
        <v>0</v>
      </c>
      <c r="D34" s="83"/>
      <c r="E34" s="26">
        <f>June!E34+D34</f>
        <v>0</v>
      </c>
      <c r="F34" s="58"/>
      <c r="G34" s="26">
        <f>June!G34+F34</f>
        <v>0</v>
      </c>
    </row>
    <row r="35" spans="1:7" x14ac:dyDescent="0.2">
      <c r="A35" s="28" t="s">
        <v>32</v>
      </c>
      <c r="B35" s="82"/>
      <c r="C35" s="26">
        <f>June!C35+B35</f>
        <v>0</v>
      </c>
      <c r="D35" s="83"/>
      <c r="E35" s="26">
        <f>June!E35+D35</f>
        <v>0</v>
      </c>
      <c r="F35" s="58"/>
      <c r="G35" s="26">
        <f>June!G35+F35</f>
        <v>0</v>
      </c>
    </row>
    <row r="36" spans="1:7" x14ac:dyDescent="0.2">
      <c r="A36" s="28" t="s">
        <v>33</v>
      </c>
      <c r="B36" s="82"/>
      <c r="C36" s="26">
        <f>June!C36+B36</f>
        <v>8</v>
      </c>
      <c r="D36" s="83"/>
      <c r="E36" s="26">
        <f>June!E36+D36</f>
        <v>0</v>
      </c>
      <c r="F36" s="58"/>
      <c r="G36" s="26">
        <f>June!G36+F36</f>
        <v>0</v>
      </c>
    </row>
    <row r="37" spans="1:7" x14ac:dyDescent="0.2">
      <c r="A37" s="28" t="s">
        <v>34</v>
      </c>
      <c r="B37" s="82">
        <f>2200+1100+1100+1100+1100+1100+1100+1100+1100+1100+1100+86046+5300</f>
        <v>104546</v>
      </c>
      <c r="C37" s="26">
        <f>June!C37+B37</f>
        <v>594223</v>
      </c>
      <c r="D37" s="83"/>
      <c r="E37" s="26">
        <f>June!E37+D37</f>
        <v>0</v>
      </c>
      <c r="F37" s="58"/>
      <c r="G37" s="26">
        <f>June!G37+F37</f>
        <v>0</v>
      </c>
    </row>
    <row r="38" spans="1:7" x14ac:dyDescent="0.2">
      <c r="A38" s="28" t="s">
        <v>35</v>
      </c>
      <c r="B38" s="82">
        <v>33260</v>
      </c>
      <c r="C38" s="26">
        <f>June!C38+B38</f>
        <v>202599</v>
      </c>
      <c r="D38" s="83">
        <v>240</v>
      </c>
      <c r="E38" s="26">
        <f>June!E38+D38</f>
        <v>300</v>
      </c>
      <c r="F38" s="58"/>
      <c r="G38" s="26">
        <f>June!G38+F38</f>
        <v>0</v>
      </c>
    </row>
    <row r="39" spans="1:7" x14ac:dyDescent="0.2">
      <c r="A39" s="28" t="s">
        <v>36</v>
      </c>
      <c r="B39" s="82">
        <f>1300+2100+1+11+600+850+500+2300+12955</f>
        <v>20617</v>
      </c>
      <c r="C39" s="26">
        <f>June!C39+B39</f>
        <v>88871</v>
      </c>
      <c r="D39" s="83">
        <v>1700</v>
      </c>
      <c r="E39" s="26">
        <f>June!E39+D39</f>
        <v>6480</v>
      </c>
      <c r="F39" s="58"/>
      <c r="G39" s="26">
        <f>June!G39+F39</f>
        <v>0</v>
      </c>
    </row>
    <row r="40" spans="1:7" x14ac:dyDescent="0.2">
      <c r="A40" s="28" t="s">
        <v>37</v>
      </c>
      <c r="B40" s="82">
        <f>2160+335+2313+2160+3+5+5+203767</f>
        <v>210748</v>
      </c>
      <c r="C40" s="26">
        <f>June!C40+B40</f>
        <v>1265085</v>
      </c>
      <c r="D40" s="83"/>
      <c r="E40" s="26">
        <f>June!E40+D40</f>
        <v>4375</v>
      </c>
      <c r="F40" s="58"/>
      <c r="G40" s="26">
        <f>June!G40+F40</f>
        <v>0</v>
      </c>
    </row>
    <row r="41" spans="1:7" x14ac:dyDescent="0.2">
      <c r="A41" s="28" t="s">
        <v>38</v>
      </c>
      <c r="B41" s="82"/>
      <c r="C41" s="26">
        <f>June!C41+B41</f>
        <v>0</v>
      </c>
      <c r="D41" s="83"/>
      <c r="E41" s="26">
        <f>June!E41+D41</f>
        <v>0</v>
      </c>
      <c r="F41" s="58"/>
      <c r="G41" s="26">
        <f>June!G41+F41</f>
        <v>0</v>
      </c>
    </row>
    <row r="42" spans="1:7" x14ac:dyDescent="0.2">
      <c r="A42" s="28" t="s">
        <v>39</v>
      </c>
      <c r="B42" s="82">
        <f>4+9+5+4+300</f>
        <v>322</v>
      </c>
      <c r="C42" s="26">
        <f>June!C42+B42</f>
        <v>326</v>
      </c>
      <c r="D42" s="83"/>
      <c r="E42" s="26">
        <f>June!E42+D42</f>
        <v>3</v>
      </c>
      <c r="F42" s="58"/>
      <c r="G42" s="26">
        <f>June!G42+F42</f>
        <v>0</v>
      </c>
    </row>
    <row r="43" spans="1:7" x14ac:dyDescent="0.2">
      <c r="A43" s="28" t="s">
        <v>40</v>
      </c>
      <c r="B43" s="82"/>
      <c r="C43" s="26">
        <f>June!C43+B43</f>
        <v>0</v>
      </c>
      <c r="D43" s="83"/>
      <c r="E43" s="26">
        <f>June!E43+D43</f>
        <v>0</v>
      </c>
      <c r="F43" s="58"/>
      <c r="G43" s="26">
        <f>June!G43+F43</f>
        <v>0</v>
      </c>
    </row>
    <row r="44" spans="1:7" x14ac:dyDescent="0.2">
      <c r="A44" s="28" t="s">
        <v>41</v>
      </c>
      <c r="B44" s="82"/>
      <c r="C44" s="26">
        <f>June!C44+B44</f>
        <v>0</v>
      </c>
      <c r="D44" s="83"/>
      <c r="E44" s="26">
        <f>June!E44+D44</f>
        <v>0</v>
      </c>
      <c r="F44" s="58"/>
      <c r="G44" s="26">
        <f>June!G44+F44</f>
        <v>0</v>
      </c>
    </row>
    <row r="45" spans="1:7" x14ac:dyDescent="0.2">
      <c r="A45" s="28" t="s">
        <v>42</v>
      </c>
      <c r="B45" s="82">
        <f>1200+600+1+3+1000+800+625+717+725+2550+665+600+600+75+1200+2+1+120+50+50+150+75+2000+2000+2430+390+2000+1400+7+26+1250+600+600+500+620+620+1400+650+17631+76812</f>
        <v>122745</v>
      </c>
      <c r="C45" s="26">
        <f>June!C45+B45</f>
        <v>577164</v>
      </c>
      <c r="D45" s="83">
        <f>600+62</f>
        <v>662</v>
      </c>
      <c r="E45" s="26">
        <f>June!E45+D45</f>
        <v>17649</v>
      </c>
      <c r="F45" s="58"/>
      <c r="G45" s="26">
        <f>June!G45+F45</f>
        <v>0</v>
      </c>
    </row>
    <row r="46" spans="1:7" x14ac:dyDescent="0.2">
      <c r="A46" s="28" t="s">
        <v>43</v>
      </c>
      <c r="B46" s="82"/>
      <c r="C46" s="26">
        <f>June!C46+B46</f>
        <v>0</v>
      </c>
      <c r="D46" s="83"/>
      <c r="E46" s="26">
        <f>June!E46+D46</f>
        <v>0</v>
      </c>
      <c r="F46" s="58"/>
      <c r="G46" s="26">
        <f>June!G46+F46</f>
        <v>0</v>
      </c>
    </row>
    <row r="47" spans="1:7" x14ac:dyDescent="0.2">
      <c r="A47" s="28" t="s">
        <v>44</v>
      </c>
      <c r="B47" s="82">
        <f>5+4+1+3+76223</f>
        <v>76236</v>
      </c>
      <c r="C47" s="26">
        <f>June!C47+B47</f>
        <v>264506</v>
      </c>
      <c r="D47" s="83">
        <v>5498</v>
      </c>
      <c r="E47" s="26">
        <f>June!E47+D47</f>
        <v>5513</v>
      </c>
      <c r="F47" s="58"/>
      <c r="G47" s="26">
        <f>June!G47+F47</f>
        <v>0</v>
      </c>
    </row>
    <row r="48" spans="1:7" x14ac:dyDescent="0.2">
      <c r="A48" s="28" t="s">
        <v>45</v>
      </c>
      <c r="B48" s="82">
        <v>35239</v>
      </c>
      <c r="C48" s="26">
        <f>June!C48+B48</f>
        <v>228767</v>
      </c>
      <c r="D48" s="83"/>
      <c r="E48" s="26">
        <f>June!E48+D48</f>
        <v>2</v>
      </c>
      <c r="F48" s="94"/>
      <c r="G48" s="26">
        <f>June!G48+F48</f>
        <v>0</v>
      </c>
    </row>
    <row r="49" spans="1:256" x14ac:dyDescent="0.2">
      <c r="A49" s="28" t="s">
        <v>46</v>
      </c>
      <c r="B49" s="82"/>
      <c r="C49" s="26">
        <f>June!C49+B49</f>
        <v>0</v>
      </c>
      <c r="D49" s="83"/>
      <c r="E49" s="26">
        <f>June!E49+D49</f>
        <v>0</v>
      </c>
      <c r="F49" s="58"/>
      <c r="G49" s="26">
        <f>June!G49+F49</f>
        <v>0</v>
      </c>
    </row>
    <row r="50" spans="1:256" x14ac:dyDescent="0.2">
      <c r="A50" s="28" t="s">
        <v>47</v>
      </c>
      <c r="B50" s="82"/>
      <c r="C50" s="26">
        <f>June!C50+B50</f>
        <v>4</v>
      </c>
      <c r="D50" s="83"/>
      <c r="E50" s="26">
        <f>June!E50+D50</f>
        <v>0</v>
      </c>
      <c r="F50" s="58"/>
      <c r="G50" s="26">
        <f>June!G50+F50</f>
        <v>0</v>
      </c>
    </row>
    <row r="51" spans="1:256" x14ac:dyDescent="0.2">
      <c r="A51" s="28" t="s">
        <v>48</v>
      </c>
      <c r="B51" s="82"/>
      <c r="C51" s="26">
        <f>June!C51+B51</f>
        <v>0</v>
      </c>
      <c r="D51" s="83"/>
      <c r="E51" s="26">
        <f>June!E51+D51</f>
        <v>2</v>
      </c>
      <c r="F51" s="58"/>
      <c r="G51" s="26">
        <f>June!G51+F51</f>
        <v>0</v>
      </c>
    </row>
    <row r="52" spans="1:256" x14ac:dyDescent="0.2">
      <c r="A52" s="28" t="s">
        <v>49</v>
      </c>
      <c r="B52" s="82"/>
      <c r="C52" s="26">
        <f>June!C52+B52</f>
        <v>0</v>
      </c>
      <c r="D52" s="83"/>
      <c r="E52" s="26">
        <f>June!E52+D52</f>
        <v>0</v>
      </c>
      <c r="F52" s="58"/>
      <c r="G52" s="26">
        <f>June!G52+F52</f>
        <v>0</v>
      </c>
    </row>
    <row r="53" spans="1:256" x14ac:dyDescent="0.2">
      <c r="A53" s="28" t="s">
        <v>50</v>
      </c>
      <c r="B53" s="82">
        <f>17385</f>
        <v>17385</v>
      </c>
      <c r="C53" s="26">
        <f>June!C53+B53</f>
        <v>107994</v>
      </c>
      <c r="D53" s="83"/>
      <c r="E53" s="26">
        <f>June!E53+D53</f>
        <v>195</v>
      </c>
      <c r="F53" s="58"/>
      <c r="G53" s="26">
        <f>June!G53+F53</f>
        <v>0</v>
      </c>
    </row>
    <row r="54" spans="1:256" ht="15.75" thickBot="1" x14ac:dyDescent="0.25">
      <c r="A54" s="28" t="s">
        <v>51</v>
      </c>
      <c r="B54" s="82">
        <f>12016+1250</f>
        <v>13266</v>
      </c>
      <c r="C54" s="26">
        <f>June!C54+B54</f>
        <v>74427</v>
      </c>
      <c r="D54" s="83"/>
      <c r="E54" s="26">
        <f>June!E54+D54</f>
        <v>1</v>
      </c>
      <c r="F54" s="58"/>
      <c r="G54" s="26">
        <f>June!G54+F54</f>
        <v>0</v>
      </c>
    </row>
    <row r="55" spans="1:256" s="27" customFormat="1" ht="26.1" customHeight="1" thickBot="1" x14ac:dyDescent="0.3">
      <c r="A55" s="88" t="s">
        <v>53</v>
      </c>
      <c r="B55" s="14">
        <f>SUM(B7:B54)</f>
        <v>2543429</v>
      </c>
      <c r="C55" s="14">
        <f>June!C55+B55</f>
        <v>14900228</v>
      </c>
      <c r="D55" s="14">
        <f>SUM(D7:D54)</f>
        <v>23969</v>
      </c>
      <c r="E55" s="14">
        <f>June!E55+D55</f>
        <v>136647</v>
      </c>
      <c r="F55" s="14">
        <f>SUM(F7:F54)</f>
        <v>13783</v>
      </c>
      <c r="G55" s="14">
        <f>June!G55+F55</f>
        <v>68252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5.75" x14ac:dyDescent="0.25">
      <c r="A56" s="18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0</v>
      </c>
      <c r="E58" s="29"/>
      <c r="F58" s="30"/>
      <c r="G58" s="30"/>
    </row>
    <row r="59" spans="1:256" x14ac:dyDescent="0.2">
      <c r="A59" s="31" t="s">
        <v>56</v>
      </c>
      <c r="B59" s="33"/>
      <c r="C59" s="33">
        <v>6534</v>
      </c>
      <c r="D59" s="34">
        <f>June!D59+C59</f>
        <v>35662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>
        <f>200+135+115+45+120+360+175+45+115+200+135+175+300+120+285+385+2320+1600+1300+200+396+700+1495+145+8+8+15+8+102+24+8+16+90+8+120+45+115+135+211+29+120+360+160+40+14+86+21+20+50+630+115+200+135+45+160+360+120+200+135+115+45+160+360+8005</f>
        <v>23664</v>
      </c>
      <c r="D62" s="34">
        <f>June!D62+C62</f>
        <v>181263</v>
      </c>
      <c r="E62" s="30"/>
      <c r="F62" s="30"/>
      <c r="G62" s="30"/>
    </row>
    <row r="63" spans="1:256" x14ac:dyDescent="0.2">
      <c r="A63" s="31" t="s">
        <v>65</v>
      </c>
      <c r="B63" s="76"/>
      <c r="C63" s="33">
        <f>150+150+150+150+320+320+320+320+40+40+40+40+60+60+60+60+270+240+270+240+8+106+52+106+52+45+45+45+275+275+80+80+80+80+20+20+20+20+275+275+60+60+228+231+189+25</f>
        <v>6052</v>
      </c>
      <c r="D63" s="34">
        <f>June!D63+C63</f>
        <v>95604</v>
      </c>
      <c r="E63" s="30"/>
      <c r="F63" s="30"/>
      <c r="G63" s="30"/>
    </row>
    <row r="64" spans="1:256" x14ac:dyDescent="0.2">
      <c r="A64" s="31" t="s">
        <v>63</v>
      </c>
      <c r="B64" s="33"/>
      <c r="C64" s="33">
        <f>160+100+140+120+200+200+205+150+180+185+205+200+200+115+85+115+250+200+250+200+200+160+115+200+130+115+125+200+200+160+185+100+12+175+100+35+15+45+70+140+160+140+86+15+65+60+45+175+100+35+70+140+150+35+86+60+10+62+65+45+119+86+15+140+210+70+35+100+45+175+100+85+65+22+64+10+80+35+70+140+200+35+100+145+45+40+115+125+130+200+185+180+150+140+130+140+120+200</f>
        <v>11592</v>
      </c>
      <c r="D64" s="34">
        <f>June!D64+C64</f>
        <v>178105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>
        <f>150+110+90+75+185+30+70+65+238+125+70+130+65+115+65+70+40+30+90+110+150+75+30+75+132+792+521+103+160+90+210+75+70+30+75+90+200+75+772</f>
        <v>5648</v>
      </c>
      <c r="D66" s="34">
        <f>June!D66+C66</f>
        <v>34886</v>
      </c>
      <c r="E66" s="30"/>
      <c r="F66" s="30"/>
      <c r="G66" s="30"/>
    </row>
    <row r="67" spans="1:7" x14ac:dyDescent="0.2">
      <c r="A67" s="31" t="s">
        <v>62</v>
      </c>
      <c r="B67" s="30"/>
      <c r="C67" s="33">
        <f>60+700</f>
        <v>760</v>
      </c>
      <c r="D67" s="34">
        <f>June!D67+C67</f>
        <v>5149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8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77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1000+1000+1000</f>
        <v>3000</v>
      </c>
      <c r="C7" s="12">
        <f>July!C7+B7</f>
        <v>12079</v>
      </c>
      <c r="D7" s="81"/>
      <c r="E7" s="12">
        <f>July!E7+D7</f>
        <v>0</v>
      </c>
      <c r="F7" s="59"/>
      <c r="G7" s="12">
        <f>July!G7+F7</f>
        <v>0</v>
      </c>
    </row>
    <row r="8" spans="1:256" x14ac:dyDescent="0.2">
      <c r="A8" s="11" t="s">
        <v>64</v>
      </c>
      <c r="B8" s="80"/>
      <c r="C8" s="12">
        <f>July!C8+B8</f>
        <v>37</v>
      </c>
      <c r="D8" s="81"/>
      <c r="E8" s="12">
        <f>July!E8+D8</f>
        <v>0</v>
      </c>
      <c r="F8" s="59"/>
      <c r="G8" s="12">
        <f>July!G8+F8</f>
        <v>0</v>
      </c>
    </row>
    <row r="9" spans="1:256" x14ac:dyDescent="0.2">
      <c r="A9" s="11" t="s">
        <v>7</v>
      </c>
      <c r="B9" s="80">
        <f>218+800+475+850+475+900+450+450+900</f>
        <v>5518</v>
      </c>
      <c r="C9" s="12">
        <f>July!C9+B9</f>
        <v>208173</v>
      </c>
      <c r="D9" s="81"/>
      <c r="E9" s="12">
        <f>July!E9+D9</f>
        <v>6</v>
      </c>
      <c r="F9" s="59"/>
      <c r="G9" s="12">
        <f>July!G9+F9</f>
        <v>0</v>
      </c>
    </row>
    <row r="10" spans="1:256" x14ac:dyDescent="0.2">
      <c r="A10" s="11" t="s">
        <v>8</v>
      </c>
      <c r="B10" s="80">
        <f>1</f>
        <v>1</v>
      </c>
      <c r="C10" s="12">
        <f>July!C10+B10</f>
        <v>91</v>
      </c>
      <c r="D10" s="81">
        <f>14</f>
        <v>14</v>
      </c>
      <c r="E10" s="12">
        <f>July!E10+D10</f>
        <v>27</v>
      </c>
      <c r="F10" s="59"/>
      <c r="G10" s="12">
        <f>July!G10+F10</f>
        <v>0</v>
      </c>
    </row>
    <row r="11" spans="1:256" x14ac:dyDescent="0.2">
      <c r="A11" s="92" t="s">
        <v>52</v>
      </c>
      <c r="B11" s="80">
        <v>183264</v>
      </c>
      <c r="C11" s="12">
        <f>July!C11+B11</f>
        <v>1417381</v>
      </c>
      <c r="D11" s="81">
        <v>1997</v>
      </c>
      <c r="E11" s="12">
        <f>July!E11+D11</f>
        <v>19349</v>
      </c>
      <c r="F11" s="59">
        <v>9598</v>
      </c>
      <c r="G11" s="12">
        <f>July!G11+F11</f>
        <v>74470</v>
      </c>
    </row>
    <row r="12" spans="1:256" x14ac:dyDescent="0.2">
      <c r="A12" s="11" t="s">
        <v>9</v>
      </c>
      <c r="B12" s="80">
        <f>1750+482+1116+1158+567+1750+1100+700+700+1800+1950+460+2260+300+970+1540+1540+1540+1540+1200+1077+722+570+600+1800+1825+580+1200+2450+600+1220+51771+18070</f>
        <v>106908</v>
      </c>
      <c r="C12" s="12">
        <f>July!C12+B12</f>
        <v>784965</v>
      </c>
      <c r="D12" s="81"/>
      <c r="E12" s="12">
        <f>July!E12+D12</f>
        <v>900</v>
      </c>
      <c r="F12" s="59"/>
      <c r="G12" s="12">
        <f>July!G12+F12</f>
        <v>0</v>
      </c>
    </row>
    <row r="13" spans="1:256" x14ac:dyDescent="0.2">
      <c r="A13" s="11" t="s">
        <v>10</v>
      </c>
      <c r="B13" s="80"/>
      <c r="C13" s="12">
        <f>July!C13+B13</f>
        <v>0</v>
      </c>
      <c r="D13" s="81"/>
      <c r="E13" s="12">
        <f>July!E13+D13</f>
        <v>0</v>
      </c>
      <c r="F13" s="59"/>
      <c r="G13" s="12">
        <f>July!G13+F13</f>
        <v>0</v>
      </c>
    </row>
    <row r="14" spans="1:256" x14ac:dyDescent="0.2">
      <c r="A14" s="11" t="s">
        <v>11</v>
      </c>
      <c r="B14" s="80"/>
      <c r="C14" s="12">
        <f>July!C14+B14</f>
        <v>0</v>
      </c>
      <c r="D14" s="81"/>
      <c r="E14" s="12">
        <f>July!E14+D14</f>
        <v>0</v>
      </c>
      <c r="F14" s="59"/>
      <c r="G14" s="12">
        <f>July!G14+F14</f>
        <v>0</v>
      </c>
    </row>
    <row r="15" spans="1:256" x14ac:dyDescent="0.2">
      <c r="A15" s="11" t="s">
        <v>12</v>
      </c>
      <c r="B15" s="80"/>
      <c r="C15" s="12">
        <f>July!C15+B15</f>
        <v>0</v>
      </c>
      <c r="D15" s="81">
        <v>1</v>
      </c>
      <c r="E15" s="12">
        <f>July!E15+D15</f>
        <v>2</v>
      </c>
      <c r="F15" s="59"/>
      <c r="G15" s="12">
        <f>July!G15+F15</f>
        <v>0</v>
      </c>
    </row>
    <row r="16" spans="1:256" x14ac:dyDescent="0.2">
      <c r="A16" s="11" t="s">
        <v>13</v>
      </c>
      <c r="B16" s="80"/>
      <c r="C16" s="12">
        <f>July!C16+B16</f>
        <v>5578</v>
      </c>
      <c r="D16" s="81"/>
      <c r="E16" s="12">
        <f>July!E16+D16</f>
        <v>0</v>
      </c>
      <c r="F16" s="59"/>
      <c r="G16" s="12">
        <f>July!G16+F16</f>
        <v>0</v>
      </c>
    </row>
    <row r="17" spans="1:7" x14ac:dyDescent="0.2">
      <c r="A17" s="11" t="s">
        <v>14</v>
      </c>
      <c r="B17" s="80"/>
      <c r="C17" s="12">
        <f>July!C17+B17</f>
        <v>0</v>
      </c>
      <c r="D17" s="81"/>
      <c r="E17" s="12">
        <f>July!E17+D17</f>
        <v>0</v>
      </c>
      <c r="F17" s="59"/>
      <c r="G17" s="12">
        <f>July!G17+F17</f>
        <v>0</v>
      </c>
    </row>
    <row r="18" spans="1:7" x14ac:dyDescent="0.2">
      <c r="A18" s="11" t="s">
        <v>15</v>
      </c>
      <c r="B18" s="80">
        <f>589+805+400+1300+1200+1200+1200+1200+678+335+938+935+975+418+5+370+589+589+589+589+589+589+1040+1200+802+300+1600+1263+1300+1350+300+200+1150+805+320+675+675+1800+1000+1100+1100+1100+182+1000+1000+1000+1000+1000+1230+285+320+811+1360+1200+1060+1060+1200+1287+1300+1288+284541+166399</f>
        <v>503685</v>
      </c>
      <c r="C18" s="12">
        <f>July!C18+B18</f>
        <v>3406107</v>
      </c>
      <c r="D18" s="81">
        <f>614+773</f>
        <v>1387</v>
      </c>
      <c r="E18" s="12">
        <f>July!E18+D18</f>
        <v>11190</v>
      </c>
      <c r="F18" s="59"/>
      <c r="G18" s="12">
        <f>July!G18+F18</f>
        <v>0</v>
      </c>
    </row>
    <row r="19" spans="1:7" x14ac:dyDescent="0.2">
      <c r="A19" s="11" t="s">
        <v>16</v>
      </c>
      <c r="B19" s="80">
        <f>350+30+1200+6+350+30+1200+1000+50+60+1200+1200+1200+1200+1+3+3+1+6+5+6+5+34984+15230</f>
        <v>59320</v>
      </c>
      <c r="C19" s="12">
        <f>July!C19+B19</f>
        <v>344705</v>
      </c>
      <c r="D19" s="81">
        <v>50</v>
      </c>
      <c r="E19" s="12">
        <f>July!E19+D19</f>
        <v>729</v>
      </c>
      <c r="F19" s="59"/>
      <c r="G19" s="12">
        <f>July!G19+F19</f>
        <v>0</v>
      </c>
    </row>
    <row r="20" spans="1:7" x14ac:dyDescent="0.2">
      <c r="A20" s="11" t="s">
        <v>17</v>
      </c>
      <c r="B20" s="80">
        <f>826+1026+1026+2000+100+420+60+80+475+1000+9500+540</f>
        <v>17053</v>
      </c>
      <c r="C20" s="12">
        <f>July!C20+B20</f>
        <v>218660</v>
      </c>
      <c r="D20" s="81">
        <v>2939</v>
      </c>
      <c r="E20" s="12">
        <f>July!E20+D20</f>
        <v>8699</v>
      </c>
      <c r="F20" s="59"/>
      <c r="G20" s="12">
        <f>July!G20+F20</f>
        <v>0</v>
      </c>
    </row>
    <row r="21" spans="1:7" x14ac:dyDescent="0.2">
      <c r="A21" s="11" t="s">
        <v>18</v>
      </c>
      <c r="B21" s="80">
        <f>151+1355+1450+1410+1360</f>
        <v>5726</v>
      </c>
      <c r="C21" s="12">
        <f>July!C21+B21</f>
        <v>22297</v>
      </c>
      <c r="D21" s="81">
        <v>125</v>
      </c>
      <c r="E21" s="12">
        <f>July!E21+D21</f>
        <v>1152</v>
      </c>
      <c r="F21" s="59"/>
      <c r="G21" s="12">
        <f>July!G21+F21</f>
        <v>0</v>
      </c>
    </row>
    <row r="22" spans="1:7" x14ac:dyDescent="0.2">
      <c r="A22" s="11" t="s">
        <v>19</v>
      </c>
      <c r="B22" s="80"/>
      <c r="C22" s="12">
        <f>July!C22+B22</f>
        <v>3</v>
      </c>
      <c r="D22" s="81"/>
      <c r="E22" s="12">
        <f>July!E22+D22</f>
        <v>14</v>
      </c>
      <c r="F22" s="59"/>
      <c r="G22" s="12">
        <f>July!G22+F22</f>
        <v>0</v>
      </c>
    </row>
    <row r="23" spans="1:7" x14ac:dyDescent="0.2">
      <c r="A23" s="11" t="s">
        <v>20</v>
      </c>
      <c r="B23" s="80"/>
      <c r="C23" s="12">
        <f>July!C23+B23</f>
        <v>0</v>
      </c>
      <c r="D23" s="81"/>
      <c r="E23" s="12">
        <f>July!E23+D23</f>
        <v>0</v>
      </c>
      <c r="F23" s="59"/>
      <c r="G23" s="12">
        <f>July!G23+F23</f>
        <v>0</v>
      </c>
    </row>
    <row r="24" spans="1:7" x14ac:dyDescent="0.2">
      <c r="A24" s="11" t="s">
        <v>21</v>
      </c>
      <c r="B24" s="80"/>
      <c r="C24" s="12">
        <f>July!C24+B24</f>
        <v>0</v>
      </c>
      <c r="D24" s="81"/>
      <c r="E24" s="12">
        <f>July!E24+D24</f>
        <v>0</v>
      </c>
      <c r="F24" s="59"/>
      <c r="G24" s="12">
        <f>July!G24+F24</f>
        <v>0</v>
      </c>
    </row>
    <row r="25" spans="1:7" x14ac:dyDescent="0.2">
      <c r="A25" s="11" t="s">
        <v>22</v>
      </c>
      <c r="B25" s="80"/>
      <c r="C25" s="12">
        <f>July!C25+B25</f>
        <v>0</v>
      </c>
      <c r="D25" s="81"/>
      <c r="E25" s="12">
        <f>July!E25+D25</f>
        <v>0</v>
      </c>
      <c r="F25" s="59"/>
      <c r="G25" s="12">
        <f>July!G25+F25</f>
        <v>0</v>
      </c>
    </row>
    <row r="26" spans="1:7" x14ac:dyDescent="0.2">
      <c r="A26" s="11" t="s">
        <v>23</v>
      </c>
      <c r="B26" s="80">
        <v>11600</v>
      </c>
      <c r="C26" s="12">
        <f>July!C26+B26</f>
        <v>14733</v>
      </c>
      <c r="D26" s="81">
        <v>1933</v>
      </c>
      <c r="E26" s="12">
        <f>July!E26+D26</f>
        <v>6180</v>
      </c>
      <c r="F26" s="59"/>
      <c r="G26" s="12">
        <f>July!G26+F26</f>
        <v>0</v>
      </c>
    </row>
    <row r="27" spans="1:7" x14ac:dyDescent="0.2">
      <c r="A27" s="11" t="s">
        <v>24</v>
      </c>
      <c r="B27" s="80">
        <f>2+4+4+7+340+300+420+300+550+1160+500+500+500+500+2350+2600+520+410+300+360+400+405+405+605+425+550+280+650+520+470+560+612+1200+800+530+1350+1980+850+1242+800+850+2350+470+650+432+650+280+380+350+550+800+208+300+300+410+520+550+605+2054+2054+800+2750+4800+2500+1560+1170+990+212+120+105+280+535+535+400+405+650+650+520+410+650+650+550+280+300+300+300+350+250+430+560+2400+1800+2054+600+2400+525+650+450+560+700+650+620+350+360+650+650+360+620+650+600+510+2054+2054+100+100+1000+278+400+200+570+580+1490+2485+1000+2500+880+1320+1750+2+550+360+2028+2028+2400+360+650+850+850+800+850+800+650+550+550+35+550+650+650+600+650+560+560+560+700+545+540+450+550+650+650+170+1000+91374+48719</f>
        <v>266397</v>
      </c>
      <c r="C27" s="12">
        <f>July!C27+B27</f>
        <v>1891930</v>
      </c>
      <c r="D27" s="81">
        <f>4+2+791</f>
        <v>797</v>
      </c>
      <c r="E27" s="12">
        <f>July!E27+D27</f>
        <v>35772</v>
      </c>
      <c r="F27" s="59"/>
      <c r="G27" s="12">
        <f>July!G27+F27</f>
        <v>860</v>
      </c>
    </row>
    <row r="28" spans="1:7" x14ac:dyDescent="0.2">
      <c r="A28" s="11" t="s">
        <v>25</v>
      </c>
      <c r="B28" s="80">
        <f>1060+635+805+63740</f>
        <v>66240</v>
      </c>
      <c r="C28" s="12">
        <f>July!C28+B28</f>
        <v>559544</v>
      </c>
      <c r="D28" s="81"/>
      <c r="E28" s="12">
        <f>July!E28+D28</f>
        <v>890</v>
      </c>
      <c r="F28" s="59"/>
      <c r="G28" s="12">
        <f>July!G28+F28</f>
        <v>0</v>
      </c>
    </row>
    <row r="29" spans="1:7" x14ac:dyDescent="0.2">
      <c r="A29" s="11" t="s">
        <v>26</v>
      </c>
      <c r="B29" s="80">
        <f>900+700+1835+1835+1820+1830+1865+1+560+1200+1200+1025+1025+1025+1025+1200+1000+780+780+1085+2600+545+692+4930+1000+1000+1000+1000+870+310+1325+1400+750+855+785+1240+1775+1480+1495+1795+1780+3520+2341+232+2174+3500+800+1226+1224+2500+7+786+785+785+450+697+450+1503+439+2319+1320+1235+1040+1725+1740+1145+1155+1165+250+1348+2696+600+600+2500+1425+2500+2400+2400+1300+1300+120+50+210+1819+1807+1834+1251+2500+1823+627+1+305+1000+1000+1000+1000+1000+1000+1000+1100+1100+1100+1000+967+967+966+720+720+728+667+667+667+667+593+593+594+1240+640+640+2525+1450+718+719+1246+1244+1218+1218+1207+1571+344+784+784+784+2500+2406+3+720+720+720+720+1000+1535+1835+1849+1857+1831+755+755+1780+594+720+720+651+651+1506+1506+753+1350+1891+621+500+500+2500+2420+2390+100+169+166+134+158+183341+59286</f>
        <v>442008</v>
      </c>
      <c r="C29" s="12">
        <f>July!C29+B29</f>
        <v>2832687</v>
      </c>
      <c r="D29" s="81">
        <f>1+1402</f>
        <v>1403</v>
      </c>
      <c r="E29" s="12">
        <f>July!E29+D29</f>
        <v>13421</v>
      </c>
      <c r="F29" s="59"/>
      <c r="G29" s="12">
        <f>July!G29+F29</f>
        <v>2520</v>
      </c>
    </row>
    <row r="30" spans="1:7" x14ac:dyDescent="0.2">
      <c r="A30" s="11" t="s">
        <v>27</v>
      </c>
      <c r="B30" s="80">
        <v>5040</v>
      </c>
      <c r="C30" s="12">
        <f>July!C30+B30</f>
        <v>39465</v>
      </c>
      <c r="D30" s="81"/>
      <c r="E30" s="12">
        <f>July!E30+D30</f>
        <v>0</v>
      </c>
      <c r="F30" s="59"/>
      <c r="G30" s="12">
        <f>July!G30+F30</f>
        <v>0</v>
      </c>
    </row>
    <row r="31" spans="1:7" x14ac:dyDescent="0.2">
      <c r="A31" s="11" t="s">
        <v>28</v>
      </c>
      <c r="B31" s="80">
        <f>700+650+850+200+28+150+600+600+160+120+700+850+650+500+170+1250+1250+700+1653+1717+1717+1525+2525+2525+1225+1000+1000+1653+900+625+1653+1717+650+1000+160+525+1250+700+500+300+700+700+725+475+775+1025+1325+6+600+600+600+1250+950+1300+700+550+500+2525+1025+985+163315+22325</f>
        <v>239604</v>
      </c>
      <c r="C31" s="12">
        <f>July!C31+B31</f>
        <v>1653183</v>
      </c>
      <c r="D31" s="81">
        <f>35+2+25+5+2+5+13+3+45+40+240+270+300+210+60+150+180+45+35+23</f>
        <v>1688</v>
      </c>
      <c r="E31" s="12">
        <f>July!E31+D31</f>
        <v>16130</v>
      </c>
      <c r="F31" s="59"/>
      <c r="G31" s="12">
        <f>July!G31+F31</f>
        <v>0</v>
      </c>
    </row>
    <row r="32" spans="1:7" x14ac:dyDescent="0.2">
      <c r="A32" s="11" t="s">
        <v>29</v>
      </c>
      <c r="B32" s="80"/>
      <c r="C32" s="12">
        <f>July!C32+B32</f>
        <v>0</v>
      </c>
      <c r="D32" s="81"/>
      <c r="E32" s="12">
        <f>July!E32+D32</f>
        <v>0</v>
      </c>
      <c r="F32" s="59"/>
      <c r="G32" s="12">
        <f>July!G32+F32</f>
        <v>0</v>
      </c>
    </row>
    <row r="33" spans="1:7" x14ac:dyDescent="0.2">
      <c r="A33" s="11" t="s">
        <v>30</v>
      </c>
      <c r="B33" s="80"/>
      <c r="C33" s="12">
        <f>July!C33+B33</f>
        <v>0</v>
      </c>
      <c r="D33" s="81"/>
      <c r="E33" s="12">
        <f>July!E33+D33</f>
        <v>0</v>
      </c>
      <c r="F33" s="59"/>
      <c r="G33" s="12">
        <f>July!G33+F33</f>
        <v>0</v>
      </c>
    </row>
    <row r="34" spans="1:7" x14ac:dyDescent="0.2">
      <c r="A34" s="11" t="s">
        <v>31</v>
      </c>
      <c r="B34" s="80"/>
      <c r="C34" s="12">
        <f>July!C34+B34</f>
        <v>0</v>
      </c>
      <c r="D34" s="81"/>
      <c r="E34" s="12">
        <f>July!E34+D34</f>
        <v>0</v>
      </c>
      <c r="F34" s="59"/>
      <c r="G34" s="12">
        <f>July!G34+F34</f>
        <v>0</v>
      </c>
    </row>
    <row r="35" spans="1:7" x14ac:dyDescent="0.2">
      <c r="A35" s="11" t="s">
        <v>32</v>
      </c>
      <c r="B35" s="80"/>
      <c r="C35" s="12">
        <f>July!C35+B35</f>
        <v>0</v>
      </c>
      <c r="D35" s="81"/>
      <c r="E35" s="12">
        <f>July!E35+D35</f>
        <v>0</v>
      </c>
      <c r="F35" s="59"/>
      <c r="G35" s="12">
        <f>July!G35+F35</f>
        <v>0</v>
      </c>
    </row>
    <row r="36" spans="1:7" x14ac:dyDescent="0.2">
      <c r="A36" s="11" t="s">
        <v>33</v>
      </c>
      <c r="B36" s="80"/>
      <c r="C36" s="12">
        <f>July!C36+B36</f>
        <v>8</v>
      </c>
      <c r="D36" s="81"/>
      <c r="E36" s="12">
        <f>July!E36+D36</f>
        <v>0</v>
      </c>
      <c r="F36" s="59"/>
      <c r="G36" s="12">
        <f>July!G36+F36</f>
        <v>0</v>
      </c>
    </row>
    <row r="37" spans="1:7" x14ac:dyDescent="0.2">
      <c r="A37" s="11" t="s">
        <v>34</v>
      </c>
      <c r="B37" s="80">
        <f>79916+12200</f>
        <v>92116</v>
      </c>
      <c r="C37" s="12">
        <f>July!C37+B37</f>
        <v>686339</v>
      </c>
      <c r="D37" s="81"/>
      <c r="E37" s="12">
        <f>July!E37+D37</f>
        <v>0</v>
      </c>
      <c r="F37" s="59"/>
      <c r="G37" s="12">
        <f>July!G37+F37</f>
        <v>0</v>
      </c>
    </row>
    <row r="38" spans="1:7" x14ac:dyDescent="0.2">
      <c r="A38" s="11" t="s">
        <v>35</v>
      </c>
      <c r="B38" s="80">
        <v>25485</v>
      </c>
      <c r="C38" s="12">
        <f>July!C38+B38</f>
        <v>228084</v>
      </c>
      <c r="D38" s="81">
        <f>40+80+80+82+80+80+80+70+70+70+70</f>
        <v>802</v>
      </c>
      <c r="E38" s="12">
        <f>July!E38+D38</f>
        <v>1102</v>
      </c>
      <c r="F38" s="59"/>
      <c r="G38" s="12">
        <f>July!G38+F38</f>
        <v>0</v>
      </c>
    </row>
    <row r="39" spans="1:7" x14ac:dyDescent="0.2">
      <c r="A39" s="11" t="s">
        <v>36</v>
      </c>
      <c r="B39" s="80">
        <v>9910</v>
      </c>
      <c r="C39" s="12">
        <f>July!C39+B39</f>
        <v>98781</v>
      </c>
      <c r="D39" s="81">
        <v>1428</v>
      </c>
      <c r="E39" s="12">
        <f>July!E39+D39</f>
        <v>7908</v>
      </c>
      <c r="F39" s="59"/>
      <c r="G39" s="12">
        <f>July!G39+F39</f>
        <v>0</v>
      </c>
    </row>
    <row r="40" spans="1:7" x14ac:dyDescent="0.2">
      <c r="A40" s="11" t="s">
        <v>37</v>
      </c>
      <c r="B40" s="80">
        <f>6+2+4+2160+430+600+2140+2150+200+320+2470+320+2160+550+182371</f>
        <v>195883</v>
      </c>
      <c r="C40" s="12">
        <f>July!C40+B40</f>
        <v>1460968</v>
      </c>
      <c r="D40" s="81"/>
      <c r="E40" s="12">
        <f>July!E40+D40</f>
        <v>4375</v>
      </c>
      <c r="F40" s="59"/>
      <c r="G40" s="12">
        <f>July!G40+F40</f>
        <v>0</v>
      </c>
    </row>
    <row r="41" spans="1:7" x14ac:dyDescent="0.2">
      <c r="A41" s="11" t="s">
        <v>38</v>
      </c>
      <c r="B41" s="80"/>
      <c r="C41" s="12">
        <f>July!C41+B41</f>
        <v>0</v>
      </c>
      <c r="D41" s="81"/>
      <c r="E41" s="12">
        <f>July!E41+D41</f>
        <v>0</v>
      </c>
      <c r="F41" s="59"/>
      <c r="G41" s="12">
        <f>July!G41+F41</f>
        <v>0</v>
      </c>
    </row>
    <row r="42" spans="1:7" x14ac:dyDescent="0.2">
      <c r="A42" s="11" t="s">
        <v>39</v>
      </c>
      <c r="B42" s="80"/>
      <c r="C42" s="12">
        <f>July!C42+B42</f>
        <v>326</v>
      </c>
      <c r="D42" s="81"/>
      <c r="E42" s="12">
        <f>July!E42+D42</f>
        <v>3</v>
      </c>
      <c r="F42" s="59"/>
      <c r="G42" s="12">
        <f>July!G42+F42</f>
        <v>0</v>
      </c>
    </row>
    <row r="43" spans="1:7" x14ac:dyDescent="0.2">
      <c r="A43" s="11" t="s">
        <v>40</v>
      </c>
      <c r="B43" s="80"/>
      <c r="C43" s="12">
        <f>July!C43+B43</f>
        <v>0</v>
      </c>
      <c r="D43" s="81"/>
      <c r="E43" s="12">
        <f>July!E43+D43</f>
        <v>0</v>
      </c>
      <c r="F43" s="59"/>
      <c r="G43" s="12">
        <f>July!G43+F43</f>
        <v>0</v>
      </c>
    </row>
    <row r="44" spans="1:7" x14ac:dyDescent="0.2">
      <c r="A44" s="11" t="s">
        <v>41</v>
      </c>
      <c r="B44" s="80"/>
      <c r="C44" s="12">
        <f>July!C44+B44</f>
        <v>0</v>
      </c>
      <c r="D44" s="81"/>
      <c r="E44" s="12">
        <f>July!E44+D44</f>
        <v>0</v>
      </c>
      <c r="F44" s="59"/>
      <c r="G44" s="12">
        <f>July!G44+F44</f>
        <v>0</v>
      </c>
    </row>
    <row r="45" spans="1:7" x14ac:dyDescent="0.2">
      <c r="A45" s="11" t="s">
        <v>42</v>
      </c>
      <c r="B45" s="80">
        <f>1400+400+400+625+2420+400+625+2300+120+500+665+400+1100+1100+1285+1400+1400+600+600+600+60+150+80+128+160+4000+2054+2054+1400+435+620+620+400+400+400+1400+13515+45432</f>
        <v>91648</v>
      </c>
      <c r="C45" s="12">
        <f>July!C45+B45</f>
        <v>668812</v>
      </c>
      <c r="D45" s="81">
        <v>959</v>
      </c>
      <c r="E45" s="12">
        <f>July!E45+D45</f>
        <v>18608</v>
      </c>
      <c r="F45" s="59"/>
      <c r="G45" s="12">
        <f>July!G45+F45</f>
        <v>0</v>
      </c>
    </row>
    <row r="46" spans="1:7" x14ac:dyDescent="0.2">
      <c r="A46" s="11" t="s">
        <v>43</v>
      </c>
      <c r="B46" s="80"/>
      <c r="C46" s="12">
        <f>July!C46+B46</f>
        <v>0</v>
      </c>
      <c r="D46" s="81"/>
      <c r="E46" s="12">
        <f>July!E46+D46</f>
        <v>0</v>
      </c>
      <c r="F46" s="59"/>
      <c r="G46" s="12">
        <f>July!G46+F46</f>
        <v>0</v>
      </c>
    </row>
    <row r="47" spans="1:7" x14ac:dyDescent="0.2">
      <c r="A47" s="11" t="s">
        <v>44</v>
      </c>
      <c r="B47" s="80">
        <v>76111</v>
      </c>
      <c r="C47" s="12">
        <f>July!C47+B47</f>
        <v>340617</v>
      </c>
      <c r="D47" s="81">
        <f>1</f>
        <v>1</v>
      </c>
      <c r="E47" s="12">
        <f>July!E47+D47</f>
        <v>5514</v>
      </c>
      <c r="F47" s="59"/>
      <c r="G47" s="12">
        <f>July!G47+F47</f>
        <v>0</v>
      </c>
    </row>
    <row r="48" spans="1:7" x14ac:dyDescent="0.2">
      <c r="A48" s="11" t="s">
        <v>45</v>
      </c>
      <c r="B48" s="80">
        <v>34222</v>
      </c>
      <c r="C48" s="12">
        <f>July!C48+B48</f>
        <v>262989</v>
      </c>
      <c r="D48" s="81"/>
      <c r="E48" s="12">
        <f>July!E48+D48</f>
        <v>2</v>
      </c>
      <c r="F48" s="59"/>
      <c r="G48" s="12">
        <f>July!G48+F48</f>
        <v>0</v>
      </c>
    </row>
    <row r="49" spans="1:256" x14ac:dyDescent="0.2">
      <c r="A49" s="11" t="s">
        <v>46</v>
      </c>
      <c r="B49" s="80"/>
      <c r="C49" s="12">
        <f>July!C49+B49</f>
        <v>0</v>
      </c>
      <c r="D49" s="81"/>
      <c r="E49" s="12">
        <f>July!E49+D49</f>
        <v>0</v>
      </c>
      <c r="F49" s="59"/>
      <c r="G49" s="12">
        <f>July!G49+F49</f>
        <v>0</v>
      </c>
    </row>
    <row r="50" spans="1:256" x14ac:dyDescent="0.2">
      <c r="A50" s="11" t="s">
        <v>47</v>
      </c>
      <c r="B50" s="80"/>
      <c r="C50" s="12">
        <f>July!C50+B50</f>
        <v>4</v>
      </c>
      <c r="D50" s="81"/>
      <c r="E50" s="12">
        <f>July!E50+D50</f>
        <v>0</v>
      </c>
      <c r="F50" s="59"/>
      <c r="G50" s="12">
        <f>July!G50+F50</f>
        <v>0</v>
      </c>
    </row>
    <row r="51" spans="1:256" x14ac:dyDescent="0.2">
      <c r="A51" s="11" t="s">
        <v>48</v>
      </c>
      <c r="B51" s="80"/>
      <c r="C51" s="12">
        <f>July!C51+B51</f>
        <v>0</v>
      </c>
      <c r="D51" s="81"/>
      <c r="E51" s="12">
        <f>July!E51+D51</f>
        <v>2</v>
      </c>
      <c r="F51" s="59"/>
      <c r="G51" s="12">
        <f>July!G51+F51</f>
        <v>0</v>
      </c>
    </row>
    <row r="52" spans="1:256" x14ac:dyDescent="0.2">
      <c r="A52" s="11" t="s">
        <v>49</v>
      </c>
      <c r="B52" s="80"/>
      <c r="C52" s="12">
        <f>July!C52+B52</f>
        <v>0</v>
      </c>
      <c r="D52" s="81"/>
      <c r="E52" s="12">
        <f>July!E52+D52</f>
        <v>0</v>
      </c>
      <c r="F52" s="59"/>
      <c r="G52" s="12">
        <f>July!G52+F52</f>
        <v>0</v>
      </c>
    </row>
    <row r="53" spans="1:256" x14ac:dyDescent="0.2">
      <c r="A53" s="11" t="s">
        <v>50</v>
      </c>
      <c r="B53" s="80">
        <f>200+100+125+175+28+25+500+4+1100+1100+72+1200+2400+2400+150+250+180+200+220+240+200+120+200+200+240+4400</f>
        <v>16029</v>
      </c>
      <c r="C53" s="12">
        <f>July!C53+B53</f>
        <v>124023</v>
      </c>
      <c r="D53" s="81">
        <f>20+13+14+1100</f>
        <v>1147</v>
      </c>
      <c r="E53" s="12">
        <f>July!E53+D53</f>
        <v>1342</v>
      </c>
      <c r="F53" s="59"/>
      <c r="G53" s="12">
        <f>July!G53+F53</f>
        <v>0</v>
      </c>
    </row>
    <row r="54" spans="1:256" ht="15.75" thickBot="1" x14ac:dyDescent="0.25">
      <c r="A54" s="11" t="s">
        <v>51</v>
      </c>
      <c r="B54" s="80">
        <f>14360+1975</f>
        <v>16335</v>
      </c>
      <c r="C54" s="12">
        <f>July!C54+B54</f>
        <v>90762</v>
      </c>
      <c r="D54" s="81"/>
      <c r="E54" s="12">
        <f>July!E54+D54</f>
        <v>1</v>
      </c>
      <c r="F54" s="59"/>
      <c r="G54" s="12">
        <f>July!G54+F54</f>
        <v>0</v>
      </c>
    </row>
    <row r="55" spans="1:256" ht="26.1" customHeight="1" thickBot="1" x14ac:dyDescent="0.25">
      <c r="A55" s="13" t="s">
        <v>53</v>
      </c>
      <c r="B55" s="14">
        <f>SUM(B7:B54)</f>
        <v>2473103</v>
      </c>
      <c r="C55" s="14">
        <f>July!C55+B55</f>
        <v>17373331</v>
      </c>
      <c r="D55" s="14">
        <f>SUM(D7:D54)</f>
        <v>16671</v>
      </c>
      <c r="E55" s="14">
        <f>July!E55+D55</f>
        <v>153318</v>
      </c>
      <c r="F55" s="14">
        <f>SUM(F7:F54)</f>
        <v>9598</v>
      </c>
      <c r="G55" s="14">
        <f>July!G55+F55</f>
        <v>77850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0</v>
      </c>
      <c r="E58" s="17"/>
    </row>
    <row r="59" spans="1:256" x14ac:dyDescent="0.2">
      <c r="A59" s="1" t="s">
        <v>56</v>
      </c>
      <c r="B59" s="22"/>
      <c r="C59" s="22">
        <v>9812</v>
      </c>
      <c r="D59" s="23">
        <f>July!D59+C59</f>
        <v>45474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>
        <f>200+135+115+120+120+360+160+135+200+115+45+300+160+45+5635+1300+1124+2328+210+1600+140+204+675+8+10+108+8+108+28+8+8+10+96+8015</f>
        <v>23833</v>
      </c>
      <c r="D62" s="23">
        <f>July!D62+C62</f>
        <v>205096</v>
      </c>
    </row>
    <row r="63" spans="1:256" x14ac:dyDescent="0.2">
      <c r="A63" s="1" t="s">
        <v>65</v>
      </c>
      <c r="B63" s="22"/>
      <c r="C63" s="22">
        <f>45+45+45+45+45+45+80+80+80+80+80+80+320+3+180+180+180+320+320+320+320+270+240+240+270+45+45+45+45+106+52+52+106+275+150+150+150+150+40+40+40+40+8+15+200+80+80+80+80+60+60+60+60+60+60+20+20+20+20+706+145+233+314+13+650+50</f>
        <v>8538</v>
      </c>
      <c r="D63" s="23">
        <f>July!D63+C63</f>
        <v>104142</v>
      </c>
    </row>
    <row r="64" spans="1:256" x14ac:dyDescent="0.2">
      <c r="A64" s="1" t="s">
        <v>63</v>
      </c>
      <c r="B64" s="22"/>
      <c r="C64" s="22">
        <f>45+45+45+45+45+45+80+80+80+80+80+80+320+320+320+320+320+52+106+52+106+52+106+20+20+20+20+20+20+150+150+150+150+150+150+60+60+60+60+60+60+40+40+40+40+40+40+275+275+275+275+380+160+60+60+60+200+174+297+140+657+224+217+390+240+270+240+270+240+270+100+100+100+100+100+50+35+35+35+35+102+70+85+70+65+210+160+220+150+190+160+80+160+80+160+80+110+160+180+80+45+45+45+45+45+100+40+100+40+100+55+15+10+15+10+15+140+175+175+175+175+22+64+22+64+22+64+22+64+64+45+65+45+65+45+35+35+148+130+20+115+85+115+85+115+360+300+200+300+200+300+200+200+160+115+200+130+125+115+200+200+160+115+115+125+130+200+115+160+200+200+200+200+205+150+180+185+200+200+205+150+180+185+205+200+200+402+100+80+90+20+15+85+115+85+115+115+115+115+200+130+200+130+130+200+200+200+200+200+125+160+125+160+125+200+300+200+300+200+150+200+150+200+150+180+200+180+200+180+185+205+180+205+185+65+45+65+45+65+45+40+160+160+160+160+160+80+80+80+80+80+45+45+16+45+45+40+100+40+100+40+205+125+175+210+125+120+155+175+135+140+130+90+130+90+130+80+160+80+160+160+80+160+175+140+155+150+190+33+45+100+100+45+65+45+145+110+23+40+200+200+205+185+180+150+205+200+200+115+160+200+200+115+160+200+200+115+125+130+200+300+200+250</f>
        <v>43090</v>
      </c>
      <c r="D64" s="23">
        <f>July!D64+C64</f>
        <v>221195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>
        <f>70+240+65+3+140+90+65+70+75+140+90+120+30+160+45+200+90+506+1353+627+1046+150+176+65+70+120+30+90+140+75+70+35+40+65+75+145+59+6+70+67+8+30+140+65+70+240+30+90+90+140+854</f>
        <v>8530</v>
      </c>
      <c r="D66" s="23">
        <f>July!D66+C66</f>
        <v>43416</v>
      </c>
    </row>
    <row r="67" spans="1:4" x14ac:dyDescent="0.2">
      <c r="A67" s="1" t="s">
        <v>62</v>
      </c>
      <c r="C67" s="22">
        <v>1100</v>
      </c>
      <c r="D67" s="23">
        <f>July!D67+C67</f>
        <v>6249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20" zoomScaleNormal="120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73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0"/>
      <c r="C7" s="12">
        <f>August!C7+B7</f>
        <v>12079</v>
      </c>
      <c r="D7" s="81"/>
      <c r="E7" s="12">
        <f>August!E7+D7</f>
        <v>0</v>
      </c>
      <c r="F7" s="59"/>
      <c r="G7" s="12">
        <f>August!G7+F7</f>
        <v>0</v>
      </c>
    </row>
    <row r="8" spans="1:256" ht="15" customHeight="1" x14ac:dyDescent="0.2">
      <c r="A8" s="11" t="s">
        <v>64</v>
      </c>
      <c r="B8" s="80"/>
      <c r="C8" s="12">
        <f>August!C8+B8</f>
        <v>37</v>
      </c>
      <c r="D8" s="81"/>
      <c r="E8" s="12">
        <f>August!E8+D8</f>
        <v>0</v>
      </c>
      <c r="F8" s="59"/>
      <c r="G8" s="12">
        <f>August!G8+F8</f>
        <v>0</v>
      </c>
    </row>
    <row r="9" spans="1:256" ht="15" customHeight="1" x14ac:dyDescent="0.2">
      <c r="A9" s="11" t="s">
        <v>7</v>
      </c>
      <c r="B9" s="80">
        <f>1050+1050+275+775+1050+675+375+1050+1050+1050+1050+2421+1902+2350+2429+475+475+850+850+475+850+475+900</f>
        <v>23902</v>
      </c>
      <c r="C9" s="12">
        <f>August!C9+B9</f>
        <v>232075</v>
      </c>
      <c r="D9" s="81"/>
      <c r="E9" s="12">
        <f>August!E9+D9</f>
        <v>6</v>
      </c>
      <c r="F9" s="59"/>
      <c r="G9" s="12">
        <f>August!G9+F9</f>
        <v>0</v>
      </c>
    </row>
    <row r="10" spans="1:256" ht="15" customHeight="1" x14ac:dyDescent="0.2">
      <c r="A10" s="11" t="s">
        <v>8</v>
      </c>
      <c r="B10" s="80"/>
      <c r="C10" s="12">
        <f>August!C10+B10</f>
        <v>91</v>
      </c>
      <c r="D10" s="81"/>
      <c r="E10" s="12">
        <f>August!E10+D10</f>
        <v>27</v>
      </c>
      <c r="F10" s="59"/>
      <c r="G10" s="12">
        <f>August!G10+F10</f>
        <v>0</v>
      </c>
    </row>
    <row r="11" spans="1:256" ht="15" customHeight="1" x14ac:dyDescent="0.2">
      <c r="A11" s="92" t="s">
        <v>52</v>
      </c>
      <c r="B11" s="77">
        <v>194606</v>
      </c>
      <c r="C11" s="12">
        <f>August!C11+B11</f>
        <v>1611987</v>
      </c>
      <c r="D11" s="79">
        <v>3226</v>
      </c>
      <c r="E11" s="12">
        <f>August!E11+D11</f>
        <v>22575</v>
      </c>
      <c r="F11" s="59">
        <v>10615</v>
      </c>
      <c r="G11" s="12">
        <f>August!G11+F11</f>
        <v>85085</v>
      </c>
    </row>
    <row r="12" spans="1:256" ht="15" customHeight="1" x14ac:dyDescent="0.2">
      <c r="A12" s="11" t="s">
        <v>9</v>
      </c>
      <c r="B12" s="80">
        <f>3+1800+1317+1141+1858+659+694+1700+1774+850+1699+1650+1650+1650+1507+1923+1300+1925+443+51055+28700</f>
        <v>105298</v>
      </c>
      <c r="C12" s="12">
        <f>August!C12+B12</f>
        <v>890263</v>
      </c>
      <c r="D12" s="81"/>
      <c r="E12" s="12">
        <f>August!E12+D12</f>
        <v>900</v>
      </c>
      <c r="F12" s="59"/>
      <c r="G12" s="12">
        <f>August!G12+F12</f>
        <v>0</v>
      </c>
    </row>
    <row r="13" spans="1:256" ht="15" customHeight="1" x14ac:dyDescent="0.2">
      <c r="A13" s="11" t="s">
        <v>10</v>
      </c>
      <c r="B13" s="80"/>
      <c r="C13" s="12">
        <f>August!C13+B13</f>
        <v>0</v>
      </c>
      <c r="D13" s="81"/>
      <c r="E13" s="12">
        <f>August!E13+D13</f>
        <v>0</v>
      </c>
      <c r="F13" s="59"/>
      <c r="G13" s="12">
        <f>August!G13+F13</f>
        <v>0</v>
      </c>
    </row>
    <row r="14" spans="1:256" ht="15" customHeight="1" x14ac:dyDescent="0.2">
      <c r="A14" s="11" t="s">
        <v>11</v>
      </c>
      <c r="B14" s="80"/>
      <c r="C14" s="12">
        <f>August!C14+B14</f>
        <v>0</v>
      </c>
      <c r="D14" s="81"/>
      <c r="E14" s="12">
        <f>August!E14+D14</f>
        <v>0</v>
      </c>
      <c r="F14" s="59"/>
      <c r="G14" s="12">
        <f>August!G14+F14</f>
        <v>0</v>
      </c>
    </row>
    <row r="15" spans="1:256" ht="15" customHeight="1" x14ac:dyDescent="0.2">
      <c r="A15" s="11" t="s">
        <v>12</v>
      </c>
      <c r="B15" s="80"/>
      <c r="C15" s="12">
        <f>August!C15+B15</f>
        <v>0</v>
      </c>
      <c r="D15" s="81"/>
      <c r="E15" s="12">
        <f>August!E15+D15</f>
        <v>2</v>
      </c>
      <c r="F15" s="59"/>
      <c r="G15" s="12">
        <f>August!G15+F15</f>
        <v>0</v>
      </c>
    </row>
    <row r="16" spans="1:256" ht="15" customHeight="1" x14ac:dyDescent="0.2">
      <c r="A16" s="11" t="s">
        <v>13</v>
      </c>
      <c r="B16" s="80"/>
      <c r="C16" s="12">
        <f>August!C16+B16</f>
        <v>5578</v>
      </c>
      <c r="D16" s="81"/>
      <c r="E16" s="12">
        <f>August!E16+D16</f>
        <v>0</v>
      </c>
      <c r="F16" s="59"/>
      <c r="G16" s="12">
        <f>August!G16+F16</f>
        <v>0</v>
      </c>
    </row>
    <row r="17" spans="1:7" ht="15" customHeight="1" x14ac:dyDescent="0.2">
      <c r="A17" s="11" t="s">
        <v>14</v>
      </c>
      <c r="B17" s="80"/>
      <c r="C17" s="12">
        <f>August!C17+B17</f>
        <v>0</v>
      </c>
      <c r="D17" s="81"/>
      <c r="E17" s="12">
        <f>August!E17+D17</f>
        <v>0</v>
      </c>
      <c r="F17" s="59"/>
      <c r="G17" s="12">
        <f>August!G17+F17</f>
        <v>0</v>
      </c>
    </row>
    <row r="18" spans="1:7" ht="15" customHeight="1" x14ac:dyDescent="0.2">
      <c r="A18" s="11" t="s">
        <v>15</v>
      </c>
      <c r="B18" s="80">
        <f>768+741+1050+500+850+1200+815+130+550+900+1060+1060+744+732+751+593+675+749+718+697+575+1725+1433+733+1140+570+1140+734+1260+1260+1200+1200+1200+1200+1200+900+814+1598+1200+330+1450+1200+1060+1100+1100+290+1060+1240+1186+1450+575+725+83+1300+1144+1874+1000+1250+530+1200+1300+1000+900+824+500+1674+1230+1654+1300+1300+1300+1300+1207+1208+1240+900+1040+1069+1080+891+1040+900+1160+267+983+1757+1549+120+812+1300+1300+320+1200+410+1600+875+847+150+1530+320+1757+1200+1122+1300+1300+1300+291730+138114</f>
        <v>536692</v>
      </c>
      <c r="C18" s="12">
        <f>August!C18+B18</f>
        <v>3942799</v>
      </c>
      <c r="D18" s="81">
        <f>940+130</f>
        <v>1070</v>
      </c>
      <c r="E18" s="12">
        <f>August!E18+D18</f>
        <v>12260</v>
      </c>
      <c r="F18" s="59"/>
      <c r="G18" s="12">
        <f>August!G18+F18</f>
        <v>0</v>
      </c>
    </row>
    <row r="19" spans="1:7" ht="15" customHeight="1" x14ac:dyDescent="0.2">
      <c r="A19" s="11" t="s">
        <v>16</v>
      </c>
      <c r="B19" s="80">
        <f>1200+1200+2+158+1400+1250+1300+1400+1250+130+1200+930+32329+16710</f>
        <v>60459</v>
      </c>
      <c r="C19" s="12">
        <f>August!C19+B19</f>
        <v>405164</v>
      </c>
      <c r="D19" s="81">
        <f>158</f>
        <v>158</v>
      </c>
      <c r="E19" s="12">
        <f>August!E19+D19</f>
        <v>887</v>
      </c>
      <c r="F19" s="59"/>
      <c r="G19" s="12">
        <f>August!G19+F19</f>
        <v>0</v>
      </c>
    </row>
    <row r="20" spans="1:7" ht="15" customHeight="1" x14ac:dyDescent="0.2">
      <c r="A20" s="11" t="s">
        <v>17</v>
      </c>
      <c r="B20" s="80">
        <f>850+1470+80+230+600+1000+1000+2000+6+14328</f>
        <v>21564</v>
      </c>
      <c r="C20" s="12">
        <f>August!C20+B20</f>
        <v>240224</v>
      </c>
      <c r="D20" s="81">
        <f>35+40+1074</f>
        <v>1149</v>
      </c>
      <c r="E20" s="12">
        <f>August!E20+D20</f>
        <v>9848</v>
      </c>
      <c r="F20" s="59"/>
      <c r="G20" s="12">
        <f>August!G20+F20</f>
        <v>0</v>
      </c>
    </row>
    <row r="21" spans="1:7" ht="15" customHeight="1" x14ac:dyDescent="0.2">
      <c r="A21" s="11" t="s">
        <v>18</v>
      </c>
      <c r="B21" s="80">
        <f>1330</f>
        <v>1330</v>
      </c>
      <c r="C21" s="12">
        <f>August!C21+B21</f>
        <v>23627</v>
      </c>
      <c r="D21" s="81">
        <f>150+3</f>
        <v>153</v>
      </c>
      <c r="E21" s="12">
        <f>August!E21+D21</f>
        <v>1305</v>
      </c>
      <c r="F21" s="59"/>
      <c r="G21" s="12">
        <f>August!G21+F21</f>
        <v>0</v>
      </c>
    </row>
    <row r="22" spans="1:7" ht="15" customHeight="1" x14ac:dyDescent="0.2">
      <c r="A22" s="11" t="s">
        <v>19</v>
      </c>
      <c r="B22" s="80"/>
      <c r="C22" s="12">
        <f>August!C22+B22</f>
        <v>3</v>
      </c>
      <c r="D22" s="81"/>
      <c r="E22" s="12">
        <f>August!E22+D22</f>
        <v>14</v>
      </c>
      <c r="F22" s="59"/>
      <c r="G22" s="12">
        <f>August!G22+F22</f>
        <v>0</v>
      </c>
    </row>
    <row r="23" spans="1:7" ht="15" customHeight="1" x14ac:dyDescent="0.2">
      <c r="A23" s="11" t="s">
        <v>20</v>
      </c>
      <c r="B23" s="80"/>
      <c r="C23" s="12">
        <f>August!C23+B23</f>
        <v>0</v>
      </c>
      <c r="D23" s="81"/>
      <c r="E23" s="12">
        <f>August!E23+D23</f>
        <v>0</v>
      </c>
      <c r="F23" s="59"/>
      <c r="G23" s="12">
        <f>August!G23+F23</f>
        <v>0</v>
      </c>
    </row>
    <row r="24" spans="1:7" ht="15" customHeight="1" x14ac:dyDescent="0.2">
      <c r="A24" s="11" t="s">
        <v>21</v>
      </c>
      <c r="B24" s="80"/>
      <c r="C24" s="12">
        <f>August!C24+B24</f>
        <v>0</v>
      </c>
      <c r="D24" s="81"/>
      <c r="E24" s="12">
        <f>August!E24+D24</f>
        <v>0</v>
      </c>
      <c r="F24" s="59"/>
      <c r="G24" s="12">
        <f>August!G24+F24</f>
        <v>0</v>
      </c>
    </row>
    <row r="25" spans="1:7" ht="15" customHeight="1" x14ac:dyDescent="0.2">
      <c r="A25" s="11" t="s">
        <v>22</v>
      </c>
      <c r="B25" s="80"/>
      <c r="C25" s="12">
        <f>August!C25+B25</f>
        <v>0</v>
      </c>
      <c r="D25" s="81"/>
      <c r="E25" s="12">
        <f>August!E25+D25</f>
        <v>0</v>
      </c>
      <c r="F25" s="59"/>
      <c r="G25" s="12">
        <f>August!G25+F25</f>
        <v>0</v>
      </c>
    </row>
    <row r="26" spans="1:7" ht="15" customHeight="1" x14ac:dyDescent="0.2">
      <c r="A26" s="11" t="s">
        <v>23</v>
      </c>
      <c r="B26" s="80"/>
      <c r="C26" s="12">
        <f>August!C26+B26</f>
        <v>14733</v>
      </c>
      <c r="D26" s="81">
        <v>3166</v>
      </c>
      <c r="E26" s="12">
        <f>August!E26+D26</f>
        <v>9346</v>
      </c>
      <c r="F26" s="59"/>
      <c r="G26" s="12">
        <f>August!G26+F26</f>
        <v>0</v>
      </c>
    </row>
    <row r="27" spans="1:7" ht="15" customHeight="1" x14ac:dyDescent="0.2">
      <c r="A27" s="11" t="s">
        <v>24</v>
      </c>
      <c r="B27" s="80">
        <f>30+136+90+904+2500+500+650+430+560+560+560+560+560+650+650+800+1000+1000+1000+510+2040+300+300+560+1000+1980+2400+500+800+650+2400+340+685+650+350+420+600+220+1200+500+1000+1000+500+500+500+500+500+650+650+600+560+560+560+1500+350+1190+1200+410+575+575+5+2+2028+2056+3000+540+375+650+650+700+700+410+280+650+180+600+645+690+610+2400+2000+2000+370+600+600+1030+650+650+650+550+550+650+30+1335+1335+140+100+2400+35+2056+2056+280+275+375+410+410+405+2150+450+600+1210+1180+1180+2100+560+850+2+25+30+500+2+300+360+280+540+410+375+275+975+800+300+675+340+420+550+2000+2000+300+655+650+78451+34925</f>
        <v>220958</v>
      </c>
      <c r="C27" s="12">
        <f>August!C27+B27</f>
        <v>2112888</v>
      </c>
      <c r="D27" s="81">
        <f>5+1+200+3+2+305+1+1+1+1+1+26+220+102+240+1106</f>
        <v>2215</v>
      </c>
      <c r="E27" s="12">
        <f>August!E27+D27</f>
        <v>37987</v>
      </c>
      <c r="F27" s="59"/>
      <c r="G27" s="12">
        <f>August!G27+F27</f>
        <v>860</v>
      </c>
    </row>
    <row r="28" spans="1:7" ht="15" customHeight="1" x14ac:dyDescent="0.2">
      <c r="A28" s="11" t="s">
        <v>25</v>
      </c>
      <c r="B28" s="80">
        <f>496+864+1140+60315</f>
        <v>62815</v>
      </c>
      <c r="C28" s="12">
        <f>August!C28+B28</f>
        <v>622359</v>
      </c>
      <c r="D28" s="81"/>
      <c r="E28" s="12">
        <f>August!E28+D28</f>
        <v>890</v>
      </c>
      <c r="F28" s="59"/>
      <c r="G28" s="12">
        <f>August!G28+F28</f>
        <v>0</v>
      </c>
    </row>
    <row r="29" spans="1:7" ht="15" customHeight="1" x14ac:dyDescent="0.2">
      <c r="A29" s="11" t="s">
        <v>26</v>
      </c>
      <c r="B29" s="80">
        <f>2500+910+1520+1823+1070+1250+1839+1830+1000+1000+1000+1000+540+1076+619+1236+160+1510+755+360+360+1000+1000+1075+1075+512+513+2+1250+1000+1525+1525+1835+1835+1220+1740+1368+2238+1262+1836+612+2001+1336+668+21+230+600+600+600+600+10+3420+1050+1250+1250+780+780+2500+1497+1650+900+1450+800+1470+1200+1450+1869+1889+1865+1857+1847+2500+2490+1650+1+3893+750+750+750+1100+1100+1100+1100+1100+120+2316+1420+1544+638+637+715+720+1272+1000+2300+3393+1300+2600+2600+3600+1250+1325+665+780+765+1370+1570+2390+2571+1330+1100+2500+1025+1025+1000+1000+1200+211015+64976</f>
        <v>428537</v>
      </c>
      <c r="C29" s="12">
        <f>August!C29+B29</f>
        <v>3261224</v>
      </c>
      <c r="D29" s="81">
        <f>20+2003</f>
        <v>2023</v>
      </c>
      <c r="E29" s="12">
        <f>August!E29+D29</f>
        <v>15444</v>
      </c>
      <c r="F29" s="59"/>
      <c r="G29" s="12">
        <f>August!G29+F29</f>
        <v>2520</v>
      </c>
    </row>
    <row r="30" spans="1:7" ht="15" customHeight="1" x14ac:dyDescent="0.2">
      <c r="A30" s="11" t="s">
        <v>27</v>
      </c>
      <c r="B30" s="80">
        <v>4795</v>
      </c>
      <c r="C30" s="12">
        <f>August!C30+B30</f>
        <v>44260</v>
      </c>
      <c r="D30" s="81"/>
      <c r="E30" s="12">
        <f>August!E30+D30</f>
        <v>0</v>
      </c>
      <c r="F30" s="59"/>
      <c r="G30" s="12">
        <f>August!G30+F30</f>
        <v>0</v>
      </c>
    </row>
    <row r="31" spans="1:7" ht="15" customHeight="1" x14ac:dyDescent="0.2">
      <c r="A31" s="11" t="s">
        <v>28</v>
      </c>
      <c r="B31" s="80">
        <f>500+700+800+700+700+850+700+700+700+250+400+1200+200+500+1200+650+700+600+950+1050+4525+165+600+600+1626+1100+1626+1626+575+575+300+2025+145+1722+1722+1722+1157+550+1350+700+700+700+700+1250+700+700+700+1300+46+475+1000+600+600+1000+750+1200+145+1225+1200+800+650+1075+1250+1450+490+700+1150+26+55+1025+165+109627+25945</f>
        <v>197860</v>
      </c>
      <c r="C31" s="12">
        <f>August!C31+B31</f>
        <v>1851043</v>
      </c>
      <c r="D31" s="81">
        <f>30+120+60+40+110+45+110+3+13+2+6+2+130+44+120+4+45+45+60+16+7+5+3</f>
        <v>1020</v>
      </c>
      <c r="E31" s="12">
        <f>August!E31+D31</f>
        <v>17150</v>
      </c>
      <c r="F31" s="59"/>
      <c r="G31" s="12">
        <f>August!G31+F31</f>
        <v>0</v>
      </c>
    </row>
    <row r="32" spans="1:7" ht="15" customHeight="1" x14ac:dyDescent="0.2">
      <c r="A32" s="11" t="s">
        <v>29</v>
      </c>
      <c r="B32" s="80"/>
      <c r="C32" s="12">
        <f>August!C32+B32</f>
        <v>0</v>
      </c>
      <c r="D32" s="81"/>
      <c r="E32" s="12">
        <f>August!E32+D32</f>
        <v>0</v>
      </c>
      <c r="F32" s="59"/>
      <c r="G32" s="12">
        <f>August!G32+F32</f>
        <v>0</v>
      </c>
    </row>
    <row r="33" spans="1:7" ht="15" customHeight="1" x14ac:dyDescent="0.2">
      <c r="A33" s="11" t="s">
        <v>30</v>
      </c>
      <c r="B33" s="80"/>
      <c r="C33" s="12">
        <f>August!C33+B33</f>
        <v>0</v>
      </c>
      <c r="D33" s="81"/>
      <c r="E33" s="12">
        <f>August!E33+D33</f>
        <v>0</v>
      </c>
      <c r="F33" s="59"/>
      <c r="G33" s="12">
        <f>August!G33+F33</f>
        <v>0</v>
      </c>
    </row>
    <row r="34" spans="1:7" ht="15" customHeight="1" x14ac:dyDescent="0.2">
      <c r="A34" s="11" t="s">
        <v>31</v>
      </c>
      <c r="B34" s="80"/>
      <c r="C34" s="12">
        <f>August!C34+B34</f>
        <v>0</v>
      </c>
      <c r="D34" s="81"/>
      <c r="E34" s="12">
        <f>August!E34+D34</f>
        <v>0</v>
      </c>
      <c r="F34" s="59"/>
      <c r="G34" s="12">
        <f>August!G34+F34</f>
        <v>0</v>
      </c>
    </row>
    <row r="35" spans="1:7" ht="15" customHeight="1" x14ac:dyDescent="0.2">
      <c r="A35" s="11" t="s">
        <v>32</v>
      </c>
      <c r="B35" s="80"/>
      <c r="C35" s="12">
        <f>August!C35+B35</f>
        <v>0</v>
      </c>
      <c r="D35" s="81"/>
      <c r="E35" s="12">
        <f>August!E35+D35</f>
        <v>0</v>
      </c>
      <c r="F35" s="59"/>
      <c r="G35" s="12">
        <f>August!G35+F35</f>
        <v>0</v>
      </c>
    </row>
    <row r="36" spans="1:7" ht="15" customHeight="1" x14ac:dyDescent="0.2">
      <c r="A36" s="11" t="s">
        <v>33</v>
      </c>
      <c r="B36" s="80"/>
      <c r="C36" s="12">
        <f>August!C36+B36</f>
        <v>8</v>
      </c>
      <c r="D36" s="81"/>
      <c r="E36" s="12">
        <f>August!E36+D36</f>
        <v>0</v>
      </c>
      <c r="F36" s="59"/>
      <c r="G36" s="12">
        <f>August!G36+F36</f>
        <v>0</v>
      </c>
    </row>
    <row r="37" spans="1:7" ht="15" customHeight="1" x14ac:dyDescent="0.2">
      <c r="A37" s="11" t="s">
        <v>34</v>
      </c>
      <c r="B37" s="80">
        <f>84177+12700</f>
        <v>96877</v>
      </c>
      <c r="C37" s="12">
        <f>August!C37+B37</f>
        <v>783216</v>
      </c>
      <c r="D37" s="81"/>
      <c r="E37" s="12">
        <f>August!E37+D37</f>
        <v>0</v>
      </c>
      <c r="F37" s="59"/>
      <c r="G37" s="12">
        <f>August!G37+F37</f>
        <v>0</v>
      </c>
    </row>
    <row r="38" spans="1:7" ht="15" customHeight="1" x14ac:dyDescent="0.2">
      <c r="A38" s="11" t="s">
        <v>35</v>
      </c>
      <c r="B38" s="80">
        <v>27025</v>
      </c>
      <c r="C38" s="12">
        <f>August!C38+B38</f>
        <v>255109</v>
      </c>
      <c r="D38" s="81">
        <v>321</v>
      </c>
      <c r="E38" s="12">
        <f>August!E38+D38</f>
        <v>1423</v>
      </c>
      <c r="F38" s="59"/>
      <c r="G38" s="12">
        <f>August!G38+F38</f>
        <v>0</v>
      </c>
    </row>
    <row r="39" spans="1:7" ht="15" customHeight="1" x14ac:dyDescent="0.2">
      <c r="A39" s="11" t="s">
        <v>36</v>
      </c>
      <c r="B39" s="80">
        <f>1250+250+2200+19831</f>
        <v>23531</v>
      </c>
      <c r="C39" s="12">
        <f>August!C39+B39</f>
        <v>122312</v>
      </c>
      <c r="D39" s="81">
        <v>800</v>
      </c>
      <c r="E39" s="12">
        <f>August!E39+D39</f>
        <v>8708</v>
      </c>
      <c r="F39" s="59"/>
      <c r="G39" s="12">
        <f>August!G39+F39</f>
        <v>0</v>
      </c>
    </row>
    <row r="40" spans="1:7" ht="15" customHeight="1" x14ac:dyDescent="0.2">
      <c r="A40" s="11" t="s">
        <v>37</v>
      </c>
      <c r="B40" s="80">
        <f>2035+400+109+2160+570+2120+2035+2160+821+2160+198698</f>
        <v>213268</v>
      </c>
      <c r="C40" s="12">
        <f>August!C40+B40</f>
        <v>1674236</v>
      </c>
      <c r="D40" s="81">
        <v>1150</v>
      </c>
      <c r="E40" s="12">
        <f>August!E40+D40</f>
        <v>5525</v>
      </c>
      <c r="F40" s="59"/>
      <c r="G40" s="12">
        <f>August!G40+F40</f>
        <v>0</v>
      </c>
    </row>
    <row r="41" spans="1:7" ht="15" customHeight="1" x14ac:dyDescent="0.2">
      <c r="A41" s="11" t="s">
        <v>38</v>
      </c>
      <c r="B41" s="80"/>
      <c r="C41" s="12">
        <f>August!C41+B41</f>
        <v>0</v>
      </c>
      <c r="D41" s="81"/>
      <c r="E41" s="12">
        <f>August!E41+D41</f>
        <v>0</v>
      </c>
      <c r="F41" s="59"/>
      <c r="G41" s="12">
        <f>August!G41+F41</f>
        <v>0</v>
      </c>
    </row>
    <row r="42" spans="1:7" ht="15" customHeight="1" x14ac:dyDescent="0.2">
      <c r="A42" s="11" t="s">
        <v>39</v>
      </c>
      <c r="B42" s="80"/>
      <c r="C42" s="12">
        <f>August!C42+B42</f>
        <v>326</v>
      </c>
      <c r="D42" s="81">
        <f>1</f>
        <v>1</v>
      </c>
      <c r="E42" s="12">
        <f>August!E42+D42</f>
        <v>4</v>
      </c>
      <c r="F42" s="59"/>
      <c r="G42" s="12">
        <f>August!G42+F42</f>
        <v>0</v>
      </c>
    </row>
    <row r="43" spans="1:7" ht="15" customHeight="1" x14ac:dyDescent="0.2">
      <c r="A43" s="11" t="s">
        <v>40</v>
      </c>
      <c r="B43" s="80"/>
      <c r="C43" s="12">
        <f>August!C43+B43</f>
        <v>0</v>
      </c>
      <c r="D43" s="81"/>
      <c r="E43" s="12">
        <f>August!E43+D43</f>
        <v>0</v>
      </c>
      <c r="F43" s="59"/>
      <c r="G43" s="12">
        <f>August!G43+F43</f>
        <v>0</v>
      </c>
    </row>
    <row r="44" spans="1:7" ht="15" customHeight="1" x14ac:dyDescent="0.2">
      <c r="A44" s="11" t="s">
        <v>41</v>
      </c>
      <c r="B44" s="80"/>
      <c r="C44" s="12">
        <f>August!C44+B44</f>
        <v>0</v>
      </c>
      <c r="D44" s="81"/>
      <c r="E44" s="12">
        <f>August!E44+D44</f>
        <v>0</v>
      </c>
      <c r="F44" s="59"/>
      <c r="G44" s="12">
        <f>August!G44+F44</f>
        <v>0</v>
      </c>
    </row>
    <row r="45" spans="1:7" ht="15" customHeight="1" x14ac:dyDescent="0.2">
      <c r="A45" s="11" t="s">
        <v>42</v>
      </c>
      <c r="B45" s="80">
        <f>400+600+725+725+500+700+400+620+2400+396+850+850+620+620+50+170+128+100+240+1400+1500+650+500+650+400+1500+600+1400+3000+10384+43837</f>
        <v>76915</v>
      </c>
      <c r="C45" s="12">
        <f>August!C45+B45</f>
        <v>745727</v>
      </c>
      <c r="D45" s="81">
        <f>1+1+2619</f>
        <v>2621</v>
      </c>
      <c r="E45" s="12">
        <f>August!E45+D45</f>
        <v>21229</v>
      </c>
      <c r="F45" s="59"/>
      <c r="G45" s="12">
        <f>August!G45+F45</f>
        <v>0</v>
      </c>
    </row>
    <row r="46" spans="1:7" ht="15" customHeight="1" x14ac:dyDescent="0.2">
      <c r="A46" s="11" t="s">
        <v>43</v>
      </c>
      <c r="B46" s="80"/>
      <c r="C46" s="12">
        <f>August!C46+B46</f>
        <v>0</v>
      </c>
      <c r="D46" s="81"/>
      <c r="E46" s="12">
        <f>August!E46+D46</f>
        <v>0</v>
      </c>
      <c r="F46" s="59"/>
      <c r="G46" s="12">
        <f>August!G46+F46</f>
        <v>0</v>
      </c>
    </row>
    <row r="47" spans="1:7" ht="15" customHeight="1" x14ac:dyDescent="0.2">
      <c r="A47" s="11" t="s">
        <v>44</v>
      </c>
      <c r="B47" s="80">
        <v>59401</v>
      </c>
      <c r="C47" s="12">
        <f>August!C47+B47</f>
        <v>400018</v>
      </c>
      <c r="D47" s="81"/>
      <c r="E47" s="12">
        <f>August!E47+D47</f>
        <v>5514</v>
      </c>
      <c r="F47" s="59"/>
      <c r="G47" s="12">
        <f>August!G47+F47</f>
        <v>0</v>
      </c>
    </row>
    <row r="48" spans="1:7" ht="15" customHeight="1" x14ac:dyDescent="0.2">
      <c r="A48" s="11" t="s">
        <v>45</v>
      </c>
      <c r="B48" s="80">
        <v>20918</v>
      </c>
      <c r="C48" s="12">
        <f>August!C48+B48</f>
        <v>283907</v>
      </c>
      <c r="D48" s="81"/>
      <c r="E48" s="12">
        <f>August!E48+D48</f>
        <v>2</v>
      </c>
      <c r="F48" s="59"/>
      <c r="G48" s="12">
        <f>August!G48+F48</f>
        <v>0</v>
      </c>
    </row>
    <row r="49" spans="1:256" ht="15" customHeight="1" x14ac:dyDescent="0.2">
      <c r="A49" s="11" t="s">
        <v>46</v>
      </c>
      <c r="B49" s="80"/>
      <c r="C49" s="12">
        <f>August!C49+B49</f>
        <v>0</v>
      </c>
      <c r="D49" s="81"/>
      <c r="E49" s="12">
        <f>August!E49+D49</f>
        <v>0</v>
      </c>
      <c r="F49" s="59"/>
      <c r="G49" s="12">
        <f>August!G49+F49</f>
        <v>0</v>
      </c>
    </row>
    <row r="50" spans="1:256" ht="15" customHeight="1" x14ac:dyDescent="0.2">
      <c r="A50" s="11" t="s">
        <v>47</v>
      </c>
      <c r="B50" s="80"/>
      <c r="C50" s="12">
        <f>August!C50+B50</f>
        <v>4</v>
      </c>
      <c r="D50" s="81"/>
      <c r="E50" s="12">
        <f>August!E50+D50</f>
        <v>0</v>
      </c>
      <c r="F50" s="59"/>
      <c r="G50" s="12">
        <f>August!G50+F50</f>
        <v>0</v>
      </c>
    </row>
    <row r="51" spans="1:256" ht="15" customHeight="1" x14ac:dyDescent="0.2">
      <c r="A51" s="11" t="s">
        <v>48</v>
      </c>
      <c r="B51" s="80"/>
      <c r="C51" s="12">
        <f>August!C51+B51</f>
        <v>0</v>
      </c>
      <c r="D51" s="81"/>
      <c r="E51" s="12">
        <f>August!E51+D51</f>
        <v>2</v>
      </c>
      <c r="F51" s="59"/>
      <c r="G51" s="12">
        <f>August!G51+F51</f>
        <v>0</v>
      </c>
    </row>
    <row r="52" spans="1:256" ht="15" customHeight="1" x14ac:dyDescent="0.2">
      <c r="A52" s="11" t="s">
        <v>49</v>
      </c>
      <c r="B52" s="80"/>
      <c r="C52" s="12">
        <f>August!C52+B52</f>
        <v>0</v>
      </c>
      <c r="D52" s="81"/>
      <c r="E52" s="12">
        <f>August!E52+D52</f>
        <v>0</v>
      </c>
      <c r="F52" s="59"/>
      <c r="G52" s="12">
        <f>August!G52+F52</f>
        <v>0</v>
      </c>
    </row>
    <row r="53" spans="1:256" ht="15" customHeight="1" x14ac:dyDescent="0.2">
      <c r="A53" s="11" t="s">
        <v>50</v>
      </c>
      <c r="B53" s="80">
        <f>320+300+120+200+200+200+5+100+120+235+200+7+2000+1200+750+1000+73+52+850+850+850+8+950+120+210+300+300+150+120+260+100+120+120+150+250+2+210+350+70+150+150+120+100</f>
        <v>13942</v>
      </c>
      <c r="C53" s="12">
        <f>August!C53+B53</f>
        <v>137965</v>
      </c>
      <c r="D53" s="81">
        <f>40</f>
        <v>40</v>
      </c>
      <c r="E53" s="12">
        <f>August!E53+D53</f>
        <v>1382</v>
      </c>
      <c r="F53" s="59"/>
      <c r="G53" s="12">
        <f>August!G53+F53</f>
        <v>0</v>
      </c>
    </row>
    <row r="54" spans="1:256" ht="15" customHeight="1" thickBot="1" x14ac:dyDescent="0.25">
      <c r="A54" s="11" t="s">
        <v>51</v>
      </c>
      <c r="B54" s="80">
        <f>14882+850</f>
        <v>15732</v>
      </c>
      <c r="C54" s="12">
        <f>August!C54+B54</f>
        <v>106494</v>
      </c>
      <c r="D54" s="81"/>
      <c r="E54" s="12">
        <f>August!E54+D54</f>
        <v>1</v>
      </c>
      <c r="F54" s="59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2406425</v>
      </c>
      <c r="C55" s="14">
        <f>August!C55+B55</f>
        <v>19779756</v>
      </c>
      <c r="D55" s="14">
        <f>SUM(D7:D54)</f>
        <v>19113</v>
      </c>
      <c r="E55" s="14">
        <f>August!E55+D55</f>
        <v>172431</v>
      </c>
      <c r="F55" s="14">
        <f>SUM(F7:F54)</f>
        <v>10615</v>
      </c>
      <c r="G55" s="14">
        <f>August!G55+F55</f>
        <v>88465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/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>
        <v>9476</v>
      </c>
      <c r="D59" s="23">
        <f>August!D59+C59</f>
        <v>54950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>
        <f>135+200+115+200+135+45+160+360+120+115+45+120+160+360+75+135+200+115+45+160+360+120+115+115+200+135+45+160+360+120+120+45+160+360+102+8+10+8+10+106+8+40+10+85+5607+1300+200+2300+1124+1600+290+295+965+150+105+200+135+4+80+36+55+600+12+15+8+175+120+115+200+135+45+360+96+15+7080</f>
        <v>29224</v>
      </c>
      <c r="D62" s="23">
        <f>August!D62+C62</f>
        <v>234320</v>
      </c>
    </row>
    <row r="63" spans="1:256" ht="15" customHeight="1" x14ac:dyDescent="0.2">
      <c r="A63" s="1" t="s">
        <v>65</v>
      </c>
      <c r="B63" s="22"/>
      <c r="C63" s="22">
        <f>270+240+270+240+320+320+320+320+320+320+320+150+150+150+150+150+150+150+52+106+52+106+52+106+52+40+40+40+40+40+40+40+25+8+100+160+242+215+424+136+205+122+60+60+60+60+60+60+60+60+60+60+80+80+80+80+80+80+80+20+20+20+20+20+20+20+45+45+45+45+45+45+45+240+270+240+80+32+415+60+40+150+320+20+270+45+106+60+320+52+40+240+45+20+80+124+60+100+40+20+45+240+80+219+275+150+60+320+52+60+40+150+320+20+270+45+106+80+517+240+40+20+45+80+150+60+205+20+320+40+60+52+320+80+106+45+270+141</f>
        <v>17200</v>
      </c>
      <c r="D63" s="23">
        <f>August!D63+C63</f>
        <v>121342</v>
      </c>
    </row>
    <row r="64" spans="1:256" ht="15" customHeight="1" x14ac:dyDescent="0.2">
      <c r="A64" s="1" t="s">
        <v>63</v>
      </c>
      <c r="B64" s="22"/>
      <c r="C64" s="22">
        <f>140+110+140+130+260+120+240+180+120+60+60+120+160+200+300+300+200+300+160+130+180+200+200+180+200+150+200+200+150+200+185+205+205+185+205+200+360+360+200+200+130+360+230+300+160+125+300+115+115+115+115+115+20+160+160+160+160+160+60+45+45+45+65+100+40+100+40+100+250+120+250+160+175+85+175+175+45+65+45+10+45+80+80+80+80+80+60+70+185+235+180+210+150+150+200+200+360+115+320+250+205+200+200+120+140+240+240+120+120+65+65+135+120+52+52+20+40+360+360+250+250+115+115+45+100+52+85+270+300+240</f>
        <v>20596</v>
      </c>
      <c r="D64" s="23">
        <f>August!D64+C64</f>
        <v>241791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>
        <f>40+251+1476+482+1282+716+3301+140+65+70+125+50+85+90+140+70+50+40+75+70+90+726+130+65+782</f>
        <v>10411</v>
      </c>
      <c r="D66" s="23">
        <f>August!D66+C66</f>
        <v>53827</v>
      </c>
    </row>
    <row r="67" spans="1:4" ht="15" customHeight="1" x14ac:dyDescent="0.2">
      <c r="A67" s="1" t="s">
        <v>62</v>
      </c>
      <c r="C67" s="22">
        <v>1100</v>
      </c>
      <c r="D67" s="23">
        <f>August!D67+C67</f>
        <v>7349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2015-02-02T14:16:40Z</dcterms:modified>
</cp:coreProperties>
</file>