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1005" windowWidth="15595" windowHeight="10977" tabRatio="784" firstSheet="4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<sst xmlns="http://schemas.openxmlformats.org/spreadsheetml/2006/main" count="888" uniqueCount="76">
  <si>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</si>
  <si>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</si>
  <si>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</si>
  <si>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</si>
  <si>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</si>
  <si>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</si>
  <si>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</si>
  <si>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</si>
  <si>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</si>
  <si>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</si>
  <si>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</si>
  <si>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</si>
  <si>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</si>
  <si>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</si>
  <si>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</si>
  <si>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</si>
  <si>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</si>
  <si>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</si>
  <si>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</si>
  <si>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</si>
  <si>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</si>
  <si>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</si>
  <si>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</si>
  <si>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</si>
  <si>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</si>
  <si>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</si>
  <si>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</si>
  <si>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</si>
  <si>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</si>
  <si>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</si>
  <si>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</si>
  <si>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</si>
  <si>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</si>
  <si>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</si>
  <si>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</si>
  <si>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</si>
  <si>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</si>
  <si>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</si>
  <si>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</si>
  <si>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</si>
  <si>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</si>
  <si>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</si>
  <si>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</si>
  <si>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</si>
  <si>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</si>
  <si>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</si>
  <si>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</si>
  <si>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</si>
  <si>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</si>
  <si>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</si>
  <si>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</si>
  <si>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</si>
  <si>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</si>
  <si>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</si>
  <si>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</si>
  <si>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</si>
  <si>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</si>
  <si>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</si>
  <si>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</si>
  <si>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</si>
  <si>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</si>
  <si>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</si>
  <si>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</si>
  <si>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</si>
  <si>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</si>
  <si>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</si>
  <si>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</si>
  <si>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</si>
  <si>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</si>
  <si>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</si>
  <si>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</si>
  <si>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</si>
  <si>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</si>
  <si>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2014 Cattle Imported Into Iowa</t>
  </si>
  <si>
    <t>Karla Crawford and Ren Davenport</t>
  </si>
  <si>
    <t>BISON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</si>
</sst>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/>
      <right style="thin">
        <color indexed="22"/>
      </right>
      <top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9" fillId="0" borderId="0" xfId="0" applyFont="1" applyFill="1" applyAlignment="1">
      <alignment horizontal="right"/>
    </xf>
    <xf numFmtId="14" fontId="0" fillId="0" borderId="0" xfId="0" applyNumberFormat="1" applyFill="1" applyAlignment="1">
      <alignment/>
    </xf>
    <xf numFmtId="14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3" fontId="2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3" fontId="5" fillId="0" borderId="18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676275</xdr:colOff>
      <xdr:row>1</xdr:row>
      <xdr:rowOff>200025</xdr:rowOff>
    </xdr:from>
    <xdr:to>
      <xdr:col>12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6297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4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8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9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0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43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95300"/>
          <a:ext cx="0" cy="946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0</xdr:row>
      <xdr:rowOff>38100</xdr:rowOff>
    </xdr:from>
    <xdr:to>
      <xdr:col>11</xdr:col>
      <xdr:colOff>28575</xdr:colOff>
      <xdr:row>2</xdr:row>
      <xdr:rowOff>47625</xdr:rowOff>
    </xdr:to>
    <xdr:sp>
      <xdr:nvSpPr>
        <xdr:cNvPr id="4" name="Line 8"/>
        <xdr:cNvSpPr>
          <a:spLocks/>
        </xdr:cNvSpPr>
      </xdr:nvSpPr>
      <xdr:spPr>
        <a:xfrm>
          <a:off x="8296275" y="38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142875</xdr:rowOff>
    </xdr:from>
    <xdr:to>
      <xdr:col>11</xdr:col>
      <xdr:colOff>28575</xdr:colOff>
      <xdr:row>3</xdr:row>
      <xdr:rowOff>28575</xdr:rowOff>
    </xdr:to>
    <xdr:sp>
      <xdr:nvSpPr>
        <xdr:cNvPr id="10" name="Line 14"/>
        <xdr:cNvSpPr>
          <a:spLocks/>
        </xdr:cNvSpPr>
      </xdr:nvSpPr>
      <xdr:spPr>
        <a:xfrm>
          <a:off x="8296275" y="666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671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8225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671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8225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2"/>
  <sheetViews>
    <sheetView zoomScale="115" zoomScaleNormal="115" zoomScalePageLayoutView="0" workbookViewId="0" topLeftCell="A1">
      <pane ySplit="4" topLeftCell="A58" activePane="bottomLeft" state="frozen"/>
      <selection pane="topLeft" activeCell="A1" sqref="A1"/>
      <selection pane="bottomLeft" activeCell="D60" sqref="D60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2" width="9.00390625" style="2" customWidth="1"/>
    <col min="13" max="13" width="12.25390625" style="2" customWidth="1"/>
    <col min="14" max="16384" width="9.00390625" style="2" customWidth="1"/>
  </cols>
  <sheetData>
    <row r="1" spans="1:8" ht="23.25">
      <c r="A1" s="1" t="s">
        <v>73</v>
      </c>
      <c r="F1" s="2" t="s">
        <v>61</v>
      </c>
      <c r="H1" s="2" t="s">
        <v>74</v>
      </c>
    </row>
    <row r="2" spans="1:13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26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  <c r="J5" s="24"/>
      <c r="K5" s="9">
        <f aca="true" t="shared" si="4" ref="K5:K54">J5</f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  <c r="J6" s="24"/>
      <c r="K6" s="9">
        <f t="shared" si="4"/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5" customFormat="1" ht="18" customHeight="1">
      <c r="A7" s="9" t="s">
        <v>9</v>
      </c>
      <c r="B7" s="13">
        <f>84</f>
        <v>84</v>
      </c>
      <c r="C7" s="9">
        <f t="shared" si="0"/>
        <v>84</v>
      </c>
      <c r="D7" s="15"/>
      <c r="E7" s="9">
        <f t="shared" si="1"/>
        <v>0</v>
      </c>
      <c r="F7" s="17">
        <f>100</f>
        <v>100</v>
      </c>
      <c r="G7" s="9">
        <f t="shared" si="2"/>
        <v>100</v>
      </c>
      <c r="H7" s="19"/>
      <c r="I7" s="9">
        <f t="shared" si="3"/>
        <v>0</v>
      </c>
      <c r="J7" s="24"/>
      <c r="K7" s="9">
        <f t="shared" si="4"/>
        <v>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5" customFormat="1" ht="18" customHeight="1">
      <c r="A8" s="9" t="s">
        <v>10</v>
      </c>
      <c r="B8" s="13">
        <f>72+92</f>
        <v>164</v>
      </c>
      <c r="C8" s="9">
        <f t="shared" si="0"/>
        <v>164</v>
      </c>
      <c r="D8" s="15"/>
      <c r="E8" s="9">
        <f t="shared" si="1"/>
        <v>0</v>
      </c>
      <c r="F8" s="17"/>
      <c r="G8" s="9">
        <f t="shared" si="2"/>
        <v>0</v>
      </c>
      <c r="H8" s="19"/>
      <c r="I8" s="9">
        <f t="shared" si="3"/>
        <v>0</v>
      </c>
      <c r="J8" s="24"/>
      <c r="K8" s="9">
        <f t="shared" si="4"/>
        <v>0</v>
      </c>
      <c r="Q8" s="8"/>
      <c r="R8" s="8"/>
      <c r="S8" s="8"/>
      <c r="Y8" s="8"/>
      <c r="Z8" s="8"/>
    </row>
    <row r="9" spans="1:26" s="5" customFormat="1" ht="18" customHeight="1">
      <c r="A9" s="9" t="s">
        <v>11</v>
      </c>
      <c r="B9" s="13"/>
      <c r="C9" s="9">
        <f t="shared" si="0"/>
        <v>0</v>
      </c>
      <c r="D9" s="15">
        <f>54+56</f>
        <v>110</v>
      </c>
      <c r="E9" s="9">
        <f t="shared" si="1"/>
        <v>110</v>
      </c>
      <c r="F9" s="17"/>
      <c r="G9" s="9">
        <f t="shared" si="2"/>
        <v>0</v>
      </c>
      <c r="H9" s="19"/>
      <c r="I9" s="9">
        <f t="shared" si="3"/>
        <v>0</v>
      </c>
      <c r="J9" s="24"/>
      <c r="K9" s="9">
        <f t="shared" si="4"/>
        <v>0</v>
      </c>
      <c r="L9" s="38"/>
      <c r="M9" s="28"/>
      <c r="N9" s="28"/>
      <c r="O9" s="28"/>
      <c r="P9" s="28"/>
      <c r="Q9"/>
      <c r="R9" s="32"/>
      <c r="S9" s="43"/>
      <c r="Y9" s="28"/>
      <c r="Z9" s="46"/>
    </row>
    <row r="10" spans="1:26" s="5" customFormat="1" ht="18" customHeight="1">
      <c r="A10" s="9" t="s">
        <v>12</v>
      </c>
      <c r="B10" s="13">
        <v>108</v>
      </c>
      <c r="C10" s="9">
        <f t="shared" si="0"/>
        <v>108</v>
      </c>
      <c r="D10" s="15">
        <v>9</v>
      </c>
      <c r="E10" s="9">
        <f t="shared" si="1"/>
        <v>9</v>
      </c>
      <c r="F10" s="17"/>
      <c r="G10" s="9">
        <f t="shared" si="2"/>
        <v>0</v>
      </c>
      <c r="H10" s="19"/>
      <c r="I10" s="9">
        <f t="shared" si="3"/>
        <v>0</v>
      </c>
      <c r="J10" s="24"/>
      <c r="K10" s="9">
        <f t="shared" si="4"/>
        <v>0</v>
      </c>
      <c r="L10" s="38"/>
      <c r="M10" s="28"/>
      <c r="N10" s="28"/>
      <c r="O10" s="28"/>
      <c r="P10" s="28"/>
      <c r="Q10"/>
      <c r="R10" s="32"/>
      <c r="S10" s="43"/>
      <c r="T10" s="36"/>
      <c r="U10" s="37"/>
      <c r="V10" s="37"/>
      <c r="W10" s="30"/>
      <c r="X10" s="35"/>
      <c r="Y10" s="28"/>
      <c r="Z10" s="46"/>
    </row>
    <row r="11" spans="1:26" s="5" customFormat="1" ht="18" customHeight="1">
      <c r="A11" s="9" t="s">
        <v>13</v>
      </c>
      <c r="B11" s="13">
        <f>85+76+81+610+186+173+402+80</f>
        <v>1693</v>
      </c>
      <c r="C11" s="9">
        <f t="shared" si="0"/>
        <v>1693</v>
      </c>
      <c r="D11" s="15">
        <f>2+1+3</f>
        <v>6</v>
      </c>
      <c r="E11" s="9">
        <f t="shared" si="1"/>
        <v>6</v>
      </c>
      <c r="F11" s="17">
        <f>240</f>
        <v>240</v>
      </c>
      <c r="G11" s="9">
        <f t="shared" si="2"/>
        <v>240</v>
      </c>
      <c r="H11" s="19"/>
      <c r="I11" s="9">
        <f t="shared" si="3"/>
        <v>0</v>
      </c>
      <c r="J11" s="24"/>
      <c r="K11" s="9">
        <f t="shared" si="4"/>
        <v>0</v>
      </c>
      <c r="L11" s="38"/>
      <c r="M11" s="28"/>
      <c r="N11" s="28"/>
      <c r="O11" s="28"/>
      <c r="P11" s="28"/>
      <c r="Q11"/>
      <c r="R11" s="32"/>
      <c r="S11" s="43"/>
      <c r="T11" s="36"/>
      <c r="U11" s="37"/>
      <c r="V11" s="37"/>
      <c r="W11" s="30"/>
      <c r="X11" s="35"/>
      <c r="Y11" s="28"/>
      <c r="Z11" s="46"/>
    </row>
    <row r="12" spans="1:26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  <c r="J12" s="24"/>
      <c r="K12" s="9">
        <f t="shared" si="4"/>
        <v>0</v>
      </c>
      <c r="L12" s="38"/>
      <c r="M12" s="28"/>
      <c r="N12" s="28"/>
      <c r="O12" s="28"/>
      <c r="P12" s="28"/>
      <c r="Q12"/>
      <c r="R12" s="32"/>
      <c r="S12" s="43"/>
      <c r="T12" s="36"/>
      <c r="U12" s="37"/>
      <c r="V12" s="37"/>
      <c r="W12" s="30"/>
      <c r="X12" s="35"/>
      <c r="Y12" s="28"/>
      <c r="Z12" s="46"/>
    </row>
    <row r="13" spans="1:26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  <c r="J13" s="24"/>
      <c r="K13" s="9">
        <f t="shared" si="4"/>
        <v>0</v>
      </c>
      <c r="L13" s="38"/>
      <c r="M13" s="28"/>
      <c r="N13" s="28"/>
      <c r="O13" s="28"/>
      <c r="P13" s="28"/>
      <c r="Q13"/>
      <c r="R13" s="32"/>
      <c r="S13" s="43"/>
      <c r="T13" s="36"/>
      <c r="U13" s="37"/>
      <c r="V13" s="37"/>
      <c r="W13" s="30"/>
      <c r="X13" s="35"/>
      <c r="Y13" s="28"/>
      <c r="Z13" s="46"/>
    </row>
    <row r="14" spans="1:26" s="5" customFormat="1" ht="18" customHeight="1">
      <c r="A14" s="9" t="s">
        <v>16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  <c r="J14" s="24"/>
      <c r="K14" s="9">
        <f t="shared" si="4"/>
        <v>0</v>
      </c>
      <c r="L14" s="38"/>
      <c r="M14" s="28"/>
      <c r="N14" s="28"/>
      <c r="O14" s="28"/>
      <c r="P14" s="28"/>
      <c r="Q14"/>
      <c r="R14" s="32"/>
      <c r="S14" s="43"/>
      <c r="T14" s="36"/>
      <c r="U14" s="37"/>
      <c r="V14" s="37"/>
      <c r="W14" s="30"/>
      <c r="X14" s="35"/>
      <c r="Y14" s="28"/>
      <c r="Z14" s="46"/>
    </row>
    <row r="15" spans="1:26" s="5" customFormat="1" ht="18" customHeight="1">
      <c r="A15" s="9" t="s">
        <v>17</v>
      </c>
      <c r="B15" s="13"/>
      <c r="C15" s="9">
        <f t="shared" si="0"/>
        <v>0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  <c r="J15" s="24"/>
      <c r="K15" s="9">
        <f t="shared" si="4"/>
        <v>0</v>
      </c>
      <c r="L15" s="38"/>
      <c r="M15" s="28"/>
      <c r="N15" s="28"/>
      <c r="O15" s="28"/>
      <c r="P15" s="28"/>
      <c r="Q15"/>
      <c r="R15" s="32"/>
      <c r="S15" s="43"/>
      <c r="T15" s="36"/>
      <c r="U15" s="37"/>
      <c r="V15" s="37"/>
      <c r="W15" s="30"/>
      <c r="X15" s="35"/>
      <c r="Y15" s="28"/>
      <c r="Z15" s="46"/>
    </row>
    <row r="16" spans="1:26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  <c r="J16" s="24"/>
      <c r="K16" s="9">
        <f t="shared" si="4"/>
        <v>0</v>
      </c>
      <c r="L16" s="38"/>
      <c r="M16" s="28"/>
      <c r="N16" s="28"/>
      <c r="O16" s="28"/>
      <c r="P16" s="28"/>
      <c r="Q16"/>
      <c r="R16" s="32"/>
      <c r="S16" s="43"/>
      <c r="T16" s="36"/>
      <c r="U16" s="37"/>
      <c r="V16" s="37"/>
      <c r="W16" s="30"/>
      <c r="X16" s="35"/>
      <c r="Y16" s="28"/>
      <c r="Z16" s="46"/>
    </row>
    <row r="17" spans="1:26" s="5" customFormat="1" ht="18" customHeight="1">
      <c r="A17" s="9" t="s">
        <v>19</v>
      </c>
      <c r="B17" s="13">
        <f>190+110+45+138+90+242+250+82+180+70</f>
        <v>1397</v>
      </c>
      <c r="C17" s="9">
        <f t="shared" si="0"/>
        <v>1397</v>
      </c>
      <c r="D17" s="15">
        <f>48+17+33+40+40</f>
        <v>178</v>
      </c>
      <c r="E17" s="9">
        <f t="shared" si="1"/>
        <v>178</v>
      </c>
      <c r="F17" s="17">
        <f>140</f>
        <v>140</v>
      </c>
      <c r="G17" s="9">
        <f t="shared" si="2"/>
        <v>140</v>
      </c>
      <c r="H17" s="19"/>
      <c r="I17" s="9">
        <f t="shared" si="3"/>
        <v>0</v>
      </c>
      <c r="J17" s="24"/>
      <c r="K17" s="9">
        <f t="shared" si="4"/>
        <v>0</v>
      </c>
      <c r="L17" s="38"/>
      <c r="M17" s="28"/>
      <c r="N17" s="28"/>
      <c r="O17" s="28"/>
      <c r="P17" s="28"/>
      <c r="Q17"/>
      <c r="R17" s="32"/>
      <c r="S17" s="43"/>
      <c r="T17" s="36"/>
      <c r="U17" s="37"/>
      <c r="V17" s="37"/>
      <c r="W17" s="30"/>
      <c r="X17" s="35"/>
      <c r="Y17" s="28"/>
      <c r="Z17" s="46"/>
    </row>
    <row r="18" spans="1:26" s="5" customFormat="1" ht="18" customHeight="1">
      <c r="A18" s="9" t="s">
        <v>20</v>
      </c>
      <c r="B18" s="13">
        <f>69+58+88+80+70+70+70+59+77+144+191+67+10+16+31</f>
        <v>1100</v>
      </c>
      <c r="C18" s="9">
        <f t="shared" si="0"/>
        <v>1100</v>
      </c>
      <c r="D18" s="15">
        <f>51+1+1+1+1+1+1+1+1+1</f>
        <v>60</v>
      </c>
      <c r="E18" s="9">
        <f t="shared" si="1"/>
        <v>60</v>
      </c>
      <c r="F18" s="17">
        <f>2+12</f>
        <v>14</v>
      </c>
      <c r="G18" s="9">
        <f t="shared" si="2"/>
        <v>14</v>
      </c>
      <c r="H18" s="19"/>
      <c r="I18" s="9">
        <f t="shared" si="3"/>
        <v>0</v>
      </c>
      <c r="J18" s="24"/>
      <c r="K18" s="9">
        <f t="shared" si="4"/>
        <v>0</v>
      </c>
      <c r="L18" s="38"/>
      <c r="M18" s="28"/>
      <c r="N18" s="28"/>
      <c r="O18" s="28"/>
      <c r="P18" s="28"/>
      <c r="Q18"/>
      <c r="R18" s="32"/>
      <c r="S18" s="43"/>
      <c r="T18" s="36"/>
      <c r="U18" s="37"/>
      <c r="V18" s="37"/>
      <c r="W18" s="30"/>
      <c r="X18" s="35"/>
      <c r="Y18" s="28"/>
      <c r="Z18" s="46"/>
    </row>
    <row r="19" spans="1:26" s="5" customFormat="1" ht="18" customHeight="1">
      <c r="A19" s="9" t="s">
        <v>21</v>
      </c>
      <c r="B19" s="13">
        <f>27+22+60+49+26+75+70+103+104+68+19+7+1+184</f>
        <v>815</v>
      </c>
      <c r="C19" s="9">
        <f t="shared" si="0"/>
        <v>815</v>
      </c>
      <c r="D19" s="15">
        <f>1+1+69+91+81+35+38+61+2</f>
        <v>379</v>
      </c>
      <c r="E19" s="9">
        <f t="shared" si="1"/>
        <v>379</v>
      </c>
      <c r="F19" s="17">
        <f>150+175+32+140+170+140+150+150+150+150</f>
        <v>1407</v>
      </c>
      <c r="G19" s="9">
        <f t="shared" si="2"/>
        <v>1407</v>
      </c>
      <c r="H19" s="19"/>
      <c r="I19" s="9">
        <f t="shared" si="3"/>
        <v>0</v>
      </c>
      <c r="J19" s="24"/>
      <c r="K19" s="9">
        <f t="shared" si="4"/>
        <v>0</v>
      </c>
      <c r="L19" s="38"/>
      <c r="M19" s="28"/>
      <c r="N19" s="28"/>
      <c r="O19" s="28"/>
      <c r="P19" s="28"/>
      <c r="Q19"/>
      <c r="R19" s="32"/>
      <c r="S19" s="43"/>
      <c r="T19" s="36"/>
      <c r="U19" s="37"/>
      <c r="V19" s="37"/>
      <c r="W19" s="30"/>
      <c r="X19" s="35"/>
      <c r="Y19" s="28"/>
      <c r="Z19" s="46"/>
    </row>
    <row r="20" spans="1:26" s="5" customFormat="1" ht="18" customHeight="1">
      <c r="A20" s="9" t="s">
        <v>22</v>
      </c>
      <c r="B20" s="13">
        <f>113+52+50+58+65+134+65+236+66+70+64+65+125+15+65+39</f>
        <v>1282</v>
      </c>
      <c r="C20" s="9">
        <f t="shared" si="0"/>
        <v>1282</v>
      </c>
      <c r="D20" s="15">
        <f>15+7+1</f>
        <v>23</v>
      </c>
      <c r="E20" s="9">
        <f t="shared" si="1"/>
        <v>23</v>
      </c>
      <c r="F20" s="17">
        <f>1+64+97</f>
        <v>162</v>
      </c>
      <c r="G20" s="9">
        <f t="shared" si="2"/>
        <v>162</v>
      </c>
      <c r="H20" s="19"/>
      <c r="I20" s="9">
        <f t="shared" si="3"/>
        <v>0</v>
      </c>
      <c r="J20" s="24"/>
      <c r="K20" s="9">
        <f t="shared" si="4"/>
        <v>0</v>
      </c>
      <c r="L20" s="38"/>
      <c r="M20" s="28"/>
      <c r="N20" s="28"/>
      <c r="O20" s="28"/>
      <c r="P20" s="28"/>
      <c r="Q20"/>
      <c r="R20" s="32"/>
      <c r="S20" s="43"/>
      <c r="T20" s="36"/>
      <c r="U20" s="37"/>
      <c r="V20" s="37"/>
      <c r="W20" s="30"/>
      <c r="X20" s="35"/>
      <c r="Y20" s="28"/>
      <c r="Z20" s="46"/>
    </row>
    <row r="21" spans="1:26" s="5" customFormat="1" ht="18" customHeight="1">
      <c r="A21" s="9" t="s">
        <v>23</v>
      </c>
      <c r="B21" s="13">
        <f>151+41+79+260+139+20+247+21+79+75+75+45+56+75+54+62+56+132+79+80+75+79+66+77+58+128+101+116+47+32+60+40+63+55+18+60+25+70+62+96+72+94+26+70+61+198+78+49+71+40+72+105+61+129+122+66+76+75+54+90+102+62+65+105+70+210+61+148+280+254+148+65+364+255+135+189+133+170+60+84+184+122+81+58+60+62+71+65+70+875</f>
        <v>9371</v>
      </c>
      <c r="C21" s="9">
        <f t="shared" si="0"/>
        <v>9371</v>
      </c>
      <c r="D21" s="15">
        <f>10+10+10+2+10+10+10+10</f>
        <v>72</v>
      </c>
      <c r="E21" s="9">
        <f t="shared" si="1"/>
        <v>72</v>
      </c>
      <c r="F21" s="17">
        <f>60+65+200+171</f>
        <v>496</v>
      </c>
      <c r="G21" s="9">
        <f t="shared" si="2"/>
        <v>496</v>
      </c>
      <c r="H21" s="19"/>
      <c r="I21" s="9">
        <f t="shared" si="3"/>
        <v>0</v>
      </c>
      <c r="J21" s="24"/>
      <c r="K21" s="9">
        <f t="shared" si="4"/>
        <v>0</v>
      </c>
      <c r="L21" s="38"/>
      <c r="M21" s="28"/>
      <c r="N21" s="28"/>
      <c r="O21" s="28"/>
      <c r="P21" s="28"/>
      <c r="Q21"/>
      <c r="R21" s="32"/>
      <c r="S21" s="43"/>
      <c r="T21" s="36"/>
      <c r="U21" s="37"/>
      <c r="V21" s="37"/>
      <c r="W21" s="30"/>
      <c r="X21" s="35"/>
      <c r="Y21" s="28"/>
      <c r="Z21" s="46"/>
    </row>
    <row r="22" spans="1:26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  <c r="J22" s="24"/>
      <c r="K22" s="9">
        <f t="shared" si="4"/>
        <v>0</v>
      </c>
      <c r="L22" s="38"/>
      <c r="M22" s="28"/>
      <c r="N22" s="28"/>
      <c r="O22" s="28"/>
      <c r="P22" s="28"/>
      <c r="Q22"/>
      <c r="R22" s="32"/>
      <c r="S22" s="43"/>
      <c r="T22" s="36"/>
      <c r="U22" s="37"/>
      <c r="V22" s="37"/>
      <c r="W22" s="30"/>
      <c r="X22" s="35"/>
      <c r="Y22" s="28"/>
      <c r="Z22" s="46"/>
    </row>
    <row r="23" spans="1:26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  <c r="J23" s="24"/>
      <c r="K23" s="9">
        <f t="shared" si="4"/>
        <v>0</v>
      </c>
      <c r="L23" s="38"/>
      <c r="M23" s="28"/>
      <c r="N23" s="28"/>
      <c r="O23" s="28"/>
      <c r="P23" s="28"/>
      <c r="Q23"/>
      <c r="R23" s="32"/>
      <c r="S23" s="43"/>
      <c r="T23" s="36"/>
      <c r="U23" s="37"/>
      <c r="V23" s="37"/>
      <c r="W23" s="30"/>
      <c r="X23" s="35"/>
      <c r="Y23" s="28"/>
      <c r="Z23" s="46"/>
    </row>
    <row r="24" spans="1:26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  <c r="J24" s="24"/>
      <c r="K24" s="9">
        <f t="shared" si="4"/>
        <v>0</v>
      </c>
      <c r="L24" s="38"/>
      <c r="M24" s="28"/>
      <c r="N24" s="28"/>
      <c r="O24" s="28"/>
      <c r="P24" s="28"/>
      <c r="Q24"/>
      <c r="R24" s="32"/>
      <c r="S24" s="43"/>
      <c r="T24" s="36"/>
      <c r="U24" s="37"/>
      <c r="V24" s="37"/>
      <c r="W24" s="30"/>
      <c r="X24" s="35"/>
      <c r="Y24" s="28"/>
      <c r="Z24" s="46"/>
    </row>
    <row r="25" spans="1:26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  <c r="J25" s="24"/>
      <c r="K25" s="9">
        <f t="shared" si="4"/>
        <v>0</v>
      </c>
      <c r="L25" s="38"/>
      <c r="M25" s="28"/>
      <c r="N25" s="28"/>
      <c r="O25" s="28"/>
      <c r="P25" s="28"/>
      <c r="Q25"/>
      <c r="R25" s="32"/>
      <c r="S25" s="43"/>
      <c r="T25" s="36"/>
      <c r="U25" s="37"/>
      <c r="V25" s="37"/>
      <c r="W25" s="30"/>
      <c r="X25" s="35"/>
      <c r="Y25" s="28"/>
      <c r="Z25" s="46"/>
    </row>
    <row r="26" spans="1:26" s="5" customFormat="1" ht="18" customHeight="1">
      <c r="A26" s="9" t="s">
        <v>28</v>
      </c>
      <c r="B26" s="13">
        <v>470</v>
      </c>
      <c r="C26" s="9">
        <f t="shared" si="0"/>
        <v>470</v>
      </c>
      <c r="D26" s="15"/>
      <c r="E26" s="9">
        <f t="shared" si="1"/>
        <v>0</v>
      </c>
      <c r="F26" s="17">
        <f>85+120+200+300+200+50+130+130</f>
        <v>1215</v>
      </c>
      <c r="G26" s="9">
        <f t="shared" si="2"/>
        <v>1215</v>
      </c>
      <c r="H26" s="19"/>
      <c r="I26" s="9">
        <f t="shared" si="3"/>
        <v>0</v>
      </c>
      <c r="J26" s="24"/>
      <c r="K26" s="9">
        <f t="shared" si="4"/>
        <v>0</v>
      </c>
      <c r="L26" s="38"/>
      <c r="M26" s="28"/>
      <c r="N26" s="28"/>
      <c r="O26" s="28"/>
      <c r="P26" s="28"/>
      <c r="Q26"/>
      <c r="R26" s="32"/>
      <c r="S26" s="43"/>
      <c r="T26" s="36"/>
      <c r="U26" s="37"/>
      <c r="V26" s="37"/>
      <c r="W26" s="30"/>
      <c r="X26" s="35"/>
      <c r="Y26" s="28"/>
      <c r="Z26" s="46"/>
    </row>
    <row r="27" spans="1:26" s="5" customFormat="1" ht="18" customHeight="1">
      <c r="A27" s="9" t="s">
        <v>29</v>
      </c>
      <c r="B27" s="13">
        <f>402+115+159+40+28+3+25+10+5+28+24+35+67+2+88+111+110+237+41+51+2+29+28+7+3+7+28+16+16+9+5+24+8+8+12+18+12+4+12+15+8+59+69+646+41+240+18+25+14+9+3+84+89+73+2+1+1+64+56+7+46+3+157+3+25+1+1+2+11+89+105</f>
        <v>3796</v>
      </c>
      <c r="C27" s="9">
        <f t="shared" si="0"/>
        <v>3796</v>
      </c>
      <c r="D27" s="15">
        <f>1+5+15+1+45+1+4+5+12+3+1+7+4+6+3+10+15+29+15+15+2+1+4+136+136+2+2+1+5+2+25+1</f>
        <v>514</v>
      </c>
      <c r="E27" s="9">
        <f t="shared" si="1"/>
        <v>514</v>
      </c>
      <c r="F27" s="17">
        <f>314+10+15+15+4+2+1+42+4+15+15+9+15+17+10+6+5+19+9+1+50+49+6+49+11+6+7+5+37+75+1+10+29+25+6+12+1+23+1+23+35+7+45+7+1+2+11+80+81+75</f>
        <v>1298</v>
      </c>
      <c r="G27" s="9">
        <f t="shared" si="2"/>
        <v>1298</v>
      </c>
      <c r="H27" s="19"/>
      <c r="I27" s="9">
        <f t="shared" si="3"/>
        <v>0</v>
      </c>
      <c r="J27" s="24"/>
      <c r="K27" s="9">
        <f t="shared" si="4"/>
        <v>0</v>
      </c>
      <c r="L27" s="38"/>
      <c r="M27" s="28"/>
      <c r="N27" s="28"/>
      <c r="O27" s="28"/>
      <c r="P27" s="28"/>
      <c r="Q27"/>
      <c r="R27" s="32"/>
      <c r="S27" s="43"/>
      <c r="T27" s="36"/>
      <c r="U27" s="37"/>
      <c r="V27" s="37"/>
      <c r="W27" s="30"/>
      <c r="X27" s="35"/>
      <c r="Y27" s="28"/>
      <c r="Z27" s="46"/>
    </row>
    <row r="28" spans="1:26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  <c r="J28" s="24"/>
      <c r="K28" s="9">
        <f t="shared" si="4"/>
        <v>0</v>
      </c>
      <c r="L28" s="38"/>
      <c r="M28" s="28"/>
      <c r="N28" s="28"/>
      <c r="O28" s="28"/>
      <c r="P28" s="28"/>
      <c r="Q28"/>
      <c r="R28" s="32"/>
      <c r="S28" s="43"/>
      <c r="T28" s="36"/>
      <c r="U28" s="37"/>
      <c r="V28" s="37"/>
      <c r="W28" s="30"/>
      <c r="X28" s="35"/>
      <c r="Y28" s="28"/>
      <c r="Z28" s="46"/>
    </row>
    <row r="29" spans="1:26" s="5" customFormat="1" ht="18" customHeight="1">
      <c r="A29" s="9" t="s">
        <v>31</v>
      </c>
      <c r="B29" s="13">
        <f>122+53+210+24+120+155+45+14+65+63+32+111+65+133+69+90+47+66+62+75+154+131+170+21+66+66+32+1+15+1+22+17+77+54+83+88+65+65+70+36+62+79+54+45+46+85+96+65+87+84+63+202+77+153+24+39+363+194+44+12+123+60+23+49+91+118+80+19+127+65+65+8+51+140+70+79+196+78+75+80+40+25+70+65+63+65+42+67+69+75+40+62+86+87+78+38+70+71+22+31+3+23+15+40+5+12+10+14+19+51+60+60+86+130+175+83+91+174+80+80+81+87+90+78+87+90+176+65+70+83+75+12+37+23+60+61+23+41+9+13+54+85+14+87+77+95+27+89+77+30+273+123+15+38+8+203+131+70+69+71+86+73+59+54+55+75+75</f>
        <v>12077</v>
      </c>
      <c r="C29" s="9">
        <f t="shared" si="0"/>
        <v>12077</v>
      </c>
      <c r="D29" s="15">
        <f>1+2+1+1+1+2+2+1+17+21+53+25+33+12+2+14+10+12+11+25+1+3+3+1+2+1+2+9+6+1+45</f>
        <v>320</v>
      </c>
      <c r="E29" s="9">
        <f t="shared" si="1"/>
        <v>320</v>
      </c>
      <c r="F29" s="17">
        <f>42+54</f>
        <v>96</v>
      </c>
      <c r="G29" s="9">
        <f t="shared" si="2"/>
        <v>96</v>
      </c>
      <c r="H29" s="19"/>
      <c r="I29" s="9">
        <f t="shared" si="3"/>
        <v>0</v>
      </c>
      <c r="J29" s="24">
        <f>12+6+7</f>
        <v>25</v>
      </c>
      <c r="K29" s="9">
        <f t="shared" si="4"/>
        <v>25</v>
      </c>
      <c r="L29" s="38"/>
      <c r="M29" s="28"/>
      <c r="N29" s="28"/>
      <c r="O29" s="28"/>
      <c r="P29" s="28"/>
      <c r="Q29"/>
      <c r="R29" s="32"/>
      <c r="S29" s="43"/>
      <c r="T29" s="36"/>
      <c r="U29" s="37"/>
      <c r="V29" s="37"/>
      <c r="W29" s="30"/>
      <c r="X29" s="35"/>
      <c r="Y29" s="28"/>
      <c r="Z29" s="46"/>
    </row>
    <row r="30" spans="1:26" s="5" customFormat="1" ht="18" customHeight="1">
      <c r="A30" s="9" t="s">
        <v>32</v>
      </c>
      <c r="B30" s="13">
        <f>90+18+107+70+215+80+10+8+13+37+53+43+30+17+91+41+12+95+88+8+57+515+200+100+250+280+65+42+41+92+4+300+50+100+15+67+85+361+14+43+20+24+5+175+16+150+74+108+51+45+100+100+232+44+43+106+153+230+155+78+90+70+30+43+10+93+87+400+123+56+68+63+54+95+111+132+119+129+114+100+96+209+70+37+75+65+7+7+49+7+105+185+180+78+375+97+204+88+91+94+185+75+140+8+100+76+100+11+4+6+24+105+76+117+186+96+74+95+460</f>
        <v>11760</v>
      </c>
      <c r="C30" s="9">
        <f t="shared" si="0"/>
        <v>11760</v>
      </c>
      <c r="D30" s="15">
        <f>110+214+170+8+2+64+100+1</f>
        <v>669</v>
      </c>
      <c r="E30" s="9">
        <f t="shared" si="1"/>
        <v>669</v>
      </c>
      <c r="F30" s="17">
        <f>22</f>
        <v>22</v>
      </c>
      <c r="G30" s="9">
        <f t="shared" si="2"/>
        <v>22</v>
      </c>
      <c r="H30" s="19"/>
      <c r="I30" s="9">
        <f t="shared" si="3"/>
        <v>0</v>
      </c>
      <c r="J30" s="24"/>
      <c r="K30" s="9">
        <f t="shared" si="4"/>
        <v>0</v>
      </c>
      <c r="L30" s="38"/>
      <c r="M30" s="28"/>
      <c r="N30" s="28"/>
      <c r="O30" s="28"/>
      <c r="P30" s="28"/>
      <c r="Q30"/>
      <c r="R30" s="32"/>
      <c r="S30" s="43"/>
      <c r="T30" s="36"/>
      <c r="U30" s="37"/>
      <c r="V30" s="37"/>
      <c r="W30" s="30"/>
      <c r="X30" s="35"/>
      <c r="Y30" s="28"/>
      <c r="Z30" s="46"/>
    </row>
    <row r="31" spans="1:26" s="5" customFormat="1" ht="18" customHeight="1">
      <c r="A31" s="9" t="s">
        <v>33</v>
      </c>
      <c r="B31" s="13">
        <f>35+112+150+71+14+166+51+86+91+83+83+287+490+35+100+68+8+330+486+76+62+103+40+82+65+153+82+10+172+11+173+56+75+139+135+58+83+134+8+135+1+11+69+113+137+339+150+26+84+70+176+75+77+77+68+86+105+69+392+65+80+24+88+83+260+322+153+91+14+1+7+260</f>
        <v>8171</v>
      </c>
      <c r="C31" s="9">
        <f t="shared" si="0"/>
        <v>8171</v>
      </c>
      <c r="D31" s="15">
        <f>9+16+11+1+1+20+49+42+3+38+2+49+1+12+2+5+5+4+6+42+40+66+42+76+10+46+4+53+16+2+67+9+2+1+1+1+1+2+5+1+25+91+22</f>
        <v>901</v>
      </c>
      <c r="E31" s="9">
        <f t="shared" si="1"/>
        <v>901</v>
      </c>
      <c r="F31" s="17">
        <f>55+115</f>
        <v>170</v>
      </c>
      <c r="G31" s="9">
        <f t="shared" si="2"/>
        <v>170</v>
      </c>
      <c r="H31" s="19"/>
      <c r="I31" s="9">
        <f t="shared" si="3"/>
        <v>0</v>
      </c>
      <c r="J31" s="24"/>
      <c r="K31" s="9">
        <f t="shared" si="4"/>
        <v>0</v>
      </c>
      <c r="L31" s="38"/>
      <c r="M31" s="28"/>
      <c r="N31" s="28"/>
      <c r="O31" s="28"/>
      <c r="P31" s="28"/>
      <c r="Q31"/>
      <c r="R31" s="32"/>
      <c r="S31" s="43"/>
      <c r="T31" s="36"/>
      <c r="U31" s="37"/>
      <c r="V31" s="37"/>
      <c r="W31" s="30"/>
      <c r="X31" s="35"/>
      <c r="Y31" s="28"/>
      <c r="Z31" s="46"/>
    </row>
    <row r="32" spans="1:26" s="5" customFormat="1" ht="18" customHeight="1">
      <c r="A32" s="9" t="s">
        <v>34</v>
      </c>
      <c r="B32" s="13">
        <f>184</f>
        <v>184</v>
      </c>
      <c r="C32" s="9">
        <f t="shared" si="0"/>
        <v>184</v>
      </c>
      <c r="D32" s="15">
        <f>1</f>
        <v>1</v>
      </c>
      <c r="E32" s="9">
        <f t="shared" si="1"/>
        <v>1</v>
      </c>
      <c r="F32" s="17"/>
      <c r="G32" s="9">
        <f t="shared" si="2"/>
        <v>0</v>
      </c>
      <c r="H32" s="19"/>
      <c r="I32" s="9">
        <f t="shared" si="3"/>
        <v>0</v>
      </c>
      <c r="J32" s="24"/>
      <c r="K32" s="9">
        <f t="shared" si="4"/>
        <v>0</v>
      </c>
      <c r="L32" s="38"/>
      <c r="M32" s="28"/>
      <c r="N32" s="28"/>
      <c r="O32" s="28"/>
      <c r="P32" s="28"/>
      <c r="Q32"/>
      <c r="R32" s="32"/>
      <c r="S32" s="43"/>
      <c r="T32" s="36"/>
      <c r="U32" s="37"/>
      <c r="V32" s="37"/>
      <c r="W32" s="30"/>
      <c r="X32" s="35"/>
      <c r="Y32" s="28"/>
      <c r="Z32" s="46"/>
    </row>
    <row r="33" spans="1:26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  <c r="J33" s="24"/>
      <c r="K33" s="9">
        <f t="shared" si="4"/>
        <v>0</v>
      </c>
      <c r="L33" s="38"/>
      <c r="M33" s="28"/>
      <c r="N33" s="28"/>
      <c r="O33" s="28"/>
      <c r="P33" s="28"/>
      <c r="Q33"/>
      <c r="R33" s="32"/>
      <c r="S33" s="43"/>
      <c r="T33" s="36"/>
      <c r="U33" s="37"/>
      <c r="V33" s="37"/>
      <c r="W33" s="30"/>
      <c r="X33" s="35"/>
      <c r="Y33" s="28"/>
      <c r="Z33" s="46"/>
    </row>
    <row r="34" spans="1:26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  <c r="J34" s="24"/>
      <c r="K34" s="9">
        <f t="shared" si="4"/>
        <v>0</v>
      </c>
      <c r="L34" s="38"/>
      <c r="M34" s="28"/>
      <c r="N34" s="28"/>
      <c r="O34" s="28"/>
      <c r="P34" s="28"/>
      <c r="Q34"/>
      <c r="R34" s="32"/>
      <c r="S34" s="43"/>
      <c r="T34" s="36"/>
      <c r="U34" s="37"/>
      <c r="V34" s="37"/>
      <c r="W34" s="30"/>
      <c r="X34" s="35"/>
      <c r="Y34" s="28"/>
      <c r="Z34" s="46"/>
    </row>
    <row r="35" spans="1:26" s="5" customFormat="1" ht="18" customHeight="1">
      <c r="A35" s="9" t="s">
        <v>37</v>
      </c>
      <c r="B35" s="13">
        <v>640</v>
      </c>
      <c r="C35" s="9">
        <f t="shared" si="0"/>
        <v>640</v>
      </c>
      <c r="D35" s="15">
        <f>1</f>
        <v>1</v>
      </c>
      <c r="E35" s="9">
        <f t="shared" si="1"/>
        <v>1</v>
      </c>
      <c r="F35" s="17">
        <f>88+125+125+115+240</f>
        <v>693</v>
      </c>
      <c r="G35" s="9">
        <f t="shared" si="2"/>
        <v>693</v>
      </c>
      <c r="H35" s="19"/>
      <c r="I35" s="9">
        <f t="shared" si="3"/>
        <v>0</v>
      </c>
      <c r="J35" s="24"/>
      <c r="K35" s="9">
        <f t="shared" si="4"/>
        <v>0</v>
      </c>
      <c r="L35" s="38"/>
      <c r="M35" s="28"/>
      <c r="N35" s="28"/>
      <c r="O35" s="28"/>
      <c r="P35" s="28"/>
      <c r="Q35"/>
      <c r="R35" s="32"/>
      <c r="S35" s="43"/>
      <c r="T35" s="36"/>
      <c r="U35" s="37"/>
      <c r="V35" s="37"/>
      <c r="W35" s="30"/>
      <c r="X35" s="35"/>
      <c r="Y35" s="28"/>
      <c r="Z35" s="46"/>
    </row>
    <row r="36" spans="1:26" s="5" customFormat="1" ht="18" customHeight="1">
      <c r="A36" s="9" t="s">
        <v>38</v>
      </c>
      <c r="B36" s="13">
        <f>16</f>
        <v>16</v>
      </c>
      <c r="C36" s="9">
        <f t="shared" si="0"/>
        <v>16</v>
      </c>
      <c r="D36" s="15"/>
      <c r="E36" s="9">
        <f t="shared" si="1"/>
        <v>0</v>
      </c>
      <c r="F36" s="17">
        <f>96+1</f>
        <v>97</v>
      </c>
      <c r="G36" s="9">
        <f t="shared" si="2"/>
        <v>97</v>
      </c>
      <c r="H36" s="19"/>
      <c r="I36" s="9">
        <f t="shared" si="3"/>
        <v>0</v>
      </c>
      <c r="J36" s="24"/>
      <c r="K36" s="9">
        <f t="shared" si="4"/>
        <v>0</v>
      </c>
      <c r="L36" s="38"/>
      <c r="M36" s="28"/>
      <c r="N36" s="28"/>
      <c r="O36" s="28"/>
      <c r="P36" s="28"/>
      <c r="Q36"/>
      <c r="R36" s="32"/>
      <c r="S36" s="43"/>
      <c r="T36" s="36"/>
      <c r="U36" s="37"/>
      <c r="V36" s="37"/>
      <c r="W36" s="30"/>
      <c r="X36" s="35"/>
      <c r="Y36" s="28"/>
      <c r="Z36" s="46"/>
    </row>
    <row r="37" spans="1:26" s="5" customFormat="1" ht="18" customHeight="1">
      <c r="A37" s="9" t="s">
        <v>39</v>
      </c>
      <c r="B37" s="13"/>
      <c r="C37" s="9">
        <f aca="true" t="shared" si="5" ref="C37:C54">B37</f>
        <v>0</v>
      </c>
      <c r="D37" s="15"/>
      <c r="E37" s="9">
        <f aca="true" t="shared" si="6" ref="E37:E54">D37</f>
        <v>0</v>
      </c>
      <c r="F37" s="17"/>
      <c r="G37" s="9">
        <f aca="true" t="shared" si="7" ref="G37:G54">F37</f>
        <v>0</v>
      </c>
      <c r="H37" s="19"/>
      <c r="I37" s="9">
        <f aca="true" t="shared" si="8" ref="I37:I54">H37</f>
        <v>0</v>
      </c>
      <c r="J37" s="24"/>
      <c r="K37" s="9">
        <f t="shared" si="4"/>
        <v>0</v>
      </c>
      <c r="L37" s="38"/>
      <c r="M37" s="28"/>
      <c r="N37" s="28"/>
      <c r="O37" s="28"/>
      <c r="P37" s="28"/>
      <c r="Q37"/>
      <c r="R37" s="32"/>
      <c r="S37" s="43"/>
      <c r="T37" s="36"/>
      <c r="U37" s="37"/>
      <c r="V37" s="37"/>
      <c r="W37" s="30"/>
      <c r="X37" s="35"/>
      <c r="Y37" s="28"/>
      <c r="Z37" s="46"/>
    </row>
    <row r="38" spans="1:26" s="5" customFormat="1" ht="18" customHeight="1">
      <c r="A38" s="9" t="s">
        <v>40</v>
      </c>
      <c r="B38" s="13">
        <f>122+218+25+132+38+79+25+242+75+16+3+110+120+144+98+160+390+113+88+114+155+92+49+86+78+605+141+89+73+56+30+83+34+78+104+95+105+611+144+90+63+50+112+65+73+80+129+120+8+74+46+46+50+14+39+92+81+533+86+218+314+38+80+91+13+77+309+90+86+564+76+80+162+154+9+102+42+170+38+74+329+60+86+84+59+45+96+97+156+35+14+33+134</f>
        <v>10886</v>
      </c>
      <c r="C38" s="9">
        <f t="shared" si="5"/>
        <v>10886</v>
      </c>
      <c r="D38" s="15">
        <f>32+11+52</f>
        <v>95</v>
      </c>
      <c r="E38" s="9">
        <f t="shared" si="6"/>
        <v>95</v>
      </c>
      <c r="F38" s="17"/>
      <c r="G38" s="9">
        <f t="shared" si="7"/>
        <v>0</v>
      </c>
      <c r="H38" s="19"/>
      <c r="I38" s="9">
        <f t="shared" si="8"/>
        <v>0</v>
      </c>
      <c r="J38" s="24"/>
      <c r="K38" s="9">
        <f t="shared" si="4"/>
        <v>0</v>
      </c>
      <c r="S38" s="43"/>
      <c r="Z38" s="46"/>
    </row>
    <row r="39" spans="1:26" s="5" customFormat="1" ht="18" customHeight="1">
      <c r="A39" s="9" t="s">
        <v>41</v>
      </c>
      <c r="B39" s="13"/>
      <c r="C39" s="9">
        <f t="shared" si="5"/>
        <v>0</v>
      </c>
      <c r="D39" s="15">
        <f>1+1+1</f>
        <v>3</v>
      </c>
      <c r="E39" s="9">
        <f t="shared" si="6"/>
        <v>3</v>
      </c>
      <c r="F39" s="17">
        <f>10+154+24+164+100+10+164+154</f>
        <v>780</v>
      </c>
      <c r="G39" s="9">
        <f t="shared" si="7"/>
        <v>780</v>
      </c>
      <c r="H39" s="19"/>
      <c r="I39" s="9">
        <f t="shared" si="8"/>
        <v>0</v>
      </c>
      <c r="J39" s="24"/>
      <c r="K39" s="9">
        <f t="shared" si="4"/>
        <v>0</v>
      </c>
      <c r="S39" s="43"/>
      <c r="Z39" s="46"/>
    </row>
    <row r="40" spans="1:26" s="5" customFormat="1" ht="18" customHeight="1">
      <c r="A40" s="9" t="s">
        <v>42</v>
      </c>
      <c r="B40" s="13">
        <f>78+180+187+61</f>
        <v>506</v>
      </c>
      <c r="C40" s="9">
        <f t="shared" si="5"/>
        <v>506</v>
      </c>
      <c r="D40" s="15">
        <f>1+2+1+1+1+1+4+1+1+1+3+15+1+1+8+2+11+5+5+3+4+1+5+1+3+2+2+10+22+10+15+7+2+29+6</f>
        <v>187</v>
      </c>
      <c r="E40" s="9">
        <f t="shared" si="6"/>
        <v>187</v>
      </c>
      <c r="F40" s="17"/>
      <c r="G40" s="9">
        <f t="shared" si="7"/>
        <v>0</v>
      </c>
      <c r="H40" s="19"/>
      <c r="I40" s="9">
        <f t="shared" si="8"/>
        <v>0</v>
      </c>
      <c r="J40" s="24"/>
      <c r="K40" s="9">
        <f t="shared" si="4"/>
        <v>0</v>
      </c>
      <c r="S40" s="43"/>
      <c r="Z40" s="46"/>
    </row>
    <row r="41" spans="1:26" s="5" customFormat="1" ht="18" customHeight="1">
      <c r="A41" s="9" t="s">
        <v>43</v>
      </c>
      <c r="B41" s="13">
        <f>79+11+78+69+92</f>
        <v>329</v>
      </c>
      <c r="C41" s="9">
        <f t="shared" si="5"/>
        <v>329</v>
      </c>
      <c r="D41" s="21">
        <f>2</f>
        <v>2</v>
      </c>
      <c r="E41" s="9">
        <f t="shared" si="6"/>
        <v>2</v>
      </c>
      <c r="F41" s="17">
        <f>112</f>
        <v>112</v>
      </c>
      <c r="G41" s="9">
        <f t="shared" si="7"/>
        <v>112</v>
      </c>
      <c r="H41" s="19"/>
      <c r="I41" s="9">
        <f t="shared" si="8"/>
        <v>0</v>
      </c>
      <c r="J41" s="24"/>
      <c r="K41" s="9">
        <f t="shared" si="4"/>
        <v>0</v>
      </c>
      <c r="S41" s="43"/>
      <c r="Z41" s="45"/>
    </row>
    <row r="42" spans="1:26" s="5" customFormat="1" ht="18" customHeight="1">
      <c r="A42" s="9" t="s">
        <v>44</v>
      </c>
      <c r="B42" s="13">
        <f>4+50</f>
        <v>54</v>
      </c>
      <c r="C42" s="9">
        <f t="shared" si="5"/>
        <v>54</v>
      </c>
      <c r="D42" s="15"/>
      <c r="E42" s="9">
        <f t="shared" si="6"/>
        <v>0</v>
      </c>
      <c r="F42" s="17">
        <f>15</f>
        <v>15</v>
      </c>
      <c r="G42" s="9">
        <f t="shared" si="7"/>
        <v>15</v>
      </c>
      <c r="H42" s="19"/>
      <c r="I42" s="9">
        <f t="shared" si="8"/>
        <v>0</v>
      </c>
      <c r="J42" s="24"/>
      <c r="K42" s="9">
        <f t="shared" si="4"/>
        <v>0</v>
      </c>
      <c r="S42" s="44"/>
      <c r="Z42" s="28"/>
    </row>
    <row r="43" spans="1:26" s="5" customFormat="1" ht="18" customHeight="1">
      <c r="A43" s="9" t="s">
        <v>45</v>
      </c>
      <c r="B43" s="13"/>
      <c r="C43" s="9">
        <f t="shared" si="5"/>
        <v>0</v>
      </c>
      <c r="D43" s="15"/>
      <c r="E43" s="9">
        <f t="shared" si="6"/>
        <v>0</v>
      </c>
      <c r="F43" s="17"/>
      <c r="G43" s="9">
        <f t="shared" si="7"/>
        <v>0</v>
      </c>
      <c r="H43" s="19"/>
      <c r="I43" s="9">
        <f t="shared" si="8"/>
        <v>0</v>
      </c>
      <c r="J43" s="24"/>
      <c r="K43" s="9">
        <f t="shared" si="4"/>
        <v>0</v>
      </c>
      <c r="S43" s="43"/>
      <c r="Z43" s="45"/>
    </row>
    <row r="44" spans="1:26" s="5" customFormat="1" ht="18" customHeight="1">
      <c r="A44" s="9" t="s">
        <v>46</v>
      </c>
      <c r="B44" s="13">
        <f>149</f>
        <v>149</v>
      </c>
      <c r="C44" s="9">
        <f t="shared" si="5"/>
        <v>149</v>
      </c>
      <c r="D44" s="15"/>
      <c r="E44" s="9">
        <f t="shared" si="6"/>
        <v>0</v>
      </c>
      <c r="F44" s="17"/>
      <c r="G44" s="9">
        <f t="shared" si="7"/>
        <v>0</v>
      </c>
      <c r="H44" s="19"/>
      <c r="I44" s="9">
        <f t="shared" si="8"/>
        <v>0</v>
      </c>
      <c r="J44" s="24"/>
      <c r="K44" s="9">
        <f t="shared" si="4"/>
        <v>0</v>
      </c>
      <c r="S44" s="44"/>
      <c r="Z44" s="28"/>
    </row>
    <row r="45" spans="1:26" s="5" customFormat="1" ht="18" customHeight="1">
      <c r="A45" s="9" t="s">
        <v>47</v>
      </c>
      <c r="B45" s="13">
        <f>1166+15+148+46+162+62+96+93+93+224+300+113+23+258+32+46+18+60+25+180+254+100+89+164+183+68+78+278+156+75+282+95+85+95+67+194+61+8+44+20+5+5+9+117+73+22+5+14+39+17+9+89+76+4+98+10+5+30+126+160+91+119+266+63+190+276+96+89+60+80+67+112+34+117+44+159+72+58+11+17+85+28+17+74+20+90+51+74+101+172+53+79+85+142+67+212+205+510+93+133+67+183+314+46+11+10+63+26+17+3+2+52+97+68+20+460+10+7+1+22+8+23+14+29+80+2+7+86+43+159+74+18+201+19+238+61+116+88+91+92+92+93+31+79+220+75+54+85+165+54+69+27+94+155+89+278+160+96+100+168+87+92+75+70+110+74+277+83+96+90+73+185+79+78+70+79+76+71+89+19+178+221+132+98+10+15+90+121+101+222+103+160+84+107+90+72+78+16+101+56+149+162+90+78+85+82+93+89+87+47+90+270+89+182+79+42+244+159+7+29+81+91+177+83+88+24+24+67+88+43+3+31+55+45+176+33+230+27+141+55+133+79+31+86+77+90+100+93+99+63+71+76+83+91+82+81+17+58+64+182+80+139+184+66+185+215+10+27+108+94+241+59+81+84+24+46+1+97+8+1+14+54+73+26+30+6+56+58+90+73+32+27+108+10+69+59+71+60+34+9+138+13+98+186+3+53+57+4+77+183+110+4+21+49+103+84+8+5+149+10+69+10+16+46+33+17+30+145+1+158+38+315+177+2+92+89+96+502+60+20+7+19+30+23+52+204+100+16+165+44+53+177+174+85+152+643+3+77+87+169+13+120+127+13+23+156+47+149+53+80+240+13+8+16+39+90+90+3228</f>
        <v>37957</v>
      </c>
      <c r="C45" s="9">
        <f t="shared" si="5"/>
        <v>37957</v>
      </c>
      <c r="D45" s="15">
        <f>15+146+1+105+3+53+4+11+8+15+8+12+15+30+8+9+8+1+3+12+15+15+6+13+8+14+1+15+10+4+15+4+12+12+7+105+55+31+65+105+110+102+8+3+10+5+8+13+15+9+30+10+2+15+4+5+12+15+15+1+6+36+4+35+15+10+3+5+11+2+10+5+15+5+4+14+12+10</f>
        <v>1573</v>
      </c>
      <c r="E45" s="9">
        <f t="shared" si="6"/>
        <v>1573</v>
      </c>
      <c r="F45" s="17">
        <f>13+43+30</f>
        <v>86</v>
      </c>
      <c r="G45" s="9">
        <f t="shared" si="7"/>
        <v>86</v>
      </c>
      <c r="H45" s="19"/>
      <c r="I45" s="9">
        <f t="shared" si="8"/>
        <v>0</v>
      </c>
      <c r="J45" s="24"/>
      <c r="K45" s="9">
        <f t="shared" si="4"/>
        <v>0</v>
      </c>
      <c r="S45" s="28"/>
      <c r="Z45" s="28"/>
    </row>
    <row r="46" spans="1:37" s="5" customFormat="1" ht="18" customHeight="1">
      <c r="A46" s="9" t="s">
        <v>48</v>
      </c>
      <c r="B46" s="13">
        <f>72+75+74+69+68+97+61+64+114+59+120+103+62+138+88</f>
        <v>1264</v>
      </c>
      <c r="C46" s="9">
        <f t="shared" si="5"/>
        <v>1264</v>
      </c>
      <c r="D46" s="15"/>
      <c r="E46" s="9">
        <f t="shared" si="6"/>
        <v>0</v>
      </c>
      <c r="F46" s="17"/>
      <c r="G46" s="9">
        <f t="shared" si="7"/>
        <v>0</v>
      </c>
      <c r="H46" s="19"/>
      <c r="I46" s="9">
        <f t="shared" si="8"/>
        <v>0</v>
      </c>
      <c r="J46" s="24"/>
      <c r="K46" s="9">
        <f t="shared" si="4"/>
        <v>0</v>
      </c>
      <c r="S46" s="43"/>
      <c r="Z46" s="45"/>
      <c r="AK46" s="4"/>
    </row>
    <row r="47" spans="1:26" s="5" customFormat="1" ht="18" customHeight="1">
      <c r="A47" s="9" t="s">
        <v>49</v>
      </c>
      <c r="B47" s="13">
        <v>150</v>
      </c>
      <c r="C47" s="9">
        <f t="shared" si="5"/>
        <v>150</v>
      </c>
      <c r="D47" s="15"/>
      <c r="E47" s="9">
        <f t="shared" si="6"/>
        <v>0</v>
      </c>
      <c r="F47" s="17"/>
      <c r="G47" s="9">
        <f t="shared" si="7"/>
        <v>0</v>
      </c>
      <c r="H47" s="19"/>
      <c r="I47" s="9">
        <f t="shared" si="8"/>
        <v>0</v>
      </c>
      <c r="J47" s="24"/>
      <c r="K47" s="9">
        <f t="shared" si="4"/>
        <v>0</v>
      </c>
      <c r="S47" s="28"/>
      <c r="Z47" s="28"/>
    </row>
    <row r="48" spans="1:26" s="5" customFormat="1" ht="18" customHeight="1">
      <c r="A48" s="9" t="s">
        <v>50</v>
      </c>
      <c r="B48" s="13">
        <f>137+95</f>
        <v>232</v>
      </c>
      <c r="C48" s="9">
        <f t="shared" si="5"/>
        <v>232</v>
      </c>
      <c r="D48" s="15"/>
      <c r="E48" s="9">
        <f t="shared" si="6"/>
        <v>0</v>
      </c>
      <c r="F48" s="17">
        <f>351</f>
        <v>351</v>
      </c>
      <c r="G48" s="9">
        <f t="shared" si="7"/>
        <v>351</v>
      </c>
      <c r="H48" s="19"/>
      <c r="I48" s="9">
        <f t="shared" si="8"/>
        <v>0</v>
      </c>
      <c r="J48" s="24"/>
      <c r="K48" s="9">
        <f t="shared" si="4"/>
        <v>0</v>
      </c>
      <c r="S48" s="28"/>
      <c r="Z48" s="28"/>
    </row>
    <row r="49" spans="1:37" s="5" customFormat="1" ht="18" customHeight="1">
      <c r="A49" s="9" t="s">
        <v>51</v>
      </c>
      <c r="B49" s="13"/>
      <c r="C49" s="9">
        <f t="shared" si="5"/>
        <v>0</v>
      </c>
      <c r="D49" s="15"/>
      <c r="E49" s="9">
        <f t="shared" si="6"/>
        <v>0</v>
      </c>
      <c r="F49" s="17"/>
      <c r="G49" s="9">
        <f t="shared" si="7"/>
        <v>0</v>
      </c>
      <c r="H49" s="19"/>
      <c r="I49" s="9">
        <f t="shared" si="8"/>
        <v>0</v>
      </c>
      <c r="J49" s="24"/>
      <c r="K49" s="9">
        <f t="shared" si="4"/>
        <v>0</v>
      </c>
      <c r="S49" s="28"/>
      <c r="Z49" s="28"/>
      <c r="AK49" s="2"/>
    </row>
    <row r="50" spans="1:37" s="5" customFormat="1" ht="18" customHeight="1">
      <c r="A50" s="9" t="s">
        <v>52</v>
      </c>
      <c r="B50" s="13">
        <f>375+62+55+57+76+230+75+300+148+174+130+175+190+76+52+107+64+126+180+160</f>
        <v>2812</v>
      </c>
      <c r="C50" s="9">
        <f t="shared" si="5"/>
        <v>2812</v>
      </c>
      <c r="D50" s="15"/>
      <c r="E50" s="9">
        <f t="shared" si="6"/>
        <v>0</v>
      </c>
      <c r="F50" s="17"/>
      <c r="G50" s="9">
        <f t="shared" si="7"/>
        <v>0</v>
      </c>
      <c r="H50" s="19"/>
      <c r="I50" s="9">
        <f t="shared" si="8"/>
        <v>0</v>
      </c>
      <c r="J50" s="24"/>
      <c r="K50" s="9">
        <f t="shared" si="4"/>
        <v>0</v>
      </c>
      <c r="S50" s="28"/>
      <c r="Z50" s="28"/>
      <c r="AK50" s="2"/>
    </row>
    <row r="51" spans="1:37" s="5" customFormat="1" ht="18" customHeight="1">
      <c r="A51" s="9" t="s">
        <v>53</v>
      </c>
      <c r="B51" s="13"/>
      <c r="C51" s="9">
        <f t="shared" si="5"/>
        <v>0</v>
      </c>
      <c r="D51" s="15"/>
      <c r="E51" s="9">
        <f t="shared" si="6"/>
        <v>0</v>
      </c>
      <c r="F51" s="17"/>
      <c r="G51" s="9">
        <f t="shared" si="7"/>
        <v>0</v>
      </c>
      <c r="H51" s="19"/>
      <c r="I51" s="9">
        <f t="shared" si="8"/>
        <v>0</v>
      </c>
      <c r="J51" s="24"/>
      <c r="K51" s="9">
        <f t="shared" si="4"/>
        <v>0</v>
      </c>
      <c r="S51" s="28"/>
      <c r="Z51" s="28"/>
      <c r="AK51" s="2"/>
    </row>
    <row r="52" spans="1:37" s="5" customFormat="1" ht="18" customHeight="1">
      <c r="A52" s="9" t="s">
        <v>54</v>
      </c>
      <c r="B52" s="13">
        <f>61+60+67+55+62+61+64+70+42+43+47+48+67</f>
        <v>747</v>
      </c>
      <c r="C52" s="9">
        <f t="shared" si="5"/>
        <v>747</v>
      </c>
      <c r="D52" s="15"/>
      <c r="E52" s="9">
        <f t="shared" si="6"/>
        <v>0</v>
      </c>
      <c r="F52" s="17"/>
      <c r="G52" s="9">
        <f t="shared" si="7"/>
        <v>0</v>
      </c>
      <c r="H52" s="19"/>
      <c r="I52" s="9">
        <f t="shared" si="8"/>
        <v>0</v>
      </c>
      <c r="J52" s="24"/>
      <c r="K52" s="9">
        <f t="shared" si="4"/>
        <v>0</v>
      </c>
      <c r="S52" s="28"/>
      <c r="Z52" s="28"/>
      <c r="AK52" s="2"/>
    </row>
    <row r="53" spans="1:37" s="5" customFormat="1" ht="18" customHeight="1">
      <c r="A53" s="9" t="s">
        <v>55</v>
      </c>
      <c r="B53" s="13">
        <f>20+81+32+54+60+3+8+22+36+150+14+33+43+12+27+19+120+15+113+18+139+903</f>
        <v>1922</v>
      </c>
      <c r="C53" s="9">
        <f t="shared" si="5"/>
        <v>1922</v>
      </c>
      <c r="D53" s="15">
        <f>24+49+19+2+2+70+1+3+1+1+10+1+322</f>
        <v>505</v>
      </c>
      <c r="E53" s="9">
        <f t="shared" si="6"/>
        <v>505</v>
      </c>
      <c r="F53" s="17">
        <f>2+1+1+120+8+72+20+48+50+60+33+66+8+87+2+1+11+2+2+2+7+28+2+42+34+1+27+28+12+1+120+13+50+72+60+72+40+75+3+77+30+170+59+83+120+1+144+10+30+12+1+66+115+40+138+116+10+89+12+65+65+100+6+7+79+143+78+85+25+25+68+109+18+91</f>
        <v>3570</v>
      </c>
      <c r="G53" s="9">
        <f t="shared" si="7"/>
        <v>3570</v>
      </c>
      <c r="H53" s="19"/>
      <c r="I53" s="9">
        <f t="shared" si="8"/>
        <v>0</v>
      </c>
      <c r="J53" s="24"/>
      <c r="K53" s="9">
        <f t="shared" si="4"/>
        <v>0</v>
      </c>
      <c r="S53" s="28"/>
      <c r="Z53" s="28"/>
      <c r="AK53" s="2"/>
    </row>
    <row r="54" spans="1:37" s="5" customFormat="1" ht="18" customHeight="1" thickBot="1">
      <c r="A54" s="10" t="s">
        <v>56</v>
      </c>
      <c r="B54" s="14">
        <f>86+12+66+240+80+172+180+78+78</f>
        <v>992</v>
      </c>
      <c r="C54" s="9">
        <f t="shared" si="5"/>
        <v>992</v>
      </c>
      <c r="D54" s="16">
        <f>9+42+2+13+39+34+137+40+89+79</f>
        <v>484</v>
      </c>
      <c r="E54" s="9">
        <f t="shared" si="6"/>
        <v>484</v>
      </c>
      <c r="F54" s="18"/>
      <c r="G54" s="9">
        <f t="shared" si="7"/>
        <v>0</v>
      </c>
      <c r="H54" s="20"/>
      <c r="I54" s="9">
        <f t="shared" si="8"/>
        <v>0</v>
      </c>
      <c r="J54" s="25"/>
      <c r="K54" s="9">
        <f t="shared" si="4"/>
        <v>0</v>
      </c>
      <c r="S54" s="28"/>
      <c r="Z54" s="28"/>
      <c r="AK54" s="2"/>
    </row>
    <row r="55" spans="1:37" s="5" customFormat="1" ht="18" customHeight="1" thickBot="1" thickTop="1">
      <c r="A55" s="11" t="s">
        <v>57</v>
      </c>
      <c r="B55" s="11">
        <f>SUM(B5:B54)</f>
        <v>111128</v>
      </c>
      <c r="C55" s="11"/>
      <c r="D55" s="11">
        <f>SUM(D5:D54)</f>
        <v>6092</v>
      </c>
      <c r="E55" s="11"/>
      <c r="F55" s="11">
        <f>SUM(F5:F54)</f>
        <v>11064</v>
      </c>
      <c r="G55" s="11"/>
      <c r="H55" s="11">
        <f>SUM(H5:H54)</f>
        <v>0</v>
      </c>
      <c r="I55" s="22"/>
      <c r="J55" s="11">
        <f>SUM(J5:J54)</f>
        <v>25</v>
      </c>
      <c r="K55" s="23"/>
      <c r="S55" s="28"/>
      <c r="Z55" s="28"/>
      <c r="AB55" s="4"/>
      <c r="AC55" s="4"/>
      <c r="AD55" s="4"/>
      <c r="AE55" s="4"/>
      <c r="AF55" s="4"/>
      <c r="AG55" s="4"/>
      <c r="AH55" s="4"/>
      <c r="AI55" s="4"/>
      <c r="AJ55" s="4"/>
      <c r="AK55" s="2"/>
    </row>
    <row r="56" spans="1:37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  <c r="S56" s="28"/>
      <c r="Z56" s="28"/>
      <c r="AK56" s="2"/>
    </row>
    <row r="57" spans="1:37" s="5" customFormat="1" ht="18" customHeight="1" thickBot="1" thickTop="1">
      <c r="A57" s="12" t="s">
        <v>58</v>
      </c>
      <c r="B57" s="11"/>
      <c r="C57" s="11">
        <f>B55</f>
        <v>111128</v>
      </c>
      <c r="D57" s="11"/>
      <c r="E57" s="11">
        <f>D55</f>
        <v>6092</v>
      </c>
      <c r="F57" s="11"/>
      <c r="G57" s="11">
        <f>F55</f>
        <v>11064</v>
      </c>
      <c r="H57" s="11"/>
      <c r="I57" s="11">
        <f>H55</f>
        <v>0</v>
      </c>
      <c r="J57" s="11"/>
      <c r="K57" s="11">
        <f>J55</f>
        <v>25</v>
      </c>
      <c r="S57" s="28"/>
      <c r="Z57" s="28"/>
      <c r="AK57" s="2"/>
    </row>
    <row r="58" spans="19:37" s="5" customFormat="1" ht="18" customHeight="1" thickTop="1">
      <c r="S58" s="29"/>
      <c r="Z58" s="28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s="5" customFormat="1" ht="18" customHeight="1">
      <c r="A59" s="5" t="s">
        <v>59</v>
      </c>
      <c r="S59" s="29"/>
      <c r="Z59" s="28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s="5" customFormat="1" ht="18" customHeight="1">
      <c r="A60" s="5" t="s">
        <v>12</v>
      </c>
      <c r="D60" s="5">
        <v>599</v>
      </c>
      <c r="S60" s="29"/>
      <c r="Z60" s="28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9:37" s="5" customFormat="1" ht="18" customHeight="1">
      <c r="S61" s="29"/>
      <c r="Z61" s="28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4" customFormat="1" ht="18" customHeight="1">
      <c r="A62" s="4" t="s">
        <v>60</v>
      </c>
      <c r="E62" s="4">
        <f>D60</f>
        <v>599</v>
      </c>
      <c r="G62" s="4">
        <f>F60</f>
        <v>0</v>
      </c>
      <c r="S62" s="29"/>
      <c r="Z62" s="28"/>
      <c r="AA62" s="5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9:37" s="5" customFormat="1" ht="18" customHeight="1">
      <c r="S63" s="29"/>
      <c r="Z63" s="28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9:37" s="5" customFormat="1" ht="18" customHeight="1">
      <c r="S64" s="29"/>
      <c r="Z64" s="28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9:27" ht="18" customHeight="1">
      <c r="S65" s="29"/>
      <c r="Z65" s="28"/>
      <c r="AA65" s="5"/>
    </row>
    <row r="66" spans="19:27" ht="18" customHeight="1">
      <c r="S66" s="28"/>
      <c r="Z66" s="28"/>
      <c r="AA66" s="5"/>
    </row>
    <row r="67" spans="19:27" ht="18" customHeight="1">
      <c r="S67" s="28"/>
      <c r="Z67" s="28"/>
      <c r="AA67" s="5"/>
    </row>
    <row r="68" spans="19:27" ht="18" customHeight="1">
      <c r="S68" s="29"/>
      <c r="Z68" s="28"/>
      <c r="AA68" s="5"/>
    </row>
    <row r="69" spans="19:27" ht="18" customHeight="1">
      <c r="S69" s="29"/>
      <c r="Z69" s="28"/>
      <c r="AA69" s="5"/>
    </row>
    <row r="70" spans="19:27" ht="18" customHeight="1">
      <c r="S70" s="29"/>
      <c r="Z70" s="28"/>
      <c r="AA70" s="5"/>
    </row>
    <row r="71" spans="19:27" ht="18" customHeight="1">
      <c r="S71" s="29"/>
      <c r="Z71" s="29"/>
      <c r="AA71" s="5"/>
    </row>
    <row r="72" spans="19:27" ht="18" customHeight="1">
      <c r="S72" s="29"/>
      <c r="Z72" s="29"/>
      <c r="AA72" s="5"/>
    </row>
    <row r="73" spans="19:27" ht="18" customHeight="1">
      <c r="S73" s="29"/>
      <c r="Z73" s="29"/>
      <c r="AA73" s="5"/>
    </row>
    <row r="74" spans="19:27" ht="18" customHeight="1">
      <c r="S74" s="29"/>
      <c r="Z74" s="29"/>
      <c r="AA74" s="4"/>
    </row>
    <row r="75" spans="19:27" ht="18" customHeight="1">
      <c r="S75" s="29"/>
      <c r="Z75" s="28"/>
      <c r="AA75" s="5"/>
    </row>
    <row r="76" spans="19:27" ht="18" customHeight="1">
      <c r="S76" s="29"/>
      <c r="Z76" s="28"/>
      <c r="AA76" s="5"/>
    </row>
    <row r="77" spans="19:26" ht="18" customHeight="1">
      <c r="S77" s="28"/>
      <c r="Z77" s="28"/>
    </row>
    <row r="78" spans="19:26" ht="18" customHeight="1">
      <c r="S78" s="28"/>
      <c r="Z78" s="28"/>
    </row>
    <row r="79" spans="19:26" ht="18" customHeight="1">
      <c r="S79" s="29"/>
      <c r="Z79" s="28"/>
    </row>
    <row r="80" spans="19:26" ht="18" customHeight="1">
      <c r="S80" s="29"/>
      <c r="Z80" s="28"/>
    </row>
    <row r="81" spans="19:26" ht="18" customHeight="1">
      <c r="S81" s="29"/>
      <c r="Z81" s="29"/>
    </row>
    <row r="82" spans="19:26" ht="18" customHeight="1">
      <c r="S82" s="29"/>
      <c r="Z82" s="28"/>
    </row>
    <row r="83" spans="19:26" ht="18" customHeight="1">
      <c r="S83" s="29"/>
      <c r="Z83" s="28"/>
    </row>
    <row r="84" spans="19:26" ht="18" customHeight="1">
      <c r="S84" s="29"/>
      <c r="Z84" s="28"/>
    </row>
    <row r="85" spans="19:26" ht="18" customHeight="1">
      <c r="S85" s="29"/>
      <c r="Z85" s="28"/>
    </row>
    <row r="86" spans="19:26" ht="18" customHeight="1">
      <c r="S86" s="29"/>
      <c r="Z86" s="28"/>
    </row>
    <row r="87" spans="19:26" ht="18" customHeight="1">
      <c r="S87" s="29"/>
      <c r="Z87" s="28"/>
    </row>
    <row r="88" spans="19:26" ht="15">
      <c r="S88" s="29"/>
      <c r="Z88" s="28"/>
    </row>
    <row r="89" spans="19:26" ht="15">
      <c r="S89" s="29"/>
      <c r="Z89" s="28"/>
    </row>
    <row r="90" spans="19:26" ht="15">
      <c r="S90" s="29"/>
      <c r="Z90" s="28"/>
    </row>
    <row r="91" spans="19:26" ht="15">
      <c r="S91" s="28"/>
      <c r="Z91" s="28"/>
    </row>
    <row r="92" spans="19:26" ht="15">
      <c r="S92" s="29"/>
      <c r="Z92" s="28"/>
    </row>
    <row r="93" spans="19:26" ht="15">
      <c r="S93" s="29"/>
      <c r="Z93" s="28"/>
    </row>
    <row r="94" spans="19:26" ht="15">
      <c r="S94" s="29"/>
      <c r="Z94" s="28"/>
    </row>
    <row r="95" spans="19:26" ht="15">
      <c r="S95" s="29"/>
      <c r="Z95" s="28"/>
    </row>
    <row r="96" spans="19:26" ht="15">
      <c r="S96" s="29"/>
      <c r="Z96" s="28"/>
    </row>
    <row r="97" spans="19:26" ht="15">
      <c r="S97" s="29"/>
      <c r="Z97" s="28"/>
    </row>
    <row r="98" spans="19:26" ht="15">
      <c r="S98" s="29"/>
      <c r="Z98" s="28"/>
    </row>
    <row r="99" spans="19:26" ht="15">
      <c r="S99" s="29"/>
      <c r="Z99" s="28"/>
    </row>
    <row r="100" spans="19:26" ht="15">
      <c r="S100" s="29"/>
      <c r="Z100" s="28"/>
    </row>
    <row r="101" spans="19:26" ht="15">
      <c r="S101" s="29"/>
      <c r="Z101" s="28"/>
    </row>
    <row r="102" spans="19:26" ht="15">
      <c r="S102" s="29"/>
      <c r="Z102" s="28"/>
    </row>
    <row r="103" spans="19:26" ht="15">
      <c r="S103" s="29"/>
      <c r="Z103" s="28"/>
    </row>
    <row r="104" spans="19:26" ht="15">
      <c r="S104" s="29"/>
      <c r="Z104" s="28"/>
    </row>
    <row r="105" spans="19:26" ht="15">
      <c r="S105" s="29"/>
      <c r="Z105" s="28"/>
    </row>
    <row r="106" spans="19:26" ht="15">
      <c r="S106" s="29"/>
      <c r="Z106" s="28"/>
    </row>
    <row r="107" spans="19:26" ht="15">
      <c r="S107" s="29"/>
      <c r="Z107" s="28"/>
    </row>
    <row r="108" spans="19:26" ht="15">
      <c r="S108" s="29"/>
      <c r="Z108" s="28"/>
    </row>
    <row r="109" spans="19:26" ht="15">
      <c r="S109" s="29"/>
      <c r="Z109" s="28"/>
    </row>
    <row r="110" spans="19:26" ht="15">
      <c r="S110" s="29"/>
      <c r="Z110" s="28"/>
    </row>
    <row r="111" spans="19:26" ht="15">
      <c r="S111" s="29"/>
      <c r="Z111" s="28"/>
    </row>
    <row r="112" spans="19:26" ht="15">
      <c r="S112"/>
      <c r="Z112" s="28"/>
    </row>
    <row r="113" spans="19:26" ht="15">
      <c r="S113"/>
      <c r="Z113" s="28"/>
    </row>
    <row r="114" spans="19:26" ht="15">
      <c r="S114"/>
      <c r="Z114" s="28"/>
    </row>
    <row r="115" spans="19:26" ht="15">
      <c r="S115"/>
      <c r="Z115" s="28"/>
    </row>
    <row r="116" spans="19:26" ht="15">
      <c r="S116"/>
      <c r="Z116" s="28"/>
    </row>
    <row r="117" spans="19:26" ht="15">
      <c r="S117"/>
      <c r="Z117" s="28"/>
    </row>
    <row r="118" spans="19:26" ht="15">
      <c r="S118"/>
      <c r="Z118" s="28"/>
    </row>
    <row r="119" spans="19:26" ht="15">
      <c r="S119"/>
      <c r="Z119" s="28"/>
    </row>
    <row r="120" spans="19:26" ht="15">
      <c r="S120"/>
      <c r="Z120" s="28"/>
    </row>
    <row r="121" spans="19:26" ht="15">
      <c r="S121"/>
      <c r="Z121" s="28"/>
    </row>
    <row r="122" spans="19:26" ht="15">
      <c r="S122"/>
      <c r="Z122" s="28"/>
    </row>
    <row r="123" spans="19:26" ht="15">
      <c r="S123"/>
      <c r="Z123" s="28"/>
    </row>
    <row r="124" spans="19:26" ht="15">
      <c r="S124"/>
      <c r="Z124" s="28"/>
    </row>
    <row r="125" spans="19:26" ht="15">
      <c r="S125"/>
      <c r="Z125" s="28"/>
    </row>
    <row r="126" spans="19:26" ht="15">
      <c r="S126"/>
      <c r="Z126" s="28"/>
    </row>
    <row r="127" spans="19:26" ht="15">
      <c r="S127"/>
      <c r="Z127" s="28"/>
    </row>
    <row r="128" spans="19:26" ht="15">
      <c r="S128"/>
      <c r="Z128" s="28"/>
    </row>
    <row r="129" spans="19:26" ht="15">
      <c r="S129"/>
      <c r="Z129" s="28"/>
    </row>
    <row r="130" spans="19:26" ht="15">
      <c r="S130"/>
      <c r="Z130" s="28"/>
    </row>
    <row r="131" spans="19:26" ht="15">
      <c r="S131"/>
      <c r="Z131" s="28"/>
    </row>
    <row r="132" spans="19:26" ht="15">
      <c r="S132"/>
      <c r="Z132" s="28"/>
    </row>
    <row r="133" spans="19:26" ht="15">
      <c r="S133"/>
      <c r="Z133" s="28"/>
    </row>
    <row r="134" spans="19:26" ht="15">
      <c r="S134"/>
      <c r="Z134" s="28"/>
    </row>
    <row r="135" spans="19:26" ht="15">
      <c r="S135"/>
      <c r="Z135" s="28"/>
    </row>
    <row r="136" spans="19:26" ht="15">
      <c r="S136"/>
      <c r="Z136" s="28"/>
    </row>
    <row r="137" spans="19:26" ht="15">
      <c r="S137" s="28"/>
      <c r="Z137" s="28"/>
    </row>
    <row r="138" spans="19:26" ht="15">
      <c r="S138"/>
      <c r="Z138" s="28"/>
    </row>
    <row r="139" spans="19:26" ht="15">
      <c r="S139" s="29"/>
      <c r="Z139" s="28"/>
    </row>
    <row r="140" spans="19:26" ht="15">
      <c r="S140"/>
      <c r="Z140" s="28"/>
    </row>
    <row r="141" spans="19:26" ht="15">
      <c r="S141"/>
      <c r="Z141" s="28"/>
    </row>
    <row r="142" spans="19:26" ht="15">
      <c r="S142"/>
      <c r="Z142" s="28"/>
    </row>
    <row r="143" spans="19:26" ht="15">
      <c r="S143"/>
      <c r="Z143" s="28"/>
    </row>
    <row r="144" spans="19:26" ht="15">
      <c r="S144"/>
      <c r="Z144" s="28"/>
    </row>
    <row r="145" spans="19:26" ht="15">
      <c r="S145"/>
      <c r="Z145" s="28"/>
    </row>
    <row r="146" spans="19:26" ht="15">
      <c r="S146" s="31"/>
      <c r="Z146" s="28"/>
    </row>
    <row r="147" spans="19:26" ht="15">
      <c r="S147" s="31"/>
      <c r="Z147" s="28"/>
    </row>
    <row r="148" spans="19:26" ht="15">
      <c r="S148" s="31"/>
      <c r="Z148" s="28"/>
    </row>
    <row r="149" spans="19:26" ht="15">
      <c r="S149" s="31"/>
      <c r="Z149" s="28"/>
    </row>
    <row r="150" spans="19:26" ht="15">
      <c r="S150" s="31"/>
      <c r="Z150" s="28"/>
    </row>
    <row r="151" spans="19:26" ht="15">
      <c r="S151" s="31"/>
      <c r="Z151" s="28"/>
    </row>
    <row r="152" spans="19:26" ht="15">
      <c r="S152" s="31"/>
      <c r="Z152" s="28"/>
    </row>
    <row r="153" spans="19:26" ht="15">
      <c r="S153" s="31"/>
      <c r="Z153" s="28"/>
    </row>
    <row r="154" spans="19:26" ht="15">
      <c r="S154" s="31"/>
      <c r="Z154" s="28"/>
    </row>
    <row r="155" spans="19:26" ht="15">
      <c r="S155" s="31"/>
      <c r="Z155" s="28"/>
    </row>
    <row r="156" spans="19:26" ht="15">
      <c r="S156" s="31"/>
      <c r="Z156" s="28"/>
    </row>
    <row r="157" spans="19:26" ht="15">
      <c r="S157" s="31"/>
      <c r="Z157" s="28"/>
    </row>
    <row r="158" spans="19:26" ht="15">
      <c r="S158" s="31"/>
      <c r="Z158" s="28"/>
    </row>
    <row r="159" spans="19:26" ht="15">
      <c r="S159" s="29"/>
      <c r="Z159" s="28"/>
    </row>
    <row r="160" spans="19:26" ht="15">
      <c r="S160" s="29"/>
      <c r="Z160" s="28"/>
    </row>
    <row r="161" spans="19:26" ht="15">
      <c r="S161" s="29"/>
      <c r="Z161" s="28"/>
    </row>
    <row r="162" spans="19:26" ht="15">
      <c r="S162" s="29"/>
      <c r="Z162" s="28"/>
    </row>
    <row r="163" spans="19:26" ht="15">
      <c r="S163" s="31"/>
      <c r="Z163" s="28"/>
    </row>
    <row r="164" spans="19:26" ht="15">
      <c r="S164" s="31"/>
      <c r="Z164" s="28"/>
    </row>
    <row r="165" spans="19:26" ht="15">
      <c r="S165" s="31"/>
      <c r="Z165" s="28"/>
    </row>
    <row r="166" spans="19:26" ht="15">
      <c r="S166" s="31"/>
      <c r="Z166" s="28"/>
    </row>
    <row r="167" spans="19:26" ht="15">
      <c r="S167" s="31"/>
      <c r="Z167" s="28"/>
    </row>
    <row r="168" spans="19:26" ht="15">
      <c r="S168" s="31"/>
      <c r="Z168" s="28"/>
    </row>
    <row r="169" spans="19:26" ht="15">
      <c r="S169" s="31"/>
      <c r="Z169" s="28"/>
    </row>
    <row r="170" spans="19:26" ht="15">
      <c r="S170" s="31"/>
      <c r="T170" s="29"/>
      <c r="U170" s="29"/>
      <c r="V170" s="28"/>
      <c r="W170" s="28"/>
      <c r="X170" s="28"/>
      <c r="Y170" s="28"/>
      <c r="Z170" s="28"/>
    </row>
    <row r="171" spans="19:26" ht="15">
      <c r="S171" s="31"/>
      <c r="T171" s="29"/>
      <c r="U171" s="29"/>
      <c r="V171" s="28"/>
      <c r="W171" s="28"/>
      <c r="X171" s="28"/>
      <c r="Y171" s="28"/>
      <c r="Z171" s="28"/>
    </row>
    <row r="172" spans="19:26" ht="15">
      <c r="S172" s="31"/>
      <c r="T172" s="29"/>
      <c r="U172" s="29"/>
      <c r="V172" s="28"/>
      <c r="W172" s="28"/>
      <c r="X172" s="28"/>
      <c r="Y172" s="28"/>
      <c r="Z172" s="28"/>
    </row>
    <row r="173" spans="19:26" ht="15">
      <c r="S173" s="31"/>
      <c r="T173" s="29"/>
      <c r="U173" s="29"/>
      <c r="V173" s="28"/>
      <c r="W173" s="28"/>
      <c r="X173" s="28"/>
      <c r="Y173" s="28"/>
      <c r="Z173" s="28"/>
    </row>
    <row r="174" spans="19:26" ht="15">
      <c r="S174" s="31"/>
      <c r="T174" s="30"/>
      <c r="U174" s="29"/>
      <c r="V174" s="28"/>
      <c r="W174" s="28"/>
      <c r="X174" s="28"/>
      <c r="Y174" s="28"/>
      <c r="Z174" s="28"/>
    </row>
    <row r="175" spans="19:26" ht="15">
      <c r="S175" s="34"/>
      <c r="T175" s="41"/>
      <c r="U175" s="40"/>
      <c r="V175" s="39"/>
      <c r="W175" s="28"/>
      <c r="X175" s="28"/>
      <c r="Y175" s="28"/>
      <c r="Z175" s="28"/>
    </row>
    <row r="176" spans="19:26" ht="15">
      <c r="S176" s="34"/>
      <c r="T176" s="41"/>
      <c r="U176" s="40"/>
      <c r="V176" s="39"/>
      <c r="W176" s="28"/>
      <c r="X176" s="28"/>
      <c r="Y176" s="28"/>
      <c r="Z176" s="28"/>
    </row>
    <row r="177" spans="19:26" ht="15">
      <c r="S177" s="34"/>
      <c r="T177" s="41"/>
      <c r="U177" s="40"/>
      <c r="V177" s="39"/>
      <c r="W177" s="33"/>
      <c r="X177" s="28"/>
      <c r="Y177" s="28"/>
      <c r="Z177" s="28"/>
    </row>
    <row r="178" spans="19:26" ht="15">
      <c r="S178" s="34"/>
      <c r="T178" s="41"/>
      <c r="U178" s="40"/>
      <c r="V178" s="39"/>
      <c r="W178" s="33"/>
      <c r="X178" s="28"/>
      <c r="Y178" s="28"/>
      <c r="Z178" s="28"/>
    </row>
    <row r="179" spans="19:26" ht="15">
      <c r="S179" s="34"/>
      <c r="T179" s="41"/>
      <c r="U179" s="40"/>
      <c r="V179" s="39"/>
      <c r="W179" s="33"/>
      <c r="X179" s="28"/>
      <c r="Y179" s="28"/>
      <c r="Z179" s="28"/>
    </row>
    <row r="180" spans="19:26" ht="15">
      <c r="S180" s="34"/>
      <c r="T180" s="41"/>
      <c r="U180" s="42"/>
      <c r="V180" s="39"/>
      <c r="W180" s="33"/>
      <c r="X180" s="28"/>
      <c r="Y180" s="28"/>
      <c r="Z180" s="28"/>
    </row>
    <row r="181" spans="19:26" ht="15">
      <c r="S181" s="34"/>
      <c r="T181" s="41"/>
      <c r="U181" s="40"/>
      <c r="V181" s="39"/>
      <c r="W181" s="33"/>
      <c r="X181" s="28"/>
      <c r="Y181" s="28"/>
      <c r="Z181" s="28"/>
    </row>
    <row r="182" spans="19:26" ht="15">
      <c r="S182" s="34"/>
      <c r="T182" s="29"/>
      <c r="U182" s="29"/>
      <c r="V182" s="28"/>
      <c r="W182" s="33"/>
      <c r="X182" s="28"/>
      <c r="Y182" s="28"/>
      <c r="Z182" s="28"/>
    </row>
    <row r="183" spans="19:26" ht="15">
      <c r="S183" s="34"/>
      <c r="T183" s="29"/>
      <c r="U183" s="29"/>
      <c r="V183" s="28"/>
      <c r="W183" s="33"/>
      <c r="X183" s="28"/>
      <c r="Y183" s="28"/>
      <c r="Z183" s="28"/>
    </row>
    <row r="184" spans="19:26" ht="15">
      <c r="S184" s="34"/>
      <c r="T184" s="29"/>
      <c r="U184" s="29"/>
      <c r="V184" s="28"/>
      <c r="W184" s="33"/>
      <c r="X184" s="28"/>
      <c r="Y184" s="28"/>
      <c r="Z184" s="28"/>
    </row>
    <row r="185" spans="19:26" ht="15">
      <c r="S185" s="34"/>
      <c r="T185" s="29"/>
      <c r="U185" s="29"/>
      <c r="V185" s="28"/>
      <c r="W185" s="33"/>
      <c r="X185" s="28"/>
      <c r="Y185" s="28"/>
      <c r="Z185" s="28"/>
    </row>
    <row r="186" spans="19:26" ht="15">
      <c r="S186" s="34"/>
      <c r="T186" s="29"/>
      <c r="U186" s="29"/>
      <c r="V186" s="28"/>
      <c r="W186" s="33"/>
      <c r="X186" s="28"/>
      <c r="Y186" s="28"/>
      <c r="Z186" s="28"/>
    </row>
    <row r="187" spans="19:26" ht="15">
      <c r="S187" s="34"/>
      <c r="T187" s="29"/>
      <c r="U187" s="29"/>
      <c r="V187" s="28"/>
      <c r="W187" s="33"/>
      <c r="X187" s="28"/>
      <c r="Y187" s="28"/>
      <c r="Z187" s="28"/>
    </row>
    <row r="188" spans="19:26" ht="15">
      <c r="S188" s="34"/>
      <c r="T188" s="30"/>
      <c r="U188" s="29"/>
      <c r="V188" s="28"/>
      <c r="W188" s="33"/>
      <c r="X188" s="28"/>
      <c r="Y188" s="28"/>
      <c r="Z188" s="28"/>
    </row>
    <row r="189" spans="19:26" ht="15">
      <c r="S189" s="34"/>
      <c r="T189" s="30"/>
      <c r="U189" s="29"/>
      <c r="V189" s="28"/>
      <c r="W189" s="33"/>
      <c r="X189" s="28"/>
      <c r="Y189" s="28"/>
      <c r="Z189" s="28"/>
    </row>
    <row r="190" spans="19:26" ht="15">
      <c r="S190" s="34"/>
      <c r="T190" s="30"/>
      <c r="U190" s="29"/>
      <c r="V190" s="28"/>
      <c r="W190" s="33"/>
      <c r="X190" s="28"/>
      <c r="Y190" s="28"/>
      <c r="Z190" s="28"/>
    </row>
    <row r="191" spans="19:26" ht="15">
      <c r="S191" s="34"/>
      <c r="T191" s="30"/>
      <c r="U191" s="29"/>
      <c r="V191" s="28"/>
      <c r="W191" s="33"/>
      <c r="X191" s="28"/>
      <c r="Y191" s="28"/>
      <c r="Z191" s="28"/>
    </row>
    <row r="192" spans="19:26" ht="15">
      <c r="S192" s="34"/>
      <c r="T192" s="30"/>
      <c r="U192" s="29"/>
      <c r="V192" s="28"/>
      <c r="W192" s="33"/>
      <c r="X192" s="28"/>
      <c r="Y192" s="28"/>
      <c r="Z192" s="28"/>
    </row>
    <row r="193" spans="19:26" ht="15">
      <c r="S193" s="34"/>
      <c r="T193" s="30"/>
      <c r="U193" s="29"/>
      <c r="V193" s="28"/>
      <c r="W193" s="33"/>
      <c r="X193" s="28"/>
      <c r="Y193" s="28"/>
      <c r="Z193" s="28"/>
    </row>
    <row r="194" spans="19:26" ht="15">
      <c r="S194" s="34"/>
      <c r="T194" s="30"/>
      <c r="U194" s="29"/>
      <c r="V194" s="28"/>
      <c r="W194" s="33"/>
      <c r="X194" s="28"/>
      <c r="Y194" s="28"/>
      <c r="Z194" s="28"/>
    </row>
    <row r="195" spans="19:26" ht="15">
      <c r="S195" s="34"/>
      <c r="T195" s="30"/>
      <c r="U195" s="29"/>
      <c r="V195" s="28"/>
      <c r="W195" s="33"/>
      <c r="X195" s="28"/>
      <c r="Y195" s="28"/>
      <c r="Z195" s="28"/>
    </row>
    <row r="196" spans="19:26" ht="15">
      <c r="S196" s="34"/>
      <c r="T196" s="30"/>
      <c r="U196" s="29"/>
      <c r="V196" s="28"/>
      <c r="W196" s="33"/>
      <c r="X196" s="28"/>
      <c r="Y196" s="28"/>
      <c r="Z196" s="28"/>
    </row>
    <row r="197" spans="19:26" ht="15">
      <c r="S197" s="34"/>
      <c r="T197" s="30"/>
      <c r="U197" s="29"/>
      <c r="V197" s="28"/>
      <c r="W197" s="33"/>
      <c r="X197" s="28"/>
      <c r="Y197" s="28"/>
      <c r="Z197" s="28"/>
    </row>
    <row r="198" spans="19:26" ht="15">
      <c r="S198" s="34"/>
      <c r="T198" s="30"/>
      <c r="U198" s="29"/>
      <c r="V198" s="28"/>
      <c r="W198" s="33"/>
      <c r="X198" s="28"/>
      <c r="Y198" s="28"/>
      <c r="Z198" s="28"/>
    </row>
    <row r="199" spans="19:26" ht="15">
      <c r="S199" s="34"/>
      <c r="T199" s="30"/>
      <c r="U199" s="29"/>
      <c r="V199" s="28"/>
      <c r="W199" s="33"/>
      <c r="X199" s="28"/>
      <c r="Y199" s="28"/>
      <c r="Z199" s="28"/>
    </row>
    <row r="200" spans="19:26" ht="15">
      <c r="S200" s="34"/>
      <c r="T200" s="30"/>
      <c r="U200" s="29"/>
      <c r="V200" s="28"/>
      <c r="W200" s="33"/>
      <c r="X200" s="28"/>
      <c r="Y200" s="28"/>
      <c r="Z200" s="28"/>
    </row>
    <row r="201" spans="19:26" ht="15">
      <c r="S201" s="34"/>
      <c r="T201" s="30"/>
      <c r="U201" s="29"/>
      <c r="V201" s="28"/>
      <c r="W201" s="33"/>
      <c r="X201" s="28"/>
      <c r="Y201" s="28"/>
      <c r="Z201" s="28"/>
    </row>
    <row r="202" spans="19:26" ht="15">
      <c r="S202" s="34"/>
      <c r="T202" s="30"/>
      <c r="U202" s="29"/>
      <c r="V202" s="28"/>
      <c r="W202" s="33"/>
      <c r="X202" s="28"/>
      <c r="Y202" s="28"/>
      <c r="Z202" s="28"/>
    </row>
    <row r="203" spans="19:26" ht="15">
      <c r="S203" s="34"/>
      <c r="T203" s="30"/>
      <c r="U203" s="29"/>
      <c r="V203" s="28"/>
      <c r="W203" s="33"/>
      <c r="X203" s="28"/>
      <c r="Y203" s="28"/>
      <c r="Z203" s="28"/>
    </row>
    <row r="204" spans="19:26" ht="15">
      <c r="S204" s="34"/>
      <c r="T204" s="30"/>
      <c r="U204" s="29"/>
      <c r="V204" s="28"/>
      <c r="W204" s="33"/>
      <c r="X204" s="28"/>
      <c r="Y204" s="28"/>
      <c r="Z204" s="28"/>
    </row>
    <row r="205" spans="19:26" ht="15">
      <c r="S205" s="34"/>
      <c r="T205" s="30"/>
      <c r="U205" s="29"/>
      <c r="V205" s="28"/>
      <c r="W205" s="33"/>
      <c r="X205" s="28"/>
      <c r="Y205" s="28"/>
      <c r="Z205" s="28"/>
    </row>
    <row r="206" spans="19:26" ht="15">
      <c r="S206" s="31"/>
      <c r="T206" s="30"/>
      <c r="U206" s="29"/>
      <c r="V206" s="28"/>
      <c r="W206" s="33"/>
      <c r="X206" s="28"/>
      <c r="Y206" s="28"/>
      <c r="Z206" s="28"/>
    </row>
    <row r="207" spans="19:26" ht="15">
      <c r="S207" s="31"/>
      <c r="T207" s="30"/>
      <c r="U207" s="29"/>
      <c r="V207" s="28"/>
      <c r="W207" s="33"/>
      <c r="X207" s="28"/>
      <c r="Y207" s="28"/>
      <c r="Z207" s="28"/>
    </row>
    <row r="208" spans="19:26" ht="15">
      <c r="S208" s="31"/>
      <c r="T208" s="30"/>
      <c r="U208" s="29"/>
      <c r="V208" s="28"/>
      <c r="W208" s="28"/>
      <c r="X208" s="28"/>
      <c r="Y208" s="28"/>
      <c r="Z208" s="28"/>
    </row>
    <row r="209" spans="19:26" ht="15">
      <c r="S209" s="31"/>
      <c r="T209" s="30"/>
      <c r="U209" s="29"/>
      <c r="V209" s="28"/>
      <c r="W209" s="28"/>
      <c r="X209" s="28"/>
      <c r="Y209" s="28"/>
      <c r="Z209" s="28"/>
    </row>
    <row r="210" spans="19:26" ht="15">
      <c r="S210" s="31"/>
      <c r="T210" s="30"/>
      <c r="U210" s="29"/>
      <c r="V210" s="28"/>
      <c r="W210" s="28"/>
      <c r="X210" s="28"/>
      <c r="Y210" s="28"/>
      <c r="Z210" s="28"/>
    </row>
    <row r="211" spans="20:25" ht="15">
      <c r="T211" s="30"/>
      <c r="U211" s="29"/>
      <c r="V211" s="28"/>
      <c r="W211" s="28"/>
      <c r="X211" s="28"/>
      <c r="Y211" s="28"/>
    </row>
    <row r="212" spans="20:25" ht="15">
      <c r="T212" s="30"/>
      <c r="U212" s="29"/>
      <c r="V212" s="28"/>
      <c r="W212" s="28"/>
      <c r="X212" s="28"/>
      <c r="Y212" s="28"/>
    </row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2" width="9.00390625" style="2" customWidth="1"/>
    <col min="13" max="38" width="9.00390625" style="0" customWidth="1"/>
    <col min="39" max="16384" width="9.00390625" style="2" customWidth="1"/>
  </cols>
  <sheetData>
    <row r="1" spans="1:8" ht="23.25">
      <c r="A1" s="1" t="s">
        <v>73</v>
      </c>
      <c r="F1" s="2" t="s">
        <v>70</v>
      </c>
      <c r="H1" s="2" t="s">
        <v>74</v>
      </c>
    </row>
    <row r="2" spans="1:12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f>60+6</f>
        <v>66</v>
      </c>
      <c r="C5" s="9">
        <f>September!C5+B5</f>
        <v>1238</v>
      </c>
      <c r="D5" s="15"/>
      <c r="E5" s="9">
        <f>September!E5+D5</f>
        <v>7</v>
      </c>
      <c r="F5" s="17"/>
      <c r="G5" s="9">
        <f>September!G5+F5</f>
        <v>0</v>
      </c>
      <c r="H5" s="19"/>
      <c r="I5" s="9">
        <f>September!I5+H5</f>
        <v>0</v>
      </c>
      <c r="J5" s="24"/>
      <c r="K5" s="9">
        <f>September!K5+J5</f>
        <v>0</v>
      </c>
    </row>
    <row r="6" spans="1:11" s="5" customFormat="1" ht="18" customHeight="1">
      <c r="A6" s="9" t="s">
        <v>8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  <c r="J6" s="24"/>
      <c r="K6" s="9">
        <f>September!K6+J6</f>
        <v>0</v>
      </c>
    </row>
    <row r="7" spans="1:11" s="5" customFormat="1" ht="18" customHeight="1">
      <c r="A7" s="9" t="s">
        <v>9</v>
      </c>
      <c r="B7" s="13"/>
      <c r="C7" s="9">
        <f>September!C7+B7</f>
        <v>84</v>
      </c>
      <c r="D7" s="15">
        <f>538</f>
        <v>538</v>
      </c>
      <c r="E7" s="9">
        <f>September!E7+D7</f>
        <v>663</v>
      </c>
      <c r="F7" s="17">
        <f>700</f>
        <v>700</v>
      </c>
      <c r="G7" s="9">
        <f>September!G7+F7</f>
        <v>3260</v>
      </c>
      <c r="H7" s="19"/>
      <c r="I7" s="9">
        <f>September!I7+H7</f>
        <v>0</v>
      </c>
      <c r="J7" s="24"/>
      <c r="K7" s="9">
        <f>September!K7+J7</f>
        <v>0</v>
      </c>
    </row>
    <row r="8" spans="1:11" s="5" customFormat="1" ht="18" customHeight="1">
      <c r="A8" s="9" t="s">
        <v>10</v>
      </c>
      <c r="B8" s="13">
        <f>83+60+1</f>
        <v>144</v>
      </c>
      <c r="C8" s="9">
        <f>September!C8+B8</f>
        <v>6361</v>
      </c>
      <c r="D8" s="15"/>
      <c r="E8" s="9">
        <f>September!E8+D8</f>
        <v>173</v>
      </c>
      <c r="F8" s="17"/>
      <c r="G8" s="9">
        <f>September!G8+F8</f>
        <v>0</v>
      </c>
      <c r="H8" s="19"/>
      <c r="I8" s="9">
        <f>September!I8+H8</f>
        <v>0</v>
      </c>
      <c r="J8" s="24"/>
      <c r="K8" s="9">
        <f>September!K8+J8</f>
        <v>0</v>
      </c>
    </row>
    <row r="9" spans="1:11" s="5" customFormat="1" ht="18" customHeight="1">
      <c r="A9" s="9" t="s">
        <v>11</v>
      </c>
      <c r="B9" s="13">
        <f>435+58</f>
        <v>493</v>
      </c>
      <c r="C9" s="9">
        <f>September!C9+B9</f>
        <v>4141</v>
      </c>
      <c r="D9" s="15">
        <f>7+2</f>
        <v>9</v>
      </c>
      <c r="E9" s="9">
        <f>September!E9+D9</f>
        <v>845</v>
      </c>
      <c r="F9" s="17">
        <f>100+95</f>
        <v>195</v>
      </c>
      <c r="G9" s="9">
        <f>September!G9+F9</f>
        <v>6215</v>
      </c>
      <c r="H9" s="19"/>
      <c r="I9" s="9">
        <f>September!I9+H9</f>
        <v>148</v>
      </c>
      <c r="J9" s="24"/>
      <c r="K9" s="9">
        <f>September!K9+J9</f>
        <v>0</v>
      </c>
    </row>
    <row r="10" spans="1:11" s="5" customFormat="1" ht="18" customHeight="1">
      <c r="A10" s="9" t="s">
        <v>12</v>
      </c>
      <c r="B10" s="13">
        <f>75+75+93+114+88+102+86+89+100+102+93+93+132+96+93+100+114+96+132+93+102+86+89+102+88+19+96+91+87+86+81+107+80+83+83+82+109+110+89+124+110+127+111+115+106+117+107+121+3+6+2+105+120+113+120+1+114+123+120+121+112+118+123+14</f>
        <v>5989</v>
      </c>
      <c r="C10" s="9">
        <f>September!C10+B10</f>
        <v>40999</v>
      </c>
      <c r="D10" s="15">
        <v>69</v>
      </c>
      <c r="E10" s="9">
        <f>September!E10+D10</f>
        <v>163</v>
      </c>
      <c r="F10" s="17"/>
      <c r="G10" s="9">
        <f>September!G10+F10</f>
        <v>405</v>
      </c>
      <c r="H10" s="19"/>
      <c r="I10" s="9">
        <f>September!I10+H10</f>
        <v>34</v>
      </c>
      <c r="J10" s="24"/>
      <c r="K10" s="9">
        <f>September!K10+J10</f>
        <v>0</v>
      </c>
    </row>
    <row r="11" spans="1:11" s="5" customFormat="1" ht="18" customHeight="1">
      <c r="A11" s="9" t="s">
        <v>13</v>
      </c>
      <c r="B11" s="13">
        <f>80+925+84+170</f>
        <v>1259</v>
      </c>
      <c r="C11" s="9">
        <f>September!C11+B11</f>
        <v>5628</v>
      </c>
      <c r="D11" s="15">
        <f>1+60</f>
        <v>61</v>
      </c>
      <c r="E11" s="9">
        <f>September!E11+D11</f>
        <v>476</v>
      </c>
      <c r="F11" s="17">
        <f>80+110</f>
        <v>190</v>
      </c>
      <c r="G11" s="9">
        <f>September!G11+F11</f>
        <v>2546</v>
      </c>
      <c r="H11" s="19"/>
      <c r="I11" s="9">
        <f>September!I11+H11</f>
        <v>0</v>
      </c>
      <c r="J11" s="24"/>
      <c r="K11" s="9">
        <f>September!K11+J11</f>
        <v>2</v>
      </c>
    </row>
    <row r="12" spans="1:11" s="5" customFormat="1" ht="18" customHeight="1">
      <c r="A12" s="9" t="s">
        <v>14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  <c r="J12" s="24"/>
      <c r="K12" s="9">
        <f>September!K12+J12</f>
        <v>0</v>
      </c>
    </row>
    <row r="13" spans="1:11" s="5" customFormat="1" ht="18" customHeight="1">
      <c r="A13" s="9" t="s">
        <v>15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  <c r="J13" s="24"/>
      <c r="K13" s="9">
        <f>September!K13+J13</f>
        <v>0</v>
      </c>
    </row>
    <row r="14" spans="1:11" s="5" customFormat="1" ht="18" customHeight="1">
      <c r="A14" s="9" t="s">
        <v>16</v>
      </c>
      <c r="B14" s="13">
        <f>26+24+84+30</f>
        <v>164</v>
      </c>
      <c r="C14" s="9">
        <f>September!C14+B14</f>
        <v>1103</v>
      </c>
      <c r="D14" s="15"/>
      <c r="E14" s="9">
        <f>September!E14+D14</f>
        <v>0</v>
      </c>
      <c r="F14" s="17">
        <f>1+30</f>
        <v>31</v>
      </c>
      <c r="G14" s="9">
        <f>September!G14+F14</f>
        <v>129</v>
      </c>
      <c r="H14" s="19"/>
      <c r="I14" s="9">
        <f>September!I14+H14</f>
        <v>0</v>
      </c>
      <c r="J14" s="24"/>
      <c r="K14" s="9">
        <f>September!K14+J14</f>
        <v>0</v>
      </c>
    </row>
    <row r="15" spans="1:11" s="5" customFormat="1" ht="18" customHeight="1">
      <c r="A15" s="9" t="s">
        <v>17</v>
      </c>
      <c r="B15" s="13">
        <f>72+56+78+59+71+75+70+70+70+70+60+82+65+222</f>
        <v>1120</v>
      </c>
      <c r="C15" s="9">
        <f>September!C15+B15</f>
        <v>4101</v>
      </c>
      <c r="D15" s="15">
        <f>1+82+82</f>
        <v>165</v>
      </c>
      <c r="E15" s="9">
        <f>September!E15+D15</f>
        <v>198</v>
      </c>
      <c r="F15" s="17"/>
      <c r="G15" s="9">
        <f>September!G15+F15</f>
        <v>102</v>
      </c>
      <c r="H15" s="19"/>
      <c r="I15" s="9">
        <f>September!I15+H15</f>
        <v>0</v>
      </c>
      <c r="J15" s="24"/>
      <c r="K15" s="9">
        <f>September!K15+J15</f>
        <v>0</v>
      </c>
    </row>
    <row r="16" spans="1:11" s="5" customFormat="1" ht="18" customHeight="1">
      <c r="A16" s="9" t="s">
        <v>18</v>
      </c>
      <c r="B16" s="13"/>
      <c r="C16" s="9">
        <f>September!C16+B16</f>
        <v>113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  <c r="J16" s="24"/>
      <c r="K16" s="9">
        <f>September!K16+J16</f>
        <v>0</v>
      </c>
    </row>
    <row r="17" spans="1:11" s="5" customFormat="1" ht="18" customHeight="1">
      <c r="A17" s="9" t="s">
        <v>19</v>
      </c>
      <c r="B17" s="13">
        <f>100+181+105</f>
        <v>386</v>
      </c>
      <c r="C17" s="9">
        <f>September!C17+B17</f>
        <v>3706</v>
      </c>
      <c r="D17" s="15">
        <f>6+2+4+1+220</f>
        <v>233</v>
      </c>
      <c r="E17" s="9">
        <f>September!E17+D17</f>
        <v>763</v>
      </c>
      <c r="F17" s="17">
        <f>269+100+100</f>
        <v>469</v>
      </c>
      <c r="G17" s="9">
        <f>September!G17+F17</f>
        <v>1958</v>
      </c>
      <c r="H17" s="19"/>
      <c r="I17" s="9">
        <f>September!I17+H17</f>
        <v>0</v>
      </c>
      <c r="J17" s="24"/>
      <c r="K17" s="9">
        <f>September!K17+J17</f>
        <v>0</v>
      </c>
    </row>
    <row r="18" spans="1:11" s="5" customFormat="1" ht="18" customHeight="1">
      <c r="A18" s="9" t="s">
        <v>20</v>
      </c>
      <c r="B18" s="13">
        <f>59+58+13+95+95+95+71+94+25+185</f>
        <v>790</v>
      </c>
      <c r="C18" s="9">
        <f>September!C18+B18</f>
        <v>5134</v>
      </c>
      <c r="D18" s="15">
        <f>4+29+2+1+2+5+9+26+4+2+16</f>
        <v>100</v>
      </c>
      <c r="E18" s="9">
        <f>September!E18+D18</f>
        <v>857</v>
      </c>
      <c r="F18" s="17">
        <f>17+87</f>
        <v>104</v>
      </c>
      <c r="G18" s="9">
        <f>September!G18+F18</f>
        <v>1022</v>
      </c>
      <c r="H18" s="19"/>
      <c r="I18" s="9">
        <f>September!I18+H18</f>
        <v>0</v>
      </c>
      <c r="J18" s="24"/>
      <c r="K18" s="9">
        <f>September!K18+J18</f>
        <v>0</v>
      </c>
    </row>
    <row r="19" spans="1:11" s="5" customFormat="1" ht="18" customHeight="1">
      <c r="A19" s="9" t="s">
        <v>21</v>
      </c>
      <c r="B19" s="13">
        <f>52+68+159+1254</f>
        <v>1533</v>
      </c>
      <c r="C19" s="9">
        <f>September!C19+B19</f>
        <v>8874</v>
      </c>
      <c r="D19" s="15">
        <f>3+1+7+11+1+2</f>
        <v>25</v>
      </c>
      <c r="E19" s="9">
        <f>September!E19+D19</f>
        <v>1076</v>
      </c>
      <c r="F19" s="17">
        <f>20+108+150+22+120</f>
        <v>420</v>
      </c>
      <c r="G19" s="9">
        <f>September!G19+F19</f>
        <v>10154</v>
      </c>
      <c r="H19" s="19"/>
      <c r="I19" s="9">
        <f>September!I19+H19</f>
        <v>0</v>
      </c>
      <c r="J19" s="24"/>
      <c r="K19" s="9">
        <f>September!K19+J19</f>
        <v>0</v>
      </c>
    </row>
    <row r="20" spans="1:11" s="5" customFormat="1" ht="18" customHeight="1">
      <c r="A20" s="9" t="s">
        <v>22</v>
      </c>
      <c r="B20" s="13">
        <f>60+105+58+68+66+190+118+65+18+65+120+70+200+58+239+55+75+87+230+242+58+61+138+45+67+44+400+184</f>
        <v>3186</v>
      </c>
      <c r="C20" s="9">
        <f>September!C20+B20</f>
        <v>40708</v>
      </c>
      <c r="D20" s="15">
        <f>1+1+2+1+40</f>
        <v>45</v>
      </c>
      <c r="E20" s="9">
        <f>September!E20+D20</f>
        <v>1122</v>
      </c>
      <c r="F20" s="17">
        <f>1+97</f>
        <v>98</v>
      </c>
      <c r="G20" s="9">
        <f>September!G20+F20</f>
        <v>1939</v>
      </c>
      <c r="H20" s="19"/>
      <c r="I20" s="9">
        <f>September!I20+H20</f>
        <v>0</v>
      </c>
      <c r="J20" s="24"/>
      <c r="K20" s="9">
        <f>September!K20+J20</f>
        <v>23</v>
      </c>
    </row>
    <row r="21" spans="1:11" s="5" customFormat="1" ht="18" customHeight="1">
      <c r="A21" s="9" t="s">
        <v>23</v>
      </c>
      <c r="B21" s="13">
        <f>13+5+95+162+29+222+26+129+285+40+22+73+29+34+214+99+68+70+59+75+122+68+71+47+160+23+189+127+1+8+17+14+12+17+55+70+124+132+55+130+79+190+120+105+287+360+65+239+140+140+72+120+128+60+80+61+170+124+16+50+22+15+55+25+89+55+59+144+164+71+149+120+53+121+115+120+223+235+175+71+235+62+143+173</f>
        <v>8491</v>
      </c>
      <c r="C21" s="9">
        <f>September!C21+B21</f>
        <v>82411</v>
      </c>
      <c r="D21" s="15">
        <f>2</f>
        <v>2</v>
      </c>
      <c r="E21" s="9">
        <f>September!E21+D21</f>
        <v>180</v>
      </c>
      <c r="F21" s="17">
        <f>100+202+90</f>
        <v>392</v>
      </c>
      <c r="G21" s="9">
        <f>September!G21+F21</f>
        <v>4631</v>
      </c>
      <c r="H21" s="19"/>
      <c r="I21" s="9">
        <f>September!I21+H21</f>
        <v>0</v>
      </c>
      <c r="J21" s="24"/>
      <c r="K21" s="9">
        <f>September!K21+J21</f>
        <v>0</v>
      </c>
    </row>
    <row r="22" spans="1:11" s="5" customFormat="1" ht="18" customHeight="1">
      <c r="A22" s="9" t="s">
        <v>24</v>
      </c>
      <c r="B22" s="13"/>
      <c r="C22" s="9">
        <f>September!C22+B22</f>
        <v>0</v>
      </c>
      <c r="D22" s="15"/>
      <c r="E22" s="9">
        <f>September!E22+D22</f>
        <v>1</v>
      </c>
      <c r="F22" s="17"/>
      <c r="G22" s="9">
        <f>September!G22+F22</f>
        <v>0</v>
      </c>
      <c r="H22" s="19"/>
      <c r="I22" s="9">
        <f>September!I22+H22</f>
        <v>0</v>
      </c>
      <c r="J22" s="24"/>
      <c r="K22" s="9">
        <f>September!K22+J22</f>
        <v>0</v>
      </c>
    </row>
    <row r="23" spans="1:11" s="5" customFormat="1" ht="18" customHeight="1">
      <c r="A23" s="9" t="s">
        <v>25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0</v>
      </c>
      <c r="H23" s="19"/>
      <c r="I23" s="9">
        <f>September!I23+H23</f>
        <v>0</v>
      </c>
      <c r="J23" s="24"/>
      <c r="K23" s="9">
        <f>September!K23+J23</f>
        <v>0</v>
      </c>
    </row>
    <row r="24" spans="1:11" s="5" customFormat="1" ht="18" customHeight="1">
      <c r="A24" s="9" t="s">
        <v>26</v>
      </c>
      <c r="B24" s="13"/>
      <c r="C24" s="9">
        <f>September!C24+B24</f>
        <v>0</v>
      </c>
      <c r="D24" s="15"/>
      <c r="E24" s="9">
        <f>September!E24+D24</f>
        <v>4</v>
      </c>
      <c r="F24" s="17"/>
      <c r="G24" s="9">
        <f>September!G24+F24</f>
        <v>2</v>
      </c>
      <c r="H24" s="19"/>
      <c r="I24" s="9">
        <f>September!I24+H24</f>
        <v>0</v>
      </c>
      <c r="J24" s="24"/>
      <c r="K24" s="9">
        <f>September!K24+J24</f>
        <v>0</v>
      </c>
    </row>
    <row r="25" spans="1:11" s="5" customFormat="1" ht="18" customHeight="1">
      <c r="A25" s="9" t="s">
        <v>27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  <c r="J25" s="24"/>
      <c r="K25" s="9">
        <f>September!K25+J25</f>
        <v>0</v>
      </c>
    </row>
    <row r="26" spans="1:11" s="5" customFormat="1" ht="18" customHeight="1">
      <c r="A26" s="9" t="s">
        <v>28</v>
      </c>
      <c r="B26" s="13">
        <v>442</v>
      </c>
      <c r="C26" s="9">
        <f>September!C26+B26</f>
        <v>3409</v>
      </c>
      <c r="D26" s="15">
        <f>1+120+196</f>
        <v>317</v>
      </c>
      <c r="E26" s="9">
        <f>September!E26+D26</f>
        <v>751</v>
      </c>
      <c r="F26" s="17">
        <f>161+200+200+100+161+88+67+160+200+64+100+195+50+30+85+70+167+179+35+203+155+50+130+40+90+200</f>
        <v>3180</v>
      </c>
      <c r="G26" s="9">
        <f>September!G26+F26</f>
        <v>15669</v>
      </c>
      <c r="H26" s="19"/>
      <c r="I26" s="9">
        <f>September!I26+H26</f>
        <v>0</v>
      </c>
      <c r="J26" s="24"/>
      <c r="K26" s="9">
        <f>September!K26+J26</f>
        <v>0</v>
      </c>
    </row>
    <row r="27" spans="1:11" s="5" customFormat="1" ht="18" customHeight="1">
      <c r="A27" s="9" t="s">
        <v>29</v>
      </c>
      <c r="B27" s="13">
        <f>8+2+2+2+14+53+35+7+22+11+150+5+16+124+2+23+21+46+5+19+19+11+6+17+9+94+97+55+280+205+66+91+187+72+50+25</f>
        <v>1851</v>
      </c>
      <c r="C27" s="9">
        <f>September!C27+B27</f>
        <v>17197</v>
      </c>
      <c r="D27" s="15">
        <f>1+1+1+7+7+6+1+30+8+7+9+5+5+2+2+1+1+1+1+1+9+4+4+8+9+7+9+6+9+8+1+1+1+1+1+1+10+72+76+54+40+54+26+16+14+4+9+9+1+26+7+1+2+29+8+6+3+9+22+2+5+2+3+2+2+13+17+1+3+3+10+1+4+2+35+1+1+1+3+1+1+13+14+1+1+66+2+7+8+5+5+1+2</f>
        <v>912</v>
      </c>
      <c r="E27" s="9">
        <f>September!E27+D27</f>
        <v>5059</v>
      </c>
      <c r="F27" s="17">
        <f>38+2+14+8+72+3+4+8+11+1+14+79+2+23+5+40+8+49+84+19+19+6+7+178+23+52+5+8+20+19+7+2+4+13+25+10+20+8+9+14+37+37+40+4+36+9+5+25+7+18+1+2+3+2+3+54+14+30+31+3+4+6+2+23+2+65+38+6+4+10+3+1+1+1+1+1+6+26+15+1+60+50+10+5+4+4+3+9+6+32+5+9+7+52</f>
        <v>1766</v>
      </c>
      <c r="G27" s="9">
        <f>September!G27+F27</f>
        <v>10110</v>
      </c>
      <c r="H27" s="19"/>
      <c r="I27" s="9">
        <f>September!I27+H27</f>
        <v>0</v>
      </c>
      <c r="J27" s="24"/>
      <c r="K27" s="9">
        <f>September!K27+J27</f>
        <v>0</v>
      </c>
    </row>
    <row r="28" spans="1:11" s="5" customFormat="1" ht="18" customHeight="1">
      <c r="A28" s="9" t="s">
        <v>30</v>
      </c>
      <c r="B28" s="13">
        <f>58</f>
        <v>58</v>
      </c>
      <c r="C28" s="9">
        <f>September!C28+B28</f>
        <v>1197</v>
      </c>
      <c r="D28" s="15"/>
      <c r="E28" s="9">
        <f>September!E28+D28</f>
        <v>2</v>
      </c>
      <c r="F28" s="17">
        <f>53</f>
        <v>53</v>
      </c>
      <c r="G28" s="9">
        <f>September!G28+F28</f>
        <v>317</v>
      </c>
      <c r="H28" s="19"/>
      <c r="I28" s="9">
        <f>September!I28+H28</f>
        <v>0</v>
      </c>
      <c r="J28" s="24"/>
      <c r="K28" s="9">
        <f>September!K28+J28</f>
        <v>0</v>
      </c>
    </row>
    <row r="29" spans="1:11" s="5" customFormat="1" ht="18" customHeight="1">
      <c r="A29" s="9" t="s">
        <v>31</v>
      </c>
      <c r="B29" s="13">
        <f>32+115+36+29+57+6+24+37+65+70+120+70+68+62+62+20+68+71+61+65+49+54+14+70+72+61+35+151+58+57+27+37+2+60+69+76+124+58+220+85+26+61+26+23+155+23+102+80+114+65+55+67+40+20+72+65+30+49+89+75+22+81+73+76+57+80+73+90+73+105+110+60+84+90+92+58+29+212+96+101+75+111+106+60+98+57+81+73+101+60+98+79+103+92+60+85+73+17+23+2+14+90+25+87+63+40+65+65+76+13+50+62+86+56+43+82+61+34+184+81+104+72+103+24+53+81+48+75+73+148+7+66+95+50+56+78+3+126+8+43+69+76+27+68+111+75+60+33+60+46+30+53+99+43+56+102+13+67+90+90+41+85+61+126+47+67+73+42+60+60+99+75+8+126+13+112+92+62</f>
        <v>11977</v>
      </c>
      <c r="C29" s="9">
        <f>September!C29+B29</f>
        <v>124673</v>
      </c>
      <c r="D29" s="15">
        <f>1+2+1+2+4+20+16+3+4+2+3+17+5+7+2+2+5+5+1+7+28+42+9+28+30+47+10</f>
        <v>303</v>
      </c>
      <c r="E29" s="9">
        <f>September!E29+D29</f>
        <v>3910</v>
      </c>
      <c r="F29" s="17"/>
      <c r="G29" s="9">
        <f>September!G29+F29</f>
        <v>1542</v>
      </c>
      <c r="H29" s="19"/>
      <c r="I29" s="9">
        <f>September!I29+H29</f>
        <v>0</v>
      </c>
      <c r="J29" s="24"/>
      <c r="K29" s="9">
        <f>September!K29+J29</f>
        <v>49</v>
      </c>
    </row>
    <row r="30" spans="1:11" s="5" customFormat="1" ht="18" customHeight="1">
      <c r="A30" s="9" t="s">
        <v>32</v>
      </c>
      <c r="B30" s="13">
        <f>85+105+103+83+121+125+76+85+80+98+58+125+103+114+104+71+100+125+95+100+220+65+65+157+84+175+220+116+290+42+86+107+102+300+7+66+24+37+53+70+55+80+185+40+110+93+110+95+82+30+350+100+400+42+135+350+200+600+600+120+249+91+11+109+109+129+60+89+90+69+180+100+100+60+169+150+56+65+119+233+85+57+35+55+85+67+78+80+85+110+235+80+176+84+70+150+135+190+100+94+110+300+210+40+80+51+57+122+92+396+125+145+230+120+98+65+88+90+85+100+96+110+250+250+47+340+118+26+90+93+104+86+130+90+340+75+95+95+150+59+91+200+157+190+118+200+495+95+190+137+88+200+105+141+120+100+185+70+170+32+78+55+70+90+322+58+85+95+110+150+310+125+220+360+91+105+115+70+395+95+300+115+105+335+300+300+100+155+165+90+160+285+150+100+95+143+120+76+86+71+2+235+119+118+118+22+193+110+85+90+40+85+47+25+369+122+131+87+110+138+83+90+75+95+167+185+45+334+52+121+170+260+78+206+160+90+98+195+110+112+186+35+46+9+155+160+155+155+78+225+250+98+140+3+80+130+88+115+320+285+100+85+87+95+109+82+91+190+325+420+88+95+210+650+44+36+35+27+70+200+22+185+69+88+120+60+141+45+35+97+100+82+186+185+320+205+347+347+230+197+55+110+380+650+590+335+319+100+85+85+250+128+328+200+95+50+94+165+82+41+320+147+76+111+386+90+200+105+495+47+97+160+30+110+120+100+115+115+170+90+94+37+109+150+90+250+250+89+200+205+139+356+85+50+130+300+196+63+185+90+95+250+135+84+100+105+230+125+200+207+150+80+400+250+39+113+104+23+81+40+60+230+160+104+110+115+120+295+299+260+200+410+410+100+305+305+180+160+100+81+155+91+24+80+95+90+175+51+12+59+48+87+98+142+821+2279</f>
        <v>62091</v>
      </c>
      <c r="C30" s="9">
        <f>September!C30+B30</f>
        <v>103280</v>
      </c>
      <c r="D30" s="15">
        <f>20+52+124+93+110+22+1+153+12+99+7+97+2+21+68+87+13+8</f>
        <v>989</v>
      </c>
      <c r="E30" s="9">
        <f>September!E30+D30</f>
        <v>5226</v>
      </c>
      <c r="F30" s="17">
        <f>15</f>
        <v>15</v>
      </c>
      <c r="G30" s="9">
        <f>September!G30+F30</f>
        <v>510</v>
      </c>
      <c r="H30" s="19"/>
      <c r="I30" s="9">
        <f>September!I30+H30</f>
        <v>0</v>
      </c>
      <c r="J30" s="24">
        <f>1</f>
        <v>1</v>
      </c>
      <c r="K30" s="9">
        <f>September!K30+J30</f>
        <v>1</v>
      </c>
    </row>
    <row r="31" spans="1:11" s="5" customFormat="1" ht="18" customHeight="1">
      <c r="A31" s="9" t="s">
        <v>33</v>
      </c>
      <c r="B31" s="13">
        <f>63+100+280+5+230+76+90+125+104+88+126+60+140+312+102+101+1+99+54+100+350+401+83+26+97+190+70+68+80+127+204+39+27+47+97+78+100+95+187+99+25+117+84+6+227+91+129+51+167+118+193+201+106+98+105+25+49+111+89+190+90+390+145+257+168+238+82+87</f>
        <v>8360</v>
      </c>
      <c r="C31" s="9">
        <f>September!C31+B31</f>
        <v>61983</v>
      </c>
      <c r="D31" s="15">
        <f>14+1+3+1+1+4+106+12+65+1+1+3+1+2+25+1+43+98+1+1+1+1+50+1+1+3+1+1+1+89+48+13+8+65+4+3+8+89+2+1+1+2+78+1+1+1+1+2+2+1+51+100+337+4+10+3+1+1+7+1+33+330+49+1+134</f>
        <v>1926</v>
      </c>
      <c r="E31" s="9">
        <f>September!E31+D31</f>
        <v>11340</v>
      </c>
      <c r="F31" s="17">
        <f>100+47+320+90+140</f>
        <v>697</v>
      </c>
      <c r="G31" s="9">
        <f>September!G31+F31</f>
        <v>4229</v>
      </c>
      <c r="H31" s="19"/>
      <c r="I31" s="9">
        <f>September!I31+H31</f>
        <v>0</v>
      </c>
      <c r="J31" s="24"/>
      <c r="K31" s="9">
        <f>September!K31+J31</f>
        <v>0</v>
      </c>
    </row>
    <row r="32" spans="1:11" s="5" customFormat="1" ht="18" customHeight="1">
      <c r="A32" s="9" t="s">
        <v>34</v>
      </c>
      <c r="B32" s="13"/>
      <c r="C32" s="9">
        <f>September!C32+B32</f>
        <v>484</v>
      </c>
      <c r="D32" s="15"/>
      <c r="E32" s="9">
        <f>September!E32+D32</f>
        <v>1</v>
      </c>
      <c r="F32" s="17"/>
      <c r="G32" s="9">
        <f>September!G32+F32</f>
        <v>0</v>
      </c>
      <c r="H32" s="19"/>
      <c r="I32" s="9">
        <f>September!I32+H32</f>
        <v>0</v>
      </c>
      <c r="J32" s="24"/>
      <c r="K32" s="9">
        <f>September!K32+J32</f>
        <v>0</v>
      </c>
    </row>
    <row r="33" spans="1:11" s="5" customFormat="1" ht="18" customHeight="1">
      <c r="A33" s="9" t="s">
        <v>35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  <c r="J33" s="24"/>
      <c r="K33" s="9">
        <f>September!K33+J33</f>
        <v>0</v>
      </c>
    </row>
    <row r="34" spans="1:11" s="5" customFormat="1" ht="18" customHeight="1">
      <c r="A34" s="9" t="s">
        <v>36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  <c r="J34" s="24"/>
      <c r="K34" s="9">
        <f>September!K34+J34</f>
        <v>0</v>
      </c>
    </row>
    <row r="35" spans="1:11" s="5" customFormat="1" ht="18" customHeight="1">
      <c r="A35" s="9" t="s">
        <v>37</v>
      </c>
      <c r="B35" s="13">
        <f>185+220</f>
        <v>405</v>
      </c>
      <c r="C35" s="9">
        <f>September!C35+B35</f>
        <v>2492</v>
      </c>
      <c r="D35" s="15"/>
      <c r="E35" s="9">
        <f>September!E35+D35</f>
        <v>127</v>
      </c>
      <c r="F35" s="17"/>
      <c r="G35" s="9">
        <f>September!G35+F35</f>
        <v>4666</v>
      </c>
      <c r="H35" s="19"/>
      <c r="I35" s="9">
        <f>September!I35+H35</f>
        <v>0</v>
      </c>
      <c r="J35" s="24"/>
      <c r="K35" s="9">
        <f>September!K35+J35</f>
        <v>0</v>
      </c>
    </row>
    <row r="36" spans="1:11" s="5" customFormat="1" ht="18" customHeight="1">
      <c r="A36" s="9" t="s">
        <v>38</v>
      </c>
      <c r="B36" s="13"/>
      <c r="C36" s="9">
        <f>September!C36+B36</f>
        <v>460</v>
      </c>
      <c r="D36" s="15">
        <f>2+1</f>
        <v>3</v>
      </c>
      <c r="E36" s="9">
        <f>September!E36+D36</f>
        <v>346</v>
      </c>
      <c r="F36" s="17">
        <f>100+65+133+1</f>
        <v>299</v>
      </c>
      <c r="G36" s="9">
        <f>September!G36+F36</f>
        <v>2148</v>
      </c>
      <c r="H36" s="19"/>
      <c r="I36" s="9">
        <f>September!I36+H36</f>
        <v>0</v>
      </c>
      <c r="J36" s="24"/>
      <c r="K36" s="9">
        <f>September!K36+J36</f>
        <v>0</v>
      </c>
    </row>
    <row r="37" spans="1:11" s="5" customFormat="1" ht="18" customHeight="1">
      <c r="A37" s="9" t="s">
        <v>39</v>
      </c>
      <c r="B37" s="13">
        <f>80+66</f>
        <v>146</v>
      </c>
      <c r="C37" s="9">
        <f>September!C37+B37</f>
        <v>507</v>
      </c>
      <c r="D37" s="15"/>
      <c r="E37" s="9">
        <f>September!E37+D37</f>
        <v>20</v>
      </c>
      <c r="F37" s="17"/>
      <c r="G37" s="9">
        <f>September!G37+F37</f>
        <v>0</v>
      </c>
      <c r="H37" s="19"/>
      <c r="I37" s="9">
        <f>September!I37+H37</f>
        <v>0</v>
      </c>
      <c r="J37" s="24"/>
      <c r="K37" s="9">
        <f>September!K37+J37</f>
        <v>0</v>
      </c>
    </row>
    <row r="38" spans="1:11" s="5" customFormat="1" ht="18" customHeight="1">
      <c r="A38" s="9" t="s">
        <v>40</v>
      </c>
      <c r="B38" s="13">
        <f>63+60+21+400+262+208+70+127+45+177+69+11+32+90+400+100+240+106+116+47+255+110+32+242+45+30+90+92+145+250+94+448+711+50+68+158+150+180+220+80+432</f>
        <v>6526</v>
      </c>
      <c r="C38" s="9">
        <f>September!C38+B38</f>
        <v>66706</v>
      </c>
      <c r="D38" s="15">
        <f>25+25+37+16+2+150</f>
        <v>255</v>
      </c>
      <c r="E38" s="9">
        <f>September!E38+D38</f>
        <v>1946</v>
      </c>
      <c r="F38" s="17"/>
      <c r="G38" s="9">
        <f>September!G38+F38</f>
        <v>129</v>
      </c>
      <c r="H38" s="19"/>
      <c r="I38" s="9">
        <f>September!I38+H38</f>
        <v>0</v>
      </c>
      <c r="J38" s="24"/>
      <c r="K38" s="9">
        <f>September!K38+J38</f>
        <v>0</v>
      </c>
    </row>
    <row r="39" spans="1:11" s="5" customFormat="1" ht="18" customHeight="1">
      <c r="A39" s="9" t="s">
        <v>41</v>
      </c>
      <c r="B39" s="13">
        <f>100+50+120+120+55+100+46+100</f>
        <v>691</v>
      </c>
      <c r="C39" s="9">
        <f>September!C39+B39</f>
        <v>2354</v>
      </c>
      <c r="D39" s="15">
        <f>1+17+1+1+1</f>
        <v>21</v>
      </c>
      <c r="E39" s="9">
        <f>September!E39+D39</f>
        <v>63</v>
      </c>
      <c r="F39" s="17">
        <f>80+24+154+150+150+150+29+10+10+24+24+24+24+24+36+120+60+153+156+160</f>
        <v>1562</v>
      </c>
      <c r="G39" s="9">
        <f>September!G39+F39</f>
        <v>7811</v>
      </c>
      <c r="H39" s="19"/>
      <c r="I39" s="9">
        <f>September!I39+H39</f>
        <v>0</v>
      </c>
      <c r="J39" s="24"/>
      <c r="K39" s="9">
        <f>September!K39+J39</f>
        <v>0</v>
      </c>
    </row>
    <row r="40" spans="1:11" s="5" customFormat="1" ht="18" customHeight="1">
      <c r="A40" s="9" t="s">
        <v>42</v>
      </c>
      <c r="B40" s="13">
        <f>45+75+81+114+84+96+89+68+75+93+90+91+78+64+192+90+551</f>
        <v>1976</v>
      </c>
      <c r="C40" s="9">
        <f>September!C40+B40</f>
        <v>19648</v>
      </c>
      <c r="D40" s="15">
        <f>1+4+50+7+1+1+1+18</f>
        <v>83</v>
      </c>
      <c r="E40" s="9">
        <f>September!E40+D40</f>
        <v>1188</v>
      </c>
      <c r="F40" s="17"/>
      <c r="G40" s="9">
        <f>September!G40+F40</f>
        <v>78</v>
      </c>
      <c r="H40" s="19"/>
      <c r="I40" s="9">
        <f>September!I40+H40</f>
        <v>0</v>
      </c>
      <c r="J40" s="24"/>
      <c r="K40" s="9">
        <f>September!K40+J40</f>
        <v>0</v>
      </c>
    </row>
    <row r="41" spans="1:11" s="5" customFormat="1" ht="18" customHeight="1">
      <c r="A41" s="9" t="s">
        <v>43</v>
      </c>
      <c r="B41" s="13">
        <f>100+185+94+14+100+140+185</f>
        <v>818</v>
      </c>
      <c r="C41" s="9">
        <f>September!C41+B41</f>
        <v>1442</v>
      </c>
      <c r="D41" s="15">
        <f>15+4+14+26+9</f>
        <v>68</v>
      </c>
      <c r="E41" s="9">
        <f>September!E41+D41</f>
        <v>83</v>
      </c>
      <c r="F41" s="17">
        <f>96</f>
        <v>96</v>
      </c>
      <c r="G41" s="9">
        <f>September!G41+F41</f>
        <v>588</v>
      </c>
      <c r="H41" s="19"/>
      <c r="I41" s="9">
        <f>September!I41+H41</f>
        <v>0</v>
      </c>
      <c r="J41" s="24"/>
      <c r="K41" s="9">
        <f>September!K41+J41</f>
        <v>0</v>
      </c>
    </row>
    <row r="42" spans="1:11" s="5" customFormat="1" ht="18" customHeight="1">
      <c r="A42" s="9" t="s">
        <v>44</v>
      </c>
      <c r="B42" s="13"/>
      <c r="C42" s="9">
        <f>September!C42+B42</f>
        <v>770</v>
      </c>
      <c r="D42" s="15">
        <f>1</f>
        <v>1</v>
      </c>
      <c r="E42" s="9">
        <f>September!E42+D42</f>
        <v>45</v>
      </c>
      <c r="F42" s="17">
        <f>1+15+85+70+55+10+15+15+15+72+15+60+82+70+75+25</f>
        <v>680</v>
      </c>
      <c r="G42" s="9">
        <f>September!G42+F42</f>
        <v>2340</v>
      </c>
      <c r="H42" s="19"/>
      <c r="I42" s="9">
        <f>September!I42+H42</f>
        <v>0</v>
      </c>
      <c r="J42" s="24"/>
      <c r="K42" s="9">
        <f>September!K42+J42</f>
        <v>0</v>
      </c>
    </row>
    <row r="43" spans="1:11" s="5" customFormat="1" ht="18" customHeight="1">
      <c r="A43" s="9" t="s">
        <v>45</v>
      </c>
      <c r="B43" s="13"/>
      <c r="C43" s="9">
        <f>September!C43+B43</f>
        <v>0</v>
      </c>
      <c r="D43" s="15"/>
      <c r="E43" s="9">
        <f>September!E43+D43</f>
        <v>4</v>
      </c>
      <c r="F43" s="17"/>
      <c r="G43" s="9">
        <f>September!G43+F43</f>
        <v>0</v>
      </c>
      <c r="H43" s="19"/>
      <c r="I43" s="9">
        <f>September!I43+H43</f>
        <v>0</v>
      </c>
      <c r="J43" s="24"/>
      <c r="K43" s="9">
        <f>September!K43+J43</f>
        <v>0</v>
      </c>
    </row>
    <row r="44" spans="1:11" s="5" customFormat="1" ht="18" customHeight="1">
      <c r="A44" s="9" t="s">
        <v>46</v>
      </c>
      <c r="B44" s="13">
        <f>56+158+72</f>
        <v>286</v>
      </c>
      <c r="C44" s="9">
        <f>September!C44+B44</f>
        <v>6536</v>
      </c>
      <c r="D44" s="15"/>
      <c r="E44" s="9">
        <f>September!E44+D44</f>
        <v>2</v>
      </c>
      <c r="F44" s="17"/>
      <c r="G44" s="9">
        <f>September!G44+F44</f>
        <v>0</v>
      </c>
      <c r="H44" s="19"/>
      <c r="I44" s="9">
        <f>September!I44+H44</f>
        <v>0</v>
      </c>
      <c r="J44" s="24"/>
      <c r="K44" s="9">
        <f>September!K44+J44</f>
        <v>0</v>
      </c>
    </row>
    <row r="45" spans="1:11" s="5" customFormat="1" ht="18" customHeight="1">
      <c r="A45" s="9" t="s">
        <v>47</v>
      </c>
      <c r="B45" s="13">
        <f>40+191+52+209+44+108+36+26+10+47+168+221+64+69+60+73+106+146+54+62+60+70+106+66+59+120+179+242+51+314+84+146+121+40+101+71+177+54+127+51+47+102+75+192+600+91+40+71+74+178+127+190+60+41+69+59+42+56+21+90+137+105+371+24+18+68+5+12+38+12+125+61+52+57+49+111+125+71+14+7+21+33+50+72+64+128+32+48+43+265+246+399+114+25+103+12+61+187+62+140+69+61+30+84+56+484+48+110+39+20+51+85+21+12+23+7+15+11+2+96+97+9+21+19+4+19+14+44+23+18+57+43+19+31+34+43+10+103+28+72+7+181+21+42+55+216+25+125+91+71+130+61+41+157+5+118+91+110+80+124+80+342+215+111+96+52+26+10+217+65+109+101+204+124+10+56+33+124+98+76+60+85+178+200+168+110+105+64+97+130+62+390+130+62+110+103+232+64+57+133+99+16+3+87+42+64+204+37+68+68+130+18+34+185+69+92+134+100+198+91+25+40+34+57+400+107+195+79+206+31+79+106+375+172+192+87+80+42+91+52+184+27+50+117+79+279+152+49+96+81+99+90+116+148+62+247+63+55+45+105+96+100+100+96+104+27+131+182+228+109+93+344+190+103+100+49+79+67+107+98+27+178+260+114+37+106+118+108+100+95+201+18+110+332+446+55+134+93+195+119+96+26+117+20+443+44+180+113+85+30+108+57+110+96+109+30+96+294+108+68+88+470+400+90+116+64+49+105+15+120+135+116+102+186+46+45+14+16+40+154+15+12+26+27+250+34+430+325+36+13+34+167+11+103+311+214+37+66+98+13+19+56+100+179+88+182+90+181+119+94+180+100+1+96+85+90+64+66+20+24+111+110+104+61+76+65+66+126+105+311+86+95+85+171+129+104+104+202+92+300+43+45+152+452+49+17+384+58+317+257+94+7036+185</f>
        <v>50120</v>
      </c>
      <c r="C45" s="9">
        <f>September!C45+B45</f>
        <v>269986</v>
      </c>
      <c r="D45" s="15">
        <f>14+4+1+2+1+3+1+1+2+41+37+70+8+1+2+2+1+12+35+2+2+1+1+10+8+24+6+18+37+5+1+6+2+41+150+29+2+16+10+1+94+25+145</f>
        <v>874</v>
      </c>
      <c r="E45" s="9">
        <f>September!E45+D45</f>
        <v>9294</v>
      </c>
      <c r="F45" s="17">
        <f>25+1+4+24+37+4+3</f>
        <v>98</v>
      </c>
      <c r="G45" s="9">
        <f>September!G45+F45</f>
        <v>714</v>
      </c>
      <c r="H45" s="19"/>
      <c r="I45" s="9">
        <f>September!I45+H45</f>
        <v>1</v>
      </c>
      <c r="J45" s="24"/>
      <c r="K45" s="9">
        <f>September!K45+J45</f>
        <v>0</v>
      </c>
    </row>
    <row r="46" spans="1:11" s="5" customFormat="1" ht="18" customHeight="1">
      <c r="A46" s="9" t="s">
        <v>48</v>
      </c>
      <c r="B46" s="13">
        <f>56+58+115+62+86+80+118+115+138+128+69+98+57+86+108+92+76+76+61+110+65+88+65+50+76+70+67+69+61+64+70+70+70+70+70+70+67+140+63+70+62+74+74+58+96+120+57+73+131+82+52+70+30+105</f>
        <v>4308</v>
      </c>
      <c r="C46" s="9">
        <f>September!C46+B46</f>
        <v>26414</v>
      </c>
      <c r="D46" s="15">
        <f>2+9+33</f>
        <v>44</v>
      </c>
      <c r="E46" s="9">
        <f>September!E46+D46</f>
        <v>381</v>
      </c>
      <c r="F46" s="17">
        <f>56</f>
        <v>56</v>
      </c>
      <c r="G46" s="9">
        <f>September!G46+F46</f>
        <v>1582</v>
      </c>
      <c r="H46" s="19"/>
      <c r="I46" s="9">
        <f>September!I46+H46</f>
        <v>0</v>
      </c>
      <c r="J46" s="24"/>
      <c r="K46" s="9">
        <f>September!K46+J46</f>
        <v>0</v>
      </c>
    </row>
    <row r="47" spans="1:11" s="5" customFormat="1" ht="18" customHeight="1">
      <c r="A47" s="9" t="s">
        <v>49</v>
      </c>
      <c r="B47" s="13">
        <f>85+80+95+365</f>
        <v>625</v>
      </c>
      <c r="C47" s="9">
        <f>September!C47+B47</f>
        <v>6693</v>
      </c>
      <c r="D47" s="15">
        <f>104+1</f>
        <v>105</v>
      </c>
      <c r="E47" s="9">
        <f>September!E47+D47</f>
        <v>515</v>
      </c>
      <c r="F47" s="17">
        <f>200+150+45+72+200+55</f>
        <v>722</v>
      </c>
      <c r="G47" s="9">
        <f>September!G47+F47</f>
        <v>6694</v>
      </c>
      <c r="H47" s="19"/>
      <c r="I47" s="9">
        <f>September!I47+H47</f>
        <v>0</v>
      </c>
      <c r="J47" s="24"/>
      <c r="K47" s="9">
        <f>September!K47+J47</f>
        <v>0</v>
      </c>
    </row>
    <row r="48" spans="1:11" s="5" customFormat="1" ht="18" customHeight="1">
      <c r="A48" s="9" t="s">
        <v>50</v>
      </c>
      <c r="B48" s="13">
        <f>95+305+36+84+75+203</f>
        <v>798</v>
      </c>
      <c r="C48" s="9">
        <f>September!C48+B48</f>
        <v>1030</v>
      </c>
      <c r="D48" s="15"/>
      <c r="E48" s="9">
        <f>September!E48+D48</f>
        <v>13</v>
      </c>
      <c r="F48" s="17"/>
      <c r="G48" s="9">
        <f>September!G48+F48</f>
        <v>419</v>
      </c>
      <c r="H48" s="19"/>
      <c r="I48" s="9">
        <f>September!I48+H48</f>
        <v>0</v>
      </c>
      <c r="J48" s="24"/>
      <c r="K48" s="9">
        <f>September!K48+J48</f>
        <v>0</v>
      </c>
    </row>
    <row r="49" spans="1:11" s="5" customFormat="1" ht="18" customHeight="1">
      <c r="A49" s="9" t="s">
        <v>51</v>
      </c>
      <c r="B49" s="13"/>
      <c r="C49" s="9">
        <f>September!C49+B49</f>
        <v>0</v>
      </c>
      <c r="D49" s="15"/>
      <c r="E49" s="9">
        <f>September!E49+D49</f>
        <v>1</v>
      </c>
      <c r="F49" s="17">
        <f>2+14</f>
        <v>16</v>
      </c>
      <c r="G49" s="9">
        <f>September!G49+F49</f>
        <v>407</v>
      </c>
      <c r="H49" s="19"/>
      <c r="I49" s="9">
        <f>September!I49+H49</f>
        <v>0</v>
      </c>
      <c r="J49" s="24"/>
      <c r="K49" s="9">
        <f>September!K49+J49</f>
        <v>0</v>
      </c>
    </row>
    <row r="50" spans="1:11" s="5" customFormat="1" ht="18" customHeight="1">
      <c r="A50" s="9" t="s">
        <v>52</v>
      </c>
      <c r="B50" s="13">
        <f>55+65+59+75+60+165+116+72+63+132+63+54+106+139+65+228+53+52+130+58+165+165+290+74+308</f>
        <v>2812</v>
      </c>
      <c r="C50" s="9">
        <f>September!C50+B50</f>
        <v>26448</v>
      </c>
      <c r="D50" s="15">
        <f>1+1</f>
        <v>2</v>
      </c>
      <c r="E50" s="9">
        <f>September!E50+D50</f>
        <v>232</v>
      </c>
      <c r="F50" s="17">
        <f>111</f>
        <v>111</v>
      </c>
      <c r="G50" s="9">
        <f>September!G50+F50</f>
        <v>281</v>
      </c>
      <c r="H50" s="19"/>
      <c r="I50" s="9">
        <f>September!I50+H50</f>
        <v>0</v>
      </c>
      <c r="J50" s="24"/>
      <c r="K50" s="9">
        <f>September!K50+J50</f>
        <v>0</v>
      </c>
    </row>
    <row r="51" spans="1:11" s="5" customFormat="1" ht="18" customHeight="1">
      <c r="A51" s="9" t="s">
        <v>53</v>
      </c>
      <c r="B51" s="13">
        <f>145+80+25+15</f>
        <v>265</v>
      </c>
      <c r="C51" s="9">
        <f>September!C51+B51</f>
        <v>462</v>
      </c>
      <c r="D51" s="15">
        <f>54</f>
        <v>54</v>
      </c>
      <c r="E51" s="9">
        <f>September!E51+D51</f>
        <v>63</v>
      </c>
      <c r="F51" s="17"/>
      <c r="G51" s="9">
        <f>September!G51+F51</f>
        <v>0</v>
      </c>
      <c r="H51" s="19"/>
      <c r="I51" s="9">
        <f>September!I51+H51</f>
        <v>0</v>
      </c>
      <c r="J51" s="24"/>
      <c r="K51" s="9">
        <f>September!K51+J51</f>
        <v>0</v>
      </c>
    </row>
    <row r="52" spans="1:11" s="5" customFormat="1" ht="18" customHeight="1">
      <c r="A52" s="9" t="s">
        <v>54</v>
      </c>
      <c r="B52" s="13">
        <f>32+26+33+173+24+75+62+63+62+64+88+86+82+56+66+63+56+60+74</f>
        <v>1245</v>
      </c>
      <c r="C52" s="9">
        <f>September!C52+B52</f>
        <v>5161</v>
      </c>
      <c r="D52" s="15"/>
      <c r="E52" s="9">
        <f>September!E52+D52</f>
        <v>1</v>
      </c>
      <c r="F52" s="17"/>
      <c r="G52" s="9">
        <f>September!G52+F52</f>
        <v>0</v>
      </c>
      <c r="H52" s="19"/>
      <c r="I52" s="9">
        <f>September!I52+H52</f>
        <v>0</v>
      </c>
      <c r="J52" s="24"/>
      <c r="K52" s="9">
        <f>September!K52+J52</f>
        <v>0</v>
      </c>
    </row>
    <row r="53" spans="1:11" s="5" customFormat="1" ht="18" customHeight="1">
      <c r="A53" s="9" t="s">
        <v>55</v>
      </c>
      <c r="B53" s="13">
        <f>422+16+11+10+46+54+2+125+293+26+85+78+61+17+81+24+3+11+38+1480+420+10+12+15+18+17+126+3+84+16+19+37+8+8+19+43+53+43+263+799</f>
        <v>4896</v>
      </c>
      <c r="C53" s="9">
        <f>September!C53+B53</f>
        <v>21267</v>
      </c>
      <c r="D53" s="15">
        <f>249+49+3+2+2+46+5+4+1+2+7+5+1+200</f>
        <v>576</v>
      </c>
      <c r="E53" s="9">
        <f>September!E53+D53</f>
        <v>3489</v>
      </c>
      <c r="F53" s="17">
        <f>38+2+33+1+1+1+26+16+1+2+1+10+20+1+126+38+20+37+29+38+10+27+24+34+72+45+44+80+50+48+2+83+264+9+27+61+61+3+14+82+45+22+47+31+115+1+125+19+10+25+40+13+135+66+50+27+18+92+149+19+32+46+175+80+125+5+14+25+4+5+2+86+1+32+54+18+88+15+52+45+21+1+15+20+5+5+86+13+7+43+10+3+25+10+10+95+125+5+2+2+14+45+2+4+16+18+24+2+5</f>
        <v>4067</v>
      </c>
      <c r="G53" s="9">
        <f>September!G53+F53</f>
        <v>36226</v>
      </c>
      <c r="H53" s="19"/>
      <c r="I53" s="9">
        <f>September!I53+H53</f>
        <v>0</v>
      </c>
      <c r="J53" s="24"/>
      <c r="K53" s="9">
        <f>September!K53+J53</f>
        <v>0</v>
      </c>
    </row>
    <row r="54" spans="1:11" s="5" customFormat="1" ht="18" customHeight="1" thickBot="1">
      <c r="A54" s="10" t="s">
        <v>56</v>
      </c>
      <c r="B54" s="13">
        <f>109+114+93+146+62+185+132+201+116+82+340+400+110+39+46+62+100+450+56+58+67+64+109+54+100+300+80+31+70+160+15+418+322+101+81+24+90+27+180+168+52+53+20+260+12+120+180+100+100+100+100+86+560</f>
        <v>7105</v>
      </c>
      <c r="C54" s="9">
        <f>September!C54+B54</f>
        <v>14752</v>
      </c>
      <c r="D54" s="16">
        <f>1+42+1+1+34+1+1+2+1+4+2+2+7+3+1+2+2+52+60+1+1+1+1+5+7+2+1+30+4+2+2+14+38+7+1+12+1+1+1+1+1+1+1+1+1+1+1+1+1+1+1+1+1+1+1+1+8+1+1+1+1+1+1+2+1+1+1+1+4+1+1+195+243</f>
        <v>832</v>
      </c>
      <c r="E54" s="9">
        <f>September!E54+D54</f>
        <v>2330</v>
      </c>
      <c r="F54" s="17"/>
      <c r="G54" s="9">
        <f>September!G54+F54</f>
        <v>161</v>
      </c>
      <c r="H54" s="19"/>
      <c r="I54" s="9">
        <f>September!I54+H54</f>
        <v>0</v>
      </c>
      <c r="J54" s="25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191422</v>
      </c>
      <c r="C55" s="11"/>
      <c r="D55" s="11">
        <f>SUM(D5:D54)</f>
        <v>8612</v>
      </c>
      <c r="E55" s="11"/>
      <c r="F55" s="11">
        <f>SUM(F5:F54)</f>
        <v>16017</v>
      </c>
      <c r="G55" s="11"/>
      <c r="H55" s="11">
        <f>SUM(H5:H54)</f>
        <v>0</v>
      </c>
      <c r="I55" s="11"/>
      <c r="J55" s="11">
        <f>SUM(J5:J54)</f>
        <v>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989952</v>
      </c>
      <c r="D57" s="11"/>
      <c r="E57" s="11">
        <f>September!E57+D55</f>
        <v>52960</v>
      </c>
      <c r="F57" s="11"/>
      <c r="G57" s="11">
        <f>September!G57+F55</f>
        <v>128984</v>
      </c>
      <c r="H57" s="11"/>
      <c r="I57" s="11">
        <f>September!I57+H55</f>
        <v>183</v>
      </c>
      <c r="J57" s="11"/>
      <c r="K57" s="11">
        <f>September!K57+J55</f>
        <v>75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3040</v>
      </c>
      <c r="G62" s="4">
        <f>September!G62+F60</f>
        <v>12447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B55" sqref="B5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71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October!C5+B5</f>
        <v>1238</v>
      </c>
      <c r="D5" s="15"/>
      <c r="E5" s="9">
        <f>October!E5+D5</f>
        <v>7</v>
      </c>
      <c r="F5" s="17"/>
      <c r="G5" s="9">
        <f>October!G5+F5</f>
        <v>0</v>
      </c>
      <c r="H5" s="19"/>
      <c r="I5" s="9">
        <f>October!I5+H5</f>
        <v>0</v>
      </c>
      <c r="J5" s="24"/>
      <c r="K5" s="9">
        <f>October!K5+J5</f>
        <v>0</v>
      </c>
    </row>
    <row r="6" spans="1:11" s="5" customFormat="1" ht="18" customHeight="1">
      <c r="A6" s="9" t="s">
        <v>8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  <c r="J6" s="24"/>
      <c r="K6" s="9">
        <f>October!K6+J6</f>
        <v>0</v>
      </c>
    </row>
    <row r="7" spans="1:11" s="5" customFormat="1" ht="18" customHeight="1">
      <c r="A7" s="9" t="s">
        <v>9</v>
      </c>
      <c r="B7" s="13"/>
      <c r="C7" s="9">
        <f>October!C7+B7</f>
        <v>84</v>
      </c>
      <c r="D7" s="15"/>
      <c r="E7" s="9">
        <f>October!E7+D7</f>
        <v>663</v>
      </c>
      <c r="F7" s="17">
        <f>470+285+57</f>
        <v>812</v>
      </c>
      <c r="G7" s="9">
        <f>October!G7+F7</f>
        <v>4072</v>
      </c>
      <c r="H7" s="19"/>
      <c r="I7" s="9">
        <f>October!I7+H7</f>
        <v>0</v>
      </c>
      <c r="J7" s="24"/>
      <c r="K7" s="9">
        <f>October!K7+J7</f>
        <v>0</v>
      </c>
    </row>
    <row r="8" spans="1:11" s="5" customFormat="1" ht="18" customHeight="1">
      <c r="A8" s="9" t="s">
        <v>10</v>
      </c>
      <c r="B8" s="13">
        <f>130+92</f>
        <v>222</v>
      </c>
      <c r="C8" s="9">
        <f>October!C8+B8</f>
        <v>6583</v>
      </c>
      <c r="D8" s="15"/>
      <c r="E8" s="9">
        <f>October!E8+D8</f>
        <v>173</v>
      </c>
      <c r="F8" s="17"/>
      <c r="G8" s="9">
        <f>October!G8+F8</f>
        <v>0</v>
      </c>
      <c r="H8" s="19"/>
      <c r="I8" s="9">
        <f>October!I8+H8</f>
        <v>0</v>
      </c>
      <c r="J8" s="24"/>
      <c r="K8" s="9">
        <f>October!K8+J8</f>
        <v>0</v>
      </c>
    </row>
    <row r="9" spans="1:11" s="5" customFormat="1" ht="18" customHeight="1">
      <c r="A9" s="9" t="s">
        <v>11</v>
      </c>
      <c r="B9" s="13">
        <v>145</v>
      </c>
      <c r="C9" s="9">
        <f>October!C9+B9</f>
        <v>4286</v>
      </c>
      <c r="D9" s="15">
        <f>4+1+1+1</f>
        <v>7</v>
      </c>
      <c r="E9" s="9">
        <f>October!E9+D9</f>
        <v>852</v>
      </c>
      <c r="F9" s="17"/>
      <c r="G9" s="9">
        <f>October!G9+F9</f>
        <v>6215</v>
      </c>
      <c r="H9" s="19"/>
      <c r="I9" s="9">
        <f>October!I9+H9</f>
        <v>148</v>
      </c>
      <c r="J9" s="24"/>
      <c r="K9" s="9">
        <f>October!K9+J9</f>
        <v>0</v>
      </c>
    </row>
    <row r="10" spans="1:11" s="5" customFormat="1" ht="18" customHeight="1">
      <c r="A10" s="9" t="s">
        <v>12</v>
      </c>
      <c r="B10" s="13">
        <f>123+120+112+116+110+127+105+40+1+106+119+121+122+115+120+117+120+121+125+104+104+113+120+110+118+119+111+112+116+115+110+118+121+121+110+128+113+119+129+129+116+117+117+118+116+113+115+113+120+110</f>
        <v>5635</v>
      </c>
      <c r="C10" s="9">
        <f>October!C10+B10</f>
        <v>46634</v>
      </c>
      <c r="D10" s="15"/>
      <c r="E10" s="9">
        <f>October!E10+D10</f>
        <v>163</v>
      </c>
      <c r="F10" s="17"/>
      <c r="G10" s="9">
        <f>October!G10+F10</f>
        <v>405</v>
      </c>
      <c r="H10" s="19"/>
      <c r="I10" s="9">
        <f>October!I10+H10</f>
        <v>34</v>
      </c>
      <c r="J10" s="24"/>
      <c r="K10" s="9">
        <f>October!K10+J10</f>
        <v>0</v>
      </c>
    </row>
    <row r="11" spans="1:11" s="5" customFormat="1" ht="18" customHeight="1">
      <c r="A11" s="9" t="s">
        <v>13</v>
      </c>
      <c r="B11" s="13">
        <f>40+80+17+68+70+52+108+75+77+75+73+60+130+1</f>
        <v>926</v>
      </c>
      <c r="C11" s="9">
        <f>October!C11+B11</f>
        <v>6554</v>
      </c>
      <c r="D11" s="15">
        <f>1+1+1+6</f>
        <v>9</v>
      </c>
      <c r="E11" s="9">
        <f>October!E11+D11</f>
        <v>485</v>
      </c>
      <c r="F11" s="17">
        <f>490+155</f>
        <v>645</v>
      </c>
      <c r="G11" s="9">
        <f>October!G11+F11</f>
        <v>3191</v>
      </c>
      <c r="H11" s="19"/>
      <c r="I11" s="9">
        <f>October!I11+H11</f>
        <v>0</v>
      </c>
      <c r="J11" s="24"/>
      <c r="K11" s="9">
        <f>October!K11+J11</f>
        <v>2</v>
      </c>
    </row>
    <row r="12" spans="1:11" s="5" customFormat="1" ht="18" customHeight="1">
      <c r="A12" s="9" t="s">
        <v>14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  <c r="J12" s="24"/>
      <c r="K12" s="9">
        <f>October!K12+J12</f>
        <v>0</v>
      </c>
    </row>
    <row r="13" spans="1:11" s="5" customFormat="1" ht="18" customHeight="1">
      <c r="A13" s="9" t="s">
        <v>15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  <c r="J13" s="24"/>
      <c r="K13" s="9">
        <f>October!K13+J13</f>
        <v>0</v>
      </c>
    </row>
    <row r="14" spans="1:11" s="5" customFormat="1" ht="18" customHeight="1">
      <c r="A14" s="9" t="s">
        <v>16</v>
      </c>
      <c r="B14" s="13"/>
      <c r="C14" s="9">
        <f>October!C14+B14</f>
        <v>1103</v>
      </c>
      <c r="D14" s="15"/>
      <c r="E14" s="9">
        <f>October!E14+D14</f>
        <v>0</v>
      </c>
      <c r="F14" s="17"/>
      <c r="G14" s="9">
        <f>October!G14+F14</f>
        <v>129</v>
      </c>
      <c r="H14" s="19"/>
      <c r="I14" s="9">
        <f>October!I14+H14</f>
        <v>0</v>
      </c>
      <c r="J14" s="24"/>
      <c r="K14" s="9">
        <f>October!K14+J14</f>
        <v>0</v>
      </c>
    </row>
    <row r="15" spans="1:11" s="5" customFormat="1" ht="18" customHeight="1">
      <c r="A15" s="9" t="s">
        <v>17</v>
      </c>
      <c r="B15" s="13">
        <f>40+71+102+70+80+74+70+70+75+73+40</f>
        <v>765</v>
      </c>
      <c r="C15" s="9">
        <f>October!C15+B15</f>
        <v>4866</v>
      </c>
      <c r="D15" s="15"/>
      <c r="E15" s="9">
        <f>October!E15+D15</f>
        <v>198</v>
      </c>
      <c r="F15" s="17"/>
      <c r="G15" s="9">
        <f>October!G15+F15</f>
        <v>102</v>
      </c>
      <c r="H15" s="19"/>
      <c r="I15" s="9">
        <f>October!I15+H15</f>
        <v>0</v>
      </c>
      <c r="J15" s="24"/>
      <c r="K15" s="9">
        <f>October!K15+J15</f>
        <v>0</v>
      </c>
    </row>
    <row r="16" spans="1:11" s="5" customFormat="1" ht="18" customHeight="1">
      <c r="A16" s="9" t="s">
        <v>18</v>
      </c>
      <c r="B16" s="13"/>
      <c r="C16" s="9">
        <f>October!C16+B16</f>
        <v>113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  <c r="J16" s="24"/>
      <c r="K16" s="9">
        <f>October!K16+J16</f>
        <v>0</v>
      </c>
    </row>
    <row r="17" spans="1:11" s="5" customFormat="1" ht="18" customHeight="1">
      <c r="A17" s="9" t="s">
        <v>19</v>
      </c>
      <c r="B17" s="13">
        <f>56+190+120+98+115+100+80+80+96+91+84+285+120+80+90</f>
        <v>1685</v>
      </c>
      <c r="C17" s="9">
        <f>October!C17+B17</f>
        <v>5391</v>
      </c>
      <c r="D17" s="15">
        <f>51+63+129+1+84</f>
        <v>328</v>
      </c>
      <c r="E17" s="9">
        <f>October!E17+D17</f>
        <v>1091</v>
      </c>
      <c r="F17" s="17">
        <f>125+138+111+120+112</f>
        <v>606</v>
      </c>
      <c r="G17" s="9">
        <f>October!G17+F17</f>
        <v>2564</v>
      </c>
      <c r="H17" s="19"/>
      <c r="I17" s="9">
        <f>October!I17+H17</f>
        <v>0</v>
      </c>
      <c r="J17" s="24"/>
      <c r="K17" s="9">
        <f>October!K17+J17</f>
        <v>0</v>
      </c>
    </row>
    <row r="18" spans="1:11" s="5" customFormat="1" ht="18" customHeight="1">
      <c r="A18" s="9" t="s">
        <v>20</v>
      </c>
      <c r="B18" s="13">
        <f>68+65+10+52+72+38</f>
        <v>305</v>
      </c>
      <c r="C18" s="9">
        <f>October!C18+B18</f>
        <v>5439</v>
      </c>
      <c r="D18" s="15">
        <f>1+3+4+4+1+1</f>
        <v>14</v>
      </c>
      <c r="E18" s="9">
        <f>October!E18+D18</f>
        <v>871</v>
      </c>
      <c r="F18" s="17">
        <f>2+15+1</f>
        <v>18</v>
      </c>
      <c r="G18" s="9">
        <f>October!G18+F18</f>
        <v>1040</v>
      </c>
      <c r="H18" s="19"/>
      <c r="I18" s="9">
        <f>October!I18+H18</f>
        <v>0</v>
      </c>
      <c r="J18" s="24"/>
      <c r="K18" s="9">
        <f>October!K18+J18</f>
        <v>0</v>
      </c>
    </row>
    <row r="19" spans="1:11" s="5" customFormat="1" ht="18" customHeight="1">
      <c r="A19" s="9" t="s">
        <v>21</v>
      </c>
      <c r="B19" s="13">
        <f>239+66+60+80+68+68+112+569</f>
        <v>1262</v>
      </c>
      <c r="C19" s="9">
        <f>October!C19+B19</f>
        <v>10136</v>
      </c>
      <c r="D19" s="15">
        <f>2</f>
        <v>2</v>
      </c>
      <c r="E19" s="9">
        <f>October!E19+D19</f>
        <v>1078</v>
      </c>
      <c r="F19" s="17">
        <f>195</f>
        <v>195</v>
      </c>
      <c r="G19" s="9">
        <f>October!G19+F19</f>
        <v>10349</v>
      </c>
      <c r="H19" s="19"/>
      <c r="I19" s="9">
        <f>October!I19+H19</f>
        <v>0</v>
      </c>
      <c r="J19" s="24"/>
      <c r="K19" s="9">
        <f>October!K19+J19</f>
        <v>0</v>
      </c>
    </row>
    <row r="20" spans="1:11" s="5" customFormat="1" ht="18" customHeight="1">
      <c r="A20" s="9" t="s">
        <v>22</v>
      </c>
      <c r="B20" s="13">
        <f>70+124+80+80+65+180+119+41+67+97+70+58+210+170+63+28+74+125+65+140+73</f>
        <v>1999</v>
      </c>
      <c r="C20" s="9">
        <f>October!C20+B20</f>
        <v>42707</v>
      </c>
      <c r="D20" s="15">
        <f>40+2+4+2+1+1+1+1+1+1+1+1+1</f>
        <v>57</v>
      </c>
      <c r="E20" s="9">
        <f>October!E20+D20</f>
        <v>1179</v>
      </c>
      <c r="F20" s="17">
        <f>41+97+38+295+136+70+69+136+30</f>
        <v>912</v>
      </c>
      <c r="G20" s="9">
        <f>October!G20+F20</f>
        <v>2851</v>
      </c>
      <c r="H20" s="19"/>
      <c r="I20" s="9">
        <f>October!I20+H20</f>
        <v>0</v>
      </c>
      <c r="J20" s="24"/>
      <c r="K20" s="9">
        <f>October!K20+J20</f>
        <v>23</v>
      </c>
    </row>
    <row r="21" spans="1:11" s="5" customFormat="1" ht="18" customHeight="1">
      <c r="A21" s="9" t="s">
        <v>23</v>
      </c>
      <c r="B21" s="13">
        <f>136+192+92+75+92+128+82+132+75+253+79+128+60+93+55+60+64+48+126+63+52+74+28+29+52+60+65+19+140+70+52+56+10+181+184+122+22+37+8+65+66+17+69+27+181+20+44+24+26+27+8+66+32+124+54+95+45+25+146+60+68+50+34+65+63+55+68+124+69+140+66+128+70+201+117+64+235+302+175+65+390+57+61+107+66+88+58+113+62+60+58+250+365+59+88+122+180+60+24+200+59+232+84+67+66+121+103+225+68+204+119+71+278+327+204+61+77+83+63+75+94+65+101+104+122+60+65+67+80+60+118+69+66+26+95</f>
        <v>12921</v>
      </c>
      <c r="C21" s="9">
        <f>October!C21+B21</f>
        <v>95332</v>
      </c>
      <c r="D21" s="15">
        <f>19</f>
        <v>19</v>
      </c>
      <c r="E21" s="9">
        <f>October!E21+D21</f>
        <v>199</v>
      </c>
      <c r="F21" s="17">
        <f>62+62+201+153+2+1+10+10+10+10+10+10+10+8</f>
        <v>559</v>
      </c>
      <c r="G21" s="9">
        <f>October!G21+F21</f>
        <v>5190</v>
      </c>
      <c r="H21" s="19"/>
      <c r="I21" s="9">
        <f>October!I21+H21</f>
        <v>0</v>
      </c>
      <c r="J21" s="24"/>
      <c r="K21" s="9">
        <f>October!K21+J21</f>
        <v>0</v>
      </c>
    </row>
    <row r="22" spans="1:11" s="5" customFormat="1" ht="18" customHeight="1">
      <c r="A22" s="9" t="s">
        <v>24</v>
      </c>
      <c r="B22" s="13"/>
      <c r="C22" s="9">
        <f>October!C22+B22</f>
        <v>0</v>
      </c>
      <c r="D22" s="15"/>
      <c r="E22" s="9">
        <f>October!E22+D22</f>
        <v>1</v>
      </c>
      <c r="F22" s="17"/>
      <c r="G22" s="9">
        <f>October!G22+F22</f>
        <v>0</v>
      </c>
      <c r="H22" s="19"/>
      <c r="I22" s="9">
        <f>October!I22+H22</f>
        <v>0</v>
      </c>
      <c r="J22" s="24"/>
      <c r="K22" s="9">
        <f>October!K22+J22</f>
        <v>0</v>
      </c>
    </row>
    <row r="23" spans="1:11" s="5" customFormat="1" ht="18" customHeight="1">
      <c r="A23" s="9" t="s">
        <v>25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0</v>
      </c>
      <c r="H23" s="19"/>
      <c r="I23" s="9">
        <f>October!I23+H23</f>
        <v>0</v>
      </c>
      <c r="J23" s="24"/>
      <c r="K23" s="9">
        <f>October!K23+J23</f>
        <v>0</v>
      </c>
    </row>
    <row r="24" spans="1:11" s="5" customFormat="1" ht="18" customHeight="1">
      <c r="A24" s="9" t="s">
        <v>26</v>
      </c>
      <c r="B24" s="13"/>
      <c r="C24" s="9">
        <f>October!C24+B24</f>
        <v>0</v>
      </c>
      <c r="D24" s="15"/>
      <c r="E24" s="9">
        <f>October!E24+D24</f>
        <v>4</v>
      </c>
      <c r="F24" s="17">
        <f>1</f>
        <v>1</v>
      </c>
      <c r="G24" s="9">
        <f>October!G24+F24</f>
        <v>3</v>
      </c>
      <c r="H24" s="19"/>
      <c r="I24" s="9">
        <f>October!I24+H24</f>
        <v>0</v>
      </c>
      <c r="J24" s="24"/>
      <c r="K24" s="9">
        <f>October!K24+J24</f>
        <v>0</v>
      </c>
    </row>
    <row r="25" spans="1:11" s="5" customFormat="1" ht="18" customHeight="1">
      <c r="A25" s="9" t="s">
        <v>27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  <c r="J25" s="24"/>
      <c r="K25" s="9">
        <f>October!K25+J25</f>
        <v>0</v>
      </c>
    </row>
    <row r="26" spans="1:11" s="5" customFormat="1" ht="18" customHeight="1">
      <c r="A26" s="9" t="s">
        <v>28</v>
      </c>
      <c r="B26" s="13">
        <v>285</v>
      </c>
      <c r="C26" s="9">
        <f>October!C26+B26</f>
        <v>3694</v>
      </c>
      <c r="D26" s="15">
        <f>86+1+1+1+63+64+4+1+186</f>
        <v>407</v>
      </c>
      <c r="E26" s="9">
        <f>October!E26+D26</f>
        <v>1158</v>
      </c>
      <c r="F26" s="17">
        <f>170+152+209+108+145+155+92+130+38+172+100+73+203+170+54</f>
        <v>1971</v>
      </c>
      <c r="G26" s="9">
        <f>October!G26+F26</f>
        <v>17640</v>
      </c>
      <c r="H26" s="19"/>
      <c r="I26" s="9">
        <f>October!I26+H26</f>
        <v>0</v>
      </c>
      <c r="J26" s="24"/>
      <c r="K26" s="9">
        <f>October!K26+J26</f>
        <v>0</v>
      </c>
    </row>
    <row r="27" spans="1:11" s="5" customFormat="1" ht="18" customHeight="1">
      <c r="A27" s="9" t="s">
        <v>29</v>
      </c>
      <c r="B27" s="13">
        <f>97+115+70+50+17+8+4+109+20+83+22+7+14+11+8+6+11+24+5+3+1+23+150+64+26+22+5+61+10+227+132+202+55+87+139+241+99+172+19+151+70+16+13+117+305</f>
        <v>3091</v>
      </c>
      <c r="C27" s="9">
        <f>October!C27+B27</f>
        <v>20288</v>
      </c>
      <c r="D27" s="15">
        <f>1+4+8+2+2+45+6+2+11+1+6+7+8+16+34+2+2+3+52+1+1</f>
        <v>214</v>
      </c>
      <c r="E27" s="9">
        <f>October!E27+D27</f>
        <v>5273</v>
      </c>
      <c r="F27" s="17">
        <f>39+52+5+52+39+51+38+45+8+10+27+29+21+70+10+3+53+215+43+1+3+78+18+18+3+20+55+5+16+10+5+5+18+11+24+10+3+5+11+1+2+2+44+1+2+1+13+3+5+4</f>
        <v>1207</v>
      </c>
      <c r="G27" s="9">
        <f>October!G27+F27</f>
        <v>11317</v>
      </c>
      <c r="H27" s="19"/>
      <c r="I27" s="9">
        <f>October!I27+H27</f>
        <v>0</v>
      </c>
      <c r="J27" s="24"/>
      <c r="K27" s="9">
        <f>October!K27+J27</f>
        <v>0</v>
      </c>
    </row>
    <row r="28" spans="1:11" s="5" customFormat="1" ht="18" customHeight="1">
      <c r="A28" s="9" t="s">
        <v>30</v>
      </c>
      <c r="B28" s="13"/>
      <c r="C28" s="9">
        <f>October!C28+B28</f>
        <v>1197</v>
      </c>
      <c r="D28" s="15"/>
      <c r="E28" s="9">
        <f>October!E28+D28</f>
        <v>2</v>
      </c>
      <c r="F28" s="17">
        <f>19+17</f>
        <v>36</v>
      </c>
      <c r="G28" s="9">
        <f>October!G28+F28</f>
        <v>353</v>
      </c>
      <c r="H28" s="19"/>
      <c r="I28" s="9">
        <f>October!I28+H28</f>
        <v>0</v>
      </c>
      <c r="J28" s="24"/>
      <c r="K28" s="9">
        <f>October!K28+J28</f>
        <v>0</v>
      </c>
    </row>
    <row r="29" spans="1:11" s="5" customFormat="1" ht="18" customHeight="1">
      <c r="A29" s="9" t="s">
        <v>31</v>
      </c>
      <c r="B29" s="13">
        <f>114+65+66+106+27+49+27+86+315+71+80+24+47+28+58+41+64+10+51+43+81+92+63+14+33+48+65+60+60+20+38+93+48+48+16+3+92+98+46+160+100+13+17+93+26+31+79+33+71+86+97+101+71+103+165+45+18+30+28+28+82+47+99+79+71+217+73+266+71+38+61+126+98+75+16+79+88+68+88+15+62+33+48+16+81+77+39+72+72+72+78+15+87+80+85+89+200+66+99+96+32+59+88+3+29+66+105+159+44+100+84+68+117+88+80+75+60+60+60+61+62+64+65+69+76+65+65+78+60+66+65+92+39+17+6+55+55+76+71+68+72+48+61</f>
        <v>9842</v>
      </c>
      <c r="C29" s="9">
        <f>October!C29+B29</f>
        <v>134515</v>
      </c>
      <c r="D29" s="15">
        <f>7+26+2+3+80+89+95+1+1+35+16+1+1+2+1+5+8+1+1</f>
        <v>375</v>
      </c>
      <c r="E29" s="9">
        <f>October!E29+D29</f>
        <v>4285</v>
      </c>
      <c r="F29" s="17"/>
      <c r="G29" s="9">
        <f>October!G29+F29</f>
        <v>1542</v>
      </c>
      <c r="H29" s="19"/>
      <c r="I29" s="9">
        <f>October!I29+H29</f>
        <v>0</v>
      </c>
      <c r="J29" s="24"/>
      <c r="K29" s="9">
        <f>October!K29+J29</f>
        <v>49</v>
      </c>
    </row>
    <row r="30" spans="1:11" s="5" customFormat="1" ht="18" customHeight="1">
      <c r="A30" s="9" t="s">
        <v>32</v>
      </c>
      <c r="B30" s="13">
        <f>294+315+105+100+9+2+140+140+130+80+180+200+200+300+300+115+60+140+220+105+160+75+543+19+24+7+163+244+115+26+12+98+102+102+78+31+6+23+19+123+211+20+72+59+40+91+80+105+400+93+84+23+165+40+91+450+450+39+25+195+76+35+41+11+400+62+33+170+188+20+147+130+47+195+300+105+117+96+115+33+125+20+64+69+116+200+80+93+115+90+90+94+140+75+265+120+200+93+21+102+28+76+203+100+135+265+144+194+198+226+84+8+78+103+24+300+160+179+81+200+45+89+102+102+132+110+41+250+160+200+380+300+94+250+200+154+50+170+112+210+104+107+95+85+140+390+84+329+188+230+208+97+105+90+120+104+90+95+100+95+96+85+100+90+220+210+140+220+100+123+103+110+116+100+102+184+87+79+90+95+121+90+88+80+92+90+100+245+260+400+225+95+80+80+214+283+94+140+330+200+110+10+280+115+460+160+114+121+95+89+47+23+38+104+193+380+69+102+30+23+120+130+115+103+105+110+390+91+420+97+175+91+17+155+182+90+100+100+195+105+172+140+306+28+82+72+100+210+87+105+38+98+72+105+70+125+110+95+180+190+124+175+230+89+200+309+108+200+300+217+314+425+301+515+285+180+200+200+103+505+95+96+16+7+6+60+92+134+24+51+75+51+112+11+150+103+115+93+102+95+250+134+98+68+94+52+135+108+195+100+100+40+108+102+78+195+135+63+45+180+138+114+19+142+120+137+220+107+250+90+475+105+175+500+96+71+102+106+105+240+100+192+330+302+100+300+44+105+120+106+67+101+106+93+11+26+17+140+100+115+101+66+73+95+55+107+403+80+330+250+387+86+179+12614+745+335</f>
        <v>65161</v>
      </c>
      <c r="C30" s="9">
        <f>October!C30+B30</f>
        <v>168441</v>
      </c>
      <c r="D30" s="15">
        <f>210+25+166+18+310+211+43+11+60+47+100+45+54+56+1+54+78+181+33+16+103+26+38+50+1</f>
        <v>1937</v>
      </c>
      <c r="E30" s="9">
        <f>October!E30+D30</f>
        <v>7163</v>
      </c>
      <c r="F30" s="17"/>
      <c r="G30" s="9">
        <f>October!G30+F30</f>
        <v>510</v>
      </c>
      <c r="H30" s="19"/>
      <c r="I30" s="9">
        <f>October!I30+H30</f>
        <v>0</v>
      </c>
      <c r="J30" s="24"/>
      <c r="K30" s="9">
        <f>October!K30+J30</f>
        <v>1</v>
      </c>
    </row>
    <row r="31" spans="1:11" s="5" customFormat="1" ht="18" customHeight="1">
      <c r="A31" s="9" t="s">
        <v>33</v>
      </c>
      <c r="B31" s="13">
        <f>100+99+109+178+81+20+66+175+7+75+98+184+272+90+100+177+405+178+164+88+100+210+132+215+210+119+84+61+81+81+85+95+1+80+102+47+190+20+105+88+98+82+62+20+155+26+112+95+85+5+30+56+79+65+83+101+91+6+80+200+156+89+99+100+52+260+425+87+117+141+363</f>
        <v>8192</v>
      </c>
      <c r="C31" s="9">
        <f>October!C31+B31</f>
        <v>70175</v>
      </c>
      <c r="D31" s="15">
        <f>120+37+245+58+1+22+32+155+2+6+99+3+12+80+86+3+176+15+3+8+108+1+2+1+1+8+38+30+47+6+120+50+51+1+95+1+4+1+278</f>
        <v>2006</v>
      </c>
      <c r="E31" s="9">
        <f>October!E31+D31</f>
        <v>13346</v>
      </c>
      <c r="F31" s="17">
        <f>1+70+60+70+60+16+15+80+70+60+56+43</f>
        <v>601</v>
      </c>
      <c r="G31" s="9">
        <f>October!G31+F31</f>
        <v>4830</v>
      </c>
      <c r="H31" s="19"/>
      <c r="I31" s="9">
        <f>October!I31+H31</f>
        <v>0</v>
      </c>
      <c r="J31" s="24"/>
      <c r="K31" s="9">
        <f>October!K31+J31</f>
        <v>0</v>
      </c>
    </row>
    <row r="32" spans="1:11" s="5" customFormat="1" ht="18" customHeight="1">
      <c r="A32" s="9" t="s">
        <v>34</v>
      </c>
      <c r="B32" s="13"/>
      <c r="C32" s="9">
        <f>October!C32+B32</f>
        <v>484</v>
      </c>
      <c r="D32" s="15"/>
      <c r="E32" s="9">
        <f>October!E32+D32</f>
        <v>1</v>
      </c>
      <c r="F32" s="17"/>
      <c r="G32" s="9">
        <f>October!G32+F32</f>
        <v>0</v>
      </c>
      <c r="H32" s="19"/>
      <c r="I32" s="9">
        <f>October!I32+H32</f>
        <v>0</v>
      </c>
      <c r="J32" s="24"/>
      <c r="K32" s="9">
        <f>October!K32+J32</f>
        <v>0</v>
      </c>
    </row>
    <row r="33" spans="1:11" s="5" customFormat="1" ht="18" customHeight="1">
      <c r="A33" s="9" t="s">
        <v>35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  <c r="J33" s="24"/>
      <c r="K33" s="9">
        <f>October!K33+J33</f>
        <v>0</v>
      </c>
    </row>
    <row r="34" spans="1:11" s="5" customFormat="1" ht="18" customHeight="1">
      <c r="A34" s="9" t="s">
        <v>36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  <c r="J34" s="24"/>
      <c r="K34" s="9">
        <f>October!K34+J34</f>
        <v>0</v>
      </c>
    </row>
    <row r="35" spans="1:11" s="5" customFormat="1" ht="18" customHeight="1">
      <c r="A35" s="9" t="s">
        <v>37</v>
      </c>
      <c r="B35" s="13">
        <v>300</v>
      </c>
      <c r="C35" s="9">
        <f>October!C35+B35</f>
        <v>2792</v>
      </c>
      <c r="D35" s="15">
        <f>59+40</f>
        <v>99</v>
      </c>
      <c r="E35" s="9">
        <f>October!E35+D35</f>
        <v>226</v>
      </c>
      <c r="F35" s="17"/>
      <c r="G35" s="9">
        <f>October!G35+F35</f>
        <v>4666</v>
      </c>
      <c r="H35" s="19"/>
      <c r="I35" s="9">
        <f>October!I35+H35</f>
        <v>0</v>
      </c>
      <c r="J35" s="24"/>
      <c r="K35" s="9">
        <f>October!K35+J35</f>
        <v>0</v>
      </c>
    </row>
    <row r="36" spans="1:11" s="5" customFormat="1" ht="18" customHeight="1">
      <c r="A36" s="9" t="s">
        <v>38</v>
      </c>
      <c r="B36" s="13">
        <v>123</v>
      </c>
      <c r="C36" s="9">
        <f>October!C36+B36</f>
        <v>583</v>
      </c>
      <c r="D36" s="15"/>
      <c r="E36" s="9">
        <f>October!E36+D36</f>
        <v>346</v>
      </c>
      <c r="F36" s="17">
        <f>1+2+51+38+55</f>
        <v>147</v>
      </c>
      <c r="G36" s="9">
        <f>October!G36+F36</f>
        <v>2295</v>
      </c>
      <c r="H36" s="19"/>
      <c r="I36" s="9">
        <f>October!I36+H36</f>
        <v>0</v>
      </c>
      <c r="J36" s="24"/>
      <c r="K36" s="9">
        <f>October!K36+J36</f>
        <v>0</v>
      </c>
    </row>
    <row r="37" spans="1:11" s="5" customFormat="1" ht="18" customHeight="1">
      <c r="A37" s="9" t="s">
        <v>39</v>
      </c>
      <c r="B37" s="13">
        <f>71+83</f>
        <v>154</v>
      </c>
      <c r="C37" s="9">
        <f>October!C37+B37</f>
        <v>661</v>
      </c>
      <c r="D37" s="15"/>
      <c r="E37" s="9">
        <f>October!E37+D37</f>
        <v>20</v>
      </c>
      <c r="F37" s="17"/>
      <c r="G37" s="9">
        <f>October!G37+F37</f>
        <v>0</v>
      </c>
      <c r="H37" s="19"/>
      <c r="I37" s="9">
        <f>October!I37+H37</f>
        <v>0</v>
      </c>
      <c r="J37" s="24"/>
      <c r="K37" s="9">
        <f>October!K37+J37</f>
        <v>0</v>
      </c>
    </row>
    <row r="38" spans="1:11" s="5" customFormat="1" ht="18" customHeight="1">
      <c r="A38" s="9" t="s">
        <v>40</v>
      </c>
      <c r="B38" s="13">
        <f>346+200+90+183+107+81+55+36+64+150+66+306+68+233+132+64+186+320+60+104+210+100+95+105+125+100+92+92+310+150+92+757+1200+630+80+66+47+63+13+30+69+60+80+110+115+360+620+220+180+225+370+300+88+104+100+110+84+270+110+10+60+110+26+107+110+75+100+30+155+64+56+65+98+85+90+85+445+105+15+7+787+110+600+81+185+95+110+155+100+80+98+110+80+95+178+200+453+39+103+67+135+42+35+77+111+475+639+110+100+100+190+115+98+99+100+135+120+195+178+180+100+90+101+105+130+574+90+75+99+93+85+91+71+68+87+64+41+109+101+376+81+107+178+98+90+90+90+336+775+27+232+91+83+87+129+173+81+17+79+188+198+104+97+194+98+222+113+100+92+120+81+91+85+110+195+97+136+384+119+96+97+86+79+145+87+225</f>
        <v>28674</v>
      </c>
      <c r="C38" s="9">
        <f>October!C38+B38</f>
        <v>95380</v>
      </c>
      <c r="D38" s="15">
        <f>16+1+1+1+1+1+1+47+153+61+36+40+13+36+14+31+40+267</f>
        <v>760</v>
      </c>
      <c r="E38" s="9">
        <f>October!E38+D38</f>
        <v>2706</v>
      </c>
      <c r="F38" s="17">
        <f>51+93</f>
        <v>144</v>
      </c>
      <c r="G38" s="9">
        <f>October!G38+F38</f>
        <v>273</v>
      </c>
      <c r="H38" s="19"/>
      <c r="I38" s="9">
        <f>October!I38+H38</f>
        <v>0</v>
      </c>
      <c r="J38" s="24"/>
      <c r="K38" s="9">
        <f>October!K38+J38</f>
        <v>0</v>
      </c>
    </row>
    <row r="39" spans="1:11" s="5" customFormat="1" ht="18" customHeight="1">
      <c r="A39" s="9" t="s">
        <v>41</v>
      </c>
      <c r="B39" s="13">
        <f>18+48+100+62+46+100</f>
        <v>374</v>
      </c>
      <c r="C39" s="9">
        <f>October!C39+B39</f>
        <v>2728</v>
      </c>
      <c r="D39" s="15">
        <f>3+18+1+24+24+24+22+24</f>
        <v>140</v>
      </c>
      <c r="E39" s="9">
        <f>October!E39+D39</f>
        <v>203</v>
      </c>
      <c r="F39" s="17">
        <f>150+10+10+195</f>
        <v>365</v>
      </c>
      <c r="G39" s="9">
        <f>October!G39+F39</f>
        <v>8176</v>
      </c>
      <c r="H39" s="19"/>
      <c r="I39" s="9">
        <f>October!I39+H39</f>
        <v>0</v>
      </c>
      <c r="J39" s="24"/>
      <c r="K39" s="9">
        <f>October!K39+J39</f>
        <v>0</v>
      </c>
    </row>
    <row r="40" spans="1:11" s="5" customFormat="1" ht="18" customHeight="1">
      <c r="A40" s="9" t="s">
        <v>42</v>
      </c>
      <c r="B40" s="13">
        <f>116+75+75+85+81+128+143+184</f>
        <v>887</v>
      </c>
      <c r="C40" s="9">
        <f>October!C40+B40</f>
        <v>20535</v>
      </c>
      <c r="D40" s="15">
        <f>4+1+4+1+2+60+68+129+8+14+1+1+1</f>
        <v>294</v>
      </c>
      <c r="E40" s="9">
        <f>October!E40+D40</f>
        <v>1482</v>
      </c>
      <c r="F40" s="17"/>
      <c r="G40" s="9">
        <f>October!G40+F40</f>
        <v>78</v>
      </c>
      <c r="H40" s="19"/>
      <c r="I40" s="9">
        <f>October!I40+H40</f>
        <v>0</v>
      </c>
      <c r="J40" s="24"/>
      <c r="K40" s="9">
        <f>October!K40+J40</f>
        <v>0</v>
      </c>
    </row>
    <row r="41" spans="1:11" s="5" customFormat="1" ht="18" customHeight="1">
      <c r="A41" s="9" t="s">
        <v>43</v>
      </c>
      <c r="B41" s="13">
        <f>180+118</f>
        <v>298</v>
      </c>
      <c r="C41" s="9">
        <f>October!C41+B41</f>
        <v>1740</v>
      </c>
      <c r="D41" s="15">
        <f>3</f>
        <v>3</v>
      </c>
      <c r="E41" s="9">
        <f>October!E41+D41</f>
        <v>86</v>
      </c>
      <c r="F41" s="17"/>
      <c r="G41" s="9">
        <f>October!G41+F41</f>
        <v>588</v>
      </c>
      <c r="H41" s="19"/>
      <c r="I41" s="9">
        <f>October!I41+H41</f>
        <v>0</v>
      </c>
      <c r="J41" s="24"/>
      <c r="K41" s="9">
        <f>October!K41+J41</f>
        <v>0</v>
      </c>
    </row>
    <row r="42" spans="1:11" s="5" customFormat="1" ht="18" customHeight="1">
      <c r="A42" s="9" t="s">
        <v>44</v>
      </c>
      <c r="B42" s="13">
        <f>94+170+87</f>
        <v>351</v>
      </c>
      <c r="C42" s="9">
        <f>October!C42+B42</f>
        <v>1121</v>
      </c>
      <c r="D42" s="15">
        <f>1+2+5</f>
        <v>8</v>
      </c>
      <c r="E42" s="9">
        <f>October!E42+D42</f>
        <v>53</v>
      </c>
      <c r="F42" s="17">
        <f>82+45+6+7+14+11+15+15+60+20+66+80+76+15+15+15+15+30+68+40+75+82</f>
        <v>852</v>
      </c>
      <c r="G42" s="9">
        <f>October!G42+F42</f>
        <v>3192</v>
      </c>
      <c r="H42" s="19"/>
      <c r="I42" s="9">
        <f>October!I42+H42</f>
        <v>0</v>
      </c>
      <c r="J42" s="24"/>
      <c r="K42" s="9">
        <f>October!K42+J42</f>
        <v>0</v>
      </c>
    </row>
    <row r="43" spans="1:11" s="5" customFormat="1" ht="18" customHeight="1">
      <c r="A43" s="9" t="s">
        <v>45</v>
      </c>
      <c r="B43" s="13"/>
      <c r="C43" s="9">
        <f>October!C43+B43</f>
        <v>0</v>
      </c>
      <c r="D43" s="15"/>
      <c r="E43" s="9">
        <f>October!E43+D43</f>
        <v>4</v>
      </c>
      <c r="F43" s="17"/>
      <c r="G43" s="9">
        <f>October!G43+F43</f>
        <v>0</v>
      </c>
      <c r="H43" s="19"/>
      <c r="I43" s="9">
        <f>October!I43+H43</f>
        <v>0</v>
      </c>
      <c r="J43" s="24"/>
      <c r="K43" s="9">
        <f>October!K43+J43</f>
        <v>0</v>
      </c>
    </row>
    <row r="44" spans="1:11" s="5" customFormat="1" ht="18" customHeight="1">
      <c r="A44" s="9" t="s">
        <v>46</v>
      </c>
      <c r="B44" s="13">
        <f>153+154</f>
        <v>307</v>
      </c>
      <c r="C44" s="9">
        <f>October!C44+B44</f>
        <v>6843</v>
      </c>
      <c r="D44" s="15"/>
      <c r="E44" s="9">
        <f>October!E44+D44</f>
        <v>2</v>
      </c>
      <c r="F44" s="17"/>
      <c r="G44" s="9">
        <f>October!G44+F44</f>
        <v>0</v>
      </c>
      <c r="H44" s="19"/>
      <c r="I44" s="9">
        <f>October!I44+H44</f>
        <v>0</v>
      </c>
      <c r="J44" s="24"/>
      <c r="K44" s="9">
        <f>October!K44+J44</f>
        <v>0</v>
      </c>
    </row>
    <row r="45" spans="1:11" s="5" customFormat="1" ht="18" customHeight="1">
      <c r="A45" s="9" t="s">
        <v>47</v>
      </c>
      <c r="B45" s="13">
        <f>22+105+118+179+278+5+59+1+41+227+114+128+44+116+104+109+122+85+157+48+105+59+35+104+92+90+82+57+212+10+226+113+114+62+38+42+95+85+59+293+184+95+181+360+138+100+102+47+43+123+25+90+75+114+106+100+103+189+189+98+77+42+114+106+98+89+70+219+95+93+94+84+206+110+88+56+128+113+316+94+22+38+96+64+108+23+63+92+109+86+90+90+40+107+117+183+107+262+113+97+408+169+41+268+51+90+177+272+42+111+86+111+56+68+91+84+19+234+108+111+98+100+76+87+107+91+102+104+50+300+646+35+54+208+4+46+115+475+37+67+189+174+364+94+86+54+99+39+240+32+88+18+17+8+250+130+400+183+96+98+78+102+200+104+255+93+100+100+9+25+92+103+98+89+116+211+36+111+318+160+49+36+18+47+7+56+59+254+200+58+211+104+116+197+270+232+176+204+37+25+16+37+77+10+23+1+21+104+70+12+73+30+8+85+122+69+40+24+49+231+1+31+64+1+103+23+59+2+24+63+108+8+24+44+8+30+73+6+24+21+7+46+87+48+33+16+50+6+24+21+7+15+40+54+14+57+67+50+47+7+15+33+6+34+57+54+20+4+14+24+116+209+529+388+61+98+320+86+97+110+27+67+107+520+65+100+80+425+6+59+100+9+50+21+203+99+109+94+16+93+93+112+197+89+95+220+190+180+105+90+51+187+188+58+104+191+55+193+97+68+58+91+68+93+91+63+78+21+100+49+16+106+60+200+390+103+94+95+8+155+64+83+35+61+100+285+43+384+653+121+280+190+86+95+107+102+113+45+26+108+95+5+44+54+9+325+173+25+200+1+79+80+86+200+89+95+80+7682</f>
        <v>47355</v>
      </c>
      <c r="C45" s="9">
        <f>October!C45+B45</f>
        <v>317341</v>
      </c>
      <c r="D45" s="15">
        <f>2+17+5+5+105+140+25+15+27+7+1+1+76+3+2+4+1+49+16+122+3+22+2+1+11+8+30+6+6+45+25+1+92+53+44+24+13+16+6+44+2+31+12+10+6+10+23+39+45+12+1+1+121+2+129</f>
        <v>1519</v>
      </c>
      <c r="E45" s="9">
        <f>October!E45+D45</f>
        <v>10813</v>
      </c>
      <c r="F45" s="17">
        <f>2+32+34</f>
        <v>68</v>
      </c>
      <c r="G45" s="9">
        <f>October!G45+F45</f>
        <v>782</v>
      </c>
      <c r="H45" s="19"/>
      <c r="I45" s="9">
        <f>October!I45+H45</f>
        <v>1</v>
      </c>
      <c r="J45" s="24"/>
      <c r="K45" s="9">
        <f>October!K45+J45</f>
        <v>0</v>
      </c>
    </row>
    <row r="46" spans="1:11" s="5" customFormat="1" ht="18" customHeight="1">
      <c r="A46" s="9" t="s">
        <v>48</v>
      </c>
      <c r="B46" s="13">
        <f>62+196+71+120+66+118+73+56</f>
        <v>762</v>
      </c>
      <c r="C46" s="9">
        <f>October!C46+B46</f>
        <v>27176</v>
      </c>
      <c r="D46" s="15">
        <f>3+36</f>
        <v>39</v>
      </c>
      <c r="E46" s="9">
        <f>October!E46+D46</f>
        <v>420</v>
      </c>
      <c r="F46" s="17">
        <f>46</f>
        <v>46</v>
      </c>
      <c r="G46" s="9">
        <f>October!G46+F46</f>
        <v>1628</v>
      </c>
      <c r="H46" s="19"/>
      <c r="I46" s="9">
        <f>October!I46+H46</f>
        <v>0</v>
      </c>
      <c r="J46" s="24"/>
      <c r="K46" s="9">
        <f>October!K46+J46</f>
        <v>0</v>
      </c>
    </row>
    <row r="47" spans="1:11" s="5" customFormat="1" ht="18" customHeight="1">
      <c r="A47" s="9" t="s">
        <v>49</v>
      </c>
      <c r="B47" s="13">
        <f>30+83+135+135</f>
        <v>383</v>
      </c>
      <c r="C47" s="9">
        <f>October!C47+B47</f>
        <v>7076</v>
      </c>
      <c r="D47" s="15">
        <f>1+1+1</f>
        <v>3</v>
      </c>
      <c r="E47" s="9">
        <f>October!E47+D47</f>
        <v>518</v>
      </c>
      <c r="F47" s="17">
        <f>200+200+55+18</f>
        <v>473</v>
      </c>
      <c r="G47" s="9">
        <f>October!G47+F47</f>
        <v>7167</v>
      </c>
      <c r="H47" s="19"/>
      <c r="I47" s="9">
        <f>October!I47+H47</f>
        <v>0</v>
      </c>
      <c r="J47" s="24"/>
      <c r="K47" s="9">
        <f>October!K47+J47</f>
        <v>0</v>
      </c>
    </row>
    <row r="48" spans="1:11" s="5" customFormat="1" ht="18" customHeight="1">
      <c r="A48" s="9" t="s">
        <v>50</v>
      </c>
      <c r="B48" s="13">
        <f>90+79+90+300+200+120+90+233+233+96+85+400+90+84</f>
        <v>2190</v>
      </c>
      <c r="C48" s="9">
        <f>October!C48+B48</f>
        <v>3220</v>
      </c>
      <c r="D48" s="15"/>
      <c r="E48" s="9">
        <f>October!E48+D48</f>
        <v>13</v>
      </c>
      <c r="F48" s="17"/>
      <c r="G48" s="9">
        <f>October!G48+F48</f>
        <v>419</v>
      </c>
      <c r="H48" s="19"/>
      <c r="I48" s="9">
        <f>October!I48+H48</f>
        <v>0</v>
      </c>
      <c r="J48" s="24"/>
      <c r="K48" s="9">
        <f>October!K48+J48</f>
        <v>0</v>
      </c>
    </row>
    <row r="49" spans="1:11" s="5" customFormat="1" ht="18" customHeight="1">
      <c r="A49" s="9" t="s">
        <v>51</v>
      </c>
      <c r="B49" s="13"/>
      <c r="C49" s="9">
        <f>October!C49+B49</f>
        <v>0</v>
      </c>
      <c r="D49" s="15"/>
      <c r="E49" s="9">
        <f>October!E49+D49</f>
        <v>1</v>
      </c>
      <c r="F49" s="17">
        <f>5+22+6+1+13+48+7</f>
        <v>102</v>
      </c>
      <c r="G49" s="9">
        <f>October!G49+F49</f>
        <v>509</v>
      </c>
      <c r="H49" s="19"/>
      <c r="I49" s="9">
        <f>October!I49+H49</f>
        <v>0</v>
      </c>
      <c r="J49" s="24"/>
      <c r="K49" s="9">
        <f>October!K49+J49</f>
        <v>0</v>
      </c>
    </row>
    <row r="50" spans="1:11" s="5" customFormat="1" ht="18" customHeight="1">
      <c r="A50" s="9" t="s">
        <v>52</v>
      </c>
      <c r="B50" s="13">
        <f>71+65+62+165+76+1165+93+111+45+220+129+250+170+170+74+64+156+110+175+165+90</f>
        <v>3626</v>
      </c>
      <c r="C50" s="9">
        <f>October!C50+B50</f>
        <v>30074</v>
      </c>
      <c r="D50" s="15"/>
      <c r="E50" s="9">
        <f>October!E50+D50</f>
        <v>232</v>
      </c>
      <c r="F50" s="17">
        <f>50</f>
        <v>50</v>
      </c>
      <c r="G50" s="9">
        <f>October!G50+F50</f>
        <v>331</v>
      </c>
      <c r="H50" s="19"/>
      <c r="I50" s="9">
        <f>October!I50+H50</f>
        <v>0</v>
      </c>
      <c r="J50" s="24"/>
      <c r="K50" s="9">
        <f>October!K50+J50</f>
        <v>0</v>
      </c>
    </row>
    <row r="51" spans="1:11" s="5" customFormat="1" ht="18" customHeight="1">
      <c r="A51" s="9" t="s">
        <v>53</v>
      </c>
      <c r="B51" s="13">
        <f>112+48+90+80+6+17</f>
        <v>353</v>
      </c>
      <c r="C51" s="9">
        <f>October!C51+B51</f>
        <v>815</v>
      </c>
      <c r="D51" s="15"/>
      <c r="E51" s="9">
        <f>October!E51+D51</f>
        <v>63</v>
      </c>
      <c r="F51" s="17"/>
      <c r="G51" s="9">
        <f>October!G51+F51</f>
        <v>0</v>
      </c>
      <c r="H51" s="19"/>
      <c r="I51" s="9">
        <f>October!I51+H51</f>
        <v>0</v>
      </c>
      <c r="J51" s="24"/>
      <c r="K51" s="9">
        <f>October!K51+J51</f>
        <v>0</v>
      </c>
    </row>
    <row r="52" spans="1:11" s="5" customFormat="1" ht="18" customHeight="1">
      <c r="A52" s="9" t="s">
        <v>54</v>
      </c>
      <c r="B52" s="13">
        <f>56+65+66+65+63+34+26+77+89+1</f>
        <v>542</v>
      </c>
      <c r="C52" s="9">
        <f>October!C52+B52</f>
        <v>5703</v>
      </c>
      <c r="D52" s="15">
        <f>4+3+59</f>
        <v>66</v>
      </c>
      <c r="E52" s="9">
        <f>October!E52+D52</f>
        <v>67</v>
      </c>
      <c r="F52" s="17"/>
      <c r="G52" s="9">
        <f>October!G52+F52</f>
        <v>0</v>
      </c>
      <c r="H52" s="19"/>
      <c r="I52" s="9">
        <f>October!I52+H52</f>
        <v>0</v>
      </c>
      <c r="J52" s="24"/>
      <c r="K52" s="9">
        <f>October!K52+J52</f>
        <v>0</v>
      </c>
    </row>
    <row r="53" spans="1:11" s="5" customFormat="1" ht="18" customHeight="1">
      <c r="A53" s="9" t="s">
        <v>55</v>
      </c>
      <c r="B53" s="13">
        <f>104+76+16+12+50+78+1+14+17+16+4+218+4+55+72+113+24+26+87+85+26+80+191+137+104+56+22+60+18+94+22+60+2+63+75+88+1+43+8+706+920</f>
        <v>3848</v>
      </c>
      <c r="C53" s="9">
        <f>October!C53+B53</f>
        <v>25115</v>
      </c>
      <c r="D53" s="15">
        <f>1+4+1+1+1+1+1+37+1+1+2+2+1+2+14+98+54+2+2+24+20+33+3+29+5+16+40</f>
        <v>396</v>
      </c>
      <c r="E53" s="9">
        <f>October!E53+D53</f>
        <v>3885</v>
      </c>
      <c r="F53" s="17">
        <f>44+60+1+34+4+45+9+4+10+22+30+23+58+125+50+254+35+158+158+14+6+18+88+300+150+9+1+67+56+22+22+14+42+39+14+22+77+60+15+22+90+45+27+2+27+18+13+21+62+96+116+154+125+97+220+18+8+6+35+50+159+1+33+101+58+42+125+28+36+103+1+5+83+86</f>
        <v>4273</v>
      </c>
      <c r="G53" s="9">
        <f>October!G53+F53</f>
        <v>40499</v>
      </c>
      <c r="H53" s="19"/>
      <c r="I53" s="9">
        <f>October!I53+H53</f>
        <v>0</v>
      </c>
      <c r="J53" s="24"/>
      <c r="K53" s="9">
        <f>October!K53+J53</f>
        <v>0</v>
      </c>
    </row>
    <row r="54" spans="1:11" s="5" customFormat="1" ht="18" customHeight="1" thickBot="1">
      <c r="A54" s="10" t="s">
        <v>56</v>
      </c>
      <c r="B54" s="13">
        <f>109+9+192+393+95+300+110+115+100+17+97+460+32+90+200+88+6+110+113+100+100+203+110+443+94+110+158+146+162+84+469+111+112+110+320+107+350+100+45+39+53+100+226+212+85+97+117+20+198</f>
        <v>7217</v>
      </c>
      <c r="C54" s="9">
        <f>October!C54+B54</f>
        <v>21969</v>
      </c>
      <c r="D54" s="16">
        <f>45+1+1+1+100+10+50+257</f>
        <v>465</v>
      </c>
      <c r="E54" s="9">
        <f>October!E54+D54</f>
        <v>2795</v>
      </c>
      <c r="F54" s="17"/>
      <c r="G54" s="9">
        <f>October!G54+F54</f>
        <v>161</v>
      </c>
      <c r="H54" s="19"/>
      <c r="I54" s="9">
        <f>October!I54+H54</f>
        <v>0</v>
      </c>
      <c r="J54" s="25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210180</v>
      </c>
      <c r="C55" s="11"/>
      <c r="D55" s="11">
        <f>SUM(D5:D54)</f>
        <v>9167</v>
      </c>
      <c r="E55" s="11"/>
      <c r="F55" s="11">
        <f>SUM(F5:F54)</f>
        <v>14083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1200132</v>
      </c>
      <c r="D57" s="11"/>
      <c r="E57" s="11">
        <f>October!E57+D55</f>
        <v>62127</v>
      </c>
      <c r="F57" s="11"/>
      <c r="G57" s="11">
        <f>October!G57+F55</f>
        <v>143067</v>
      </c>
      <c r="H57" s="11"/>
      <c r="I57" s="11">
        <f>October!I57+H55</f>
        <v>183</v>
      </c>
      <c r="J57" s="11"/>
      <c r="K57" s="11">
        <f>October!K57+J55</f>
        <v>75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1486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4526</v>
      </c>
      <c r="G62" s="4">
        <f>October!G62+F60</f>
        <v>12447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5" sqref="B5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72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November!C5+B5</f>
        <v>1238</v>
      </c>
      <c r="D5" s="15">
        <f>1+61+30</f>
        <v>92</v>
      </c>
      <c r="E5" s="9">
        <f>November!E5+D5</f>
        <v>99</v>
      </c>
      <c r="F5" s="17"/>
      <c r="G5" s="9">
        <f>November!G5+F5</f>
        <v>0</v>
      </c>
      <c r="H5" s="19"/>
      <c r="I5" s="9">
        <f>November!I5+H5</f>
        <v>0</v>
      </c>
      <c r="J5" s="24"/>
      <c r="K5" s="9">
        <f>November!K5+J5</f>
        <v>0</v>
      </c>
    </row>
    <row r="6" spans="1:11" s="5" customFormat="1" ht="18" customHeight="1">
      <c r="A6" s="9" t="s">
        <v>8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  <c r="J6" s="24"/>
      <c r="K6" s="9">
        <f>November!K6+J6</f>
        <v>0</v>
      </c>
    </row>
    <row r="7" spans="1:11" s="5" customFormat="1" ht="18" customHeight="1">
      <c r="A7" s="9" t="s">
        <v>9</v>
      </c>
      <c r="B7" s="13">
        <f>105+535</f>
        <v>640</v>
      </c>
      <c r="C7" s="9">
        <f>November!C7+B7</f>
        <v>724</v>
      </c>
      <c r="D7" s="15"/>
      <c r="E7" s="9">
        <f>November!E7+D7</f>
        <v>663</v>
      </c>
      <c r="F7" s="17">
        <f>113</f>
        <v>113</v>
      </c>
      <c r="G7" s="9"/>
      <c r="H7" s="19"/>
      <c r="I7" s="9">
        <f>November!I7+H7</f>
        <v>0</v>
      </c>
      <c r="J7" s="24"/>
      <c r="K7" s="9">
        <f>November!K7+J7</f>
        <v>0</v>
      </c>
    </row>
    <row r="8" spans="1:11" s="5" customFormat="1" ht="18" customHeight="1">
      <c r="A8" s="9" t="s">
        <v>10</v>
      </c>
      <c r="B8" s="13">
        <f>35+35+91</f>
        <v>161</v>
      </c>
      <c r="C8" s="9">
        <f>November!C8+B8</f>
        <v>6744</v>
      </c>
      <c r="D8" s="15">
        <f>3</f>
        <v>3</v>
      </c>
      <c r="E8" s="9">
        <f>November!E8+D8</f>
        <v>176</v>
      </c>
      <c r="F8" s="17"/>
      <c r="G8" s="9">
        <f>November!G8+F8</f>
        <v>0</v>
      </c>
      <c r="H8" s="19"/>
      <c r="I8" s="9">
        <f>November!I8+H8</f>
        <v>0</v>
      </c>
      <c r="J8" s="24"/>
      <c r="K8" s="9">
        <f>November!K8+J8</f>
        <v>0</v>
      </c>
    </row>
    <row r="9" spans="1:11" s="5" customFormat="1" ht="18" customHeight="1">
      <c r="A9" s="9" t="s">
        <v>11</v>
      </c>
      <c r="B9" s="13">
        <f>1+885</f>
        <v>886</v>
      </c>
      <c r="C9" s="9">
        <f>November!C9+B9</f>
        <v>5172</v>
      </c>
      <c r="D9" s="15"/>
      <c r="E9" s="9">
        <f>November!E9+D9</f>
        <v>852</v>
      </c>
      <c r="F9" s="17">
        <f>330+90+95+95</f>
        <v>610</v>
      </c>
      <c r="G9" s="9">
        <f>November!G9+F9</f>
        <v>6825</v>
      </c>
      <c r="H9" s="19"/>
      <c r="I9" s="9">
        <f>November!I9+H9</f>
        <v>148</v>
      </c>
      <c r="J9" s="24"/>
      <c r="K9" s="9">
        <f>November!K9+J9</f>
        <v>0</v>
      </c>
    </row>
    <row r="10" spans="1:11" s="5" customFormat="1" ht="18" customHeight="1">
      <c r="A10" s="9" t="s">
        <v>12</v>
      </c>
      <c r="B10" s="13">
        <f>125+124+120+110+125+121+118+105+3+128+2+1+1+122+122+111+111+97+111+122+99+117+117+122+110+120+119+119+121+116+108+115+108+121+117+121+119+116+118+126+90+33+119+112+126+121+107+110+108+108+112+104+117+104+106+111+115+1+120+2714</f>
        <v>8846</v>
      </c>
      <c r="C10" s="9">
        <f>November!C10+B10</f>
        <v>55480</v>
      </c>
      <c r="D10" s="15">
        <v>2</v>
      </c>
      <c r="E10" s="9">
        <f>November!E10+D10</f>
        <v>165</v>
      </c>
      <c r="F10" s="17">
        <v>25</v>
      </c>
      <c r="G10" s="9">
        <f>November!G10+F10</f>
        <v>430</v>
      </c>
      <c r="H10" s="19"/>
      <c r="I10" s="9">
        <f>November!I10+H10</f>
        <v>34</v>
      </c>
      <c r="J10" s="24"/>
      <c r="K10" s="9">
        <f>November!K10+J10</f>
        <v>0</v>
      </c>
    </row>
    <row r="11" spans="1:11" s="5" customFormat="1" ht="18" customHeight="1">
      <c r="A11" s="9" t="s">
        <v>13</v>
      </c>
      <c r="B11" s="13">
        <f>74+73+80+85+190</f>
        <v>502</v>
      </c>
      <c r="C11" s="9">
        <f>November!C11+B11</f>
        <v>7056</v>
      </c>
      <c r="D11" s="15">
        <f>1+2+1+1+45+1</f>
        <v>51</v>
      </c>
      <c r="E11" s="9">
        <f>November!E11+D11</f>
        <v>536</v>
      </c>
      <c r="F11" s="17"/>
      <c r="G11" s="9">
        <f>November!G11+F11</f>
        <v>3191</v>
      </c>
      <c r="H11" s="19"/>
      <c r="I11" s="9">
        <f>November!I11+H11</f>
        <v>0</v>
      </c>
      <c r="J11" s="24"/>
      <c r="K11" s="9">
        <f>November!K11+J11</f>
        <v>2</v>
      </c>
    </row>
    <row r="12" spans="1:11" s="5" customFormat="1" ht="18" customHeight="1">
      <c r="A12" s="9" t="s">
        <v>14</v>
      </c>
      <c r="B12" s="13"/>
      <c r="C12" s="9">
        <f>November!C12+B12</f>
        <v>0</v>
      </c>
      <c r="D12" s="15"/>
      <c r="E12" s="9">
        <f>November!E12+D12</f>
        <v>0</v>
      </c>
      <c r="F12" s="17">
        <f>1</f>
        <v>1</v>
      </c>
      <c r="G12" s="9">
        <f>November!G12+F12</f>
        <v>1</v>
      </c>
      <c r="H12" s="19"/>
      <c r="I12" s="9">
        <f>November!I12+H12</f>
        <v>0</v>
      </c>
      <c r="J12" s="24"/>
      <c r="K12" s="9">
        <f>November!K12+J12</f>
        <v>0</v>
      </c>
    </row>
    <row r="13" spans="1:11" s="5" customFormat="1" ht="18" customHeight="1">
      <c r="A13" s="9" t="s">
        <v>15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  <c r="J13" s="24"/>
      <c r="K13" s="9">
        <f>November!K13+J13</f>
        <v>0</v>
      </c>
    </row>
    <row r="14" spans="1:11" s="5" customFormat="1" ht="18" customHeight="1">
      <c r="A14" s="9" t="s">
        <v>16</v>
      </c>
      <c r="B14" s="13"/>
      <c r="C14" s="9">
        <f>November!C14+B14</f>
        <v>1103</v>
      </c>
      <c r="D14" s="15"/>
      <c r="E14" s="9">
        <f>November!E14+D14</f>
        <v>0</v>
      </c>
      <c r="F14" s="17"/>
      <c r="G14" s="9">
        <f>November!G14+F14</f>
        <v>129</v>
      </c>
      <c r="H14" s="19"/>
      <c r="I14" s="9">
        <f>November!I14+H14</f>
        <v>0</v>
      </c>
      <c r="J14" s="24"/>
      <c r="K14" s="9">
        <f>November!K14+J14</f>
        <v>0</v>
      </c>
    </row>
    <row r="15" spans="1:11" s="5" customFormat="1" ht="18" customHeight="1">
      <c r="A15" s="9" t="s">
        <v>17</v>
      </c>
      <c r="B15" s="13">
        <f>80+72+74+68+67+71+72+63+67+74+73+66+70</f>
        <v>917</v>
      </c>
      <c r="C15" s="9">
        <f>November!C15+B15</f>
        <v>5783</v>
      </c>
      <c r="D15" s="15"/>
      <c r="E15" s="9">
        <f>November!E15+D15</f>
        <v>198</v>
      </c>
      <c r="F15" s="17"/>
      <c r="G15" s="9">
        <f>November!G15+F15</f>
        <v>102</v>
      </c>
      <c r="H15" s="19"/>
      <c r="I15" s="9">
        <f>November!I15+H15</f>
        <v>0</v>
      </c>
      <c r="J15" s="24"/>
      <c r="K15" s="9">
        <f>November!K15+J15</f>
        <v>0</v>
      </c>
    </row>
    <row r="16" spans="1:11" s="5" customFormat="1" ht="18" customHeight="1">
      <c r="A16" s="9" t="s">
        <v>18</v>
      </c>
      <c r="B16" s="13"/>
      <c r="C16" s="9">
        <f>November!C16+B16</f>
        <v>113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  <c r="J16" s="24"/>
      <c r="K16" s="9">
        <f>November!K16+J16</f>
        <v>0</v>
      </c>
    </row>
    <row r="17" spans="1:11" s="5" customFormat="1" ht="18" customHeight="1">
      <c r="A17" s="9" t="s">
        <v>19</v>
      </c>
      <c r="B17" s="13">
        <f>80+185+90+50+80+150+225+90+99</f>
        <v>1049</v>
      </c>
      <c r="C17" s="9">
        <f>November!C17+B17</f>
        <v>6440</v>
      </c>
      <c r="D17" s="15">
        <f>2+44</f>
        <v>46</v>
      </c>
      <c r="E17" s="9">
        <f>November!E17+D17</f>
        <v>1137</v>
      </c>
      <c r="F17" s="17"/>
      <c r="G17" s="9">
        <f>November!G17+F17</f>
        <v>2564</v>
      </c>
      <c r="H17" s="19"/>
      <c r="I17" s="9">
        <f>November!I17+H17</f>
        <v>0</v>
      </c>
      <c r="J17" s="24"/>
      <c r="K17" s="9">
        <f>November!K17+J17</f>
        <v>0</v>
      </c>
    </row>
    <row r="18" spans="1:18" s="5" customFormat="1" ht="18" customHeight="1">
      <c r="A18" s="9" t="s">
        <v>20</v>
      </c>
      <c r="B18" s="13">
        <f>21+67+58+70+19+70+70+85+85+70+85+20+102</f>
        <v>822</v>
      </c>
      <c r="C18" s="9">
        <f>November!C18+B18</f>
        <v>6261</v>
      </c>
      <c r="D18" s="15">
        <f>10+2+5+1+1+1+7+1+2+4+5+18+16+10+1+1+1+1+1+1+1+4+2+1+1+1+1+1+1+1+1+1+1+1+1+1+1+1+1+1+1+1+1+1+1+1+13</f>
        <v>132</v>
      </c>
      <c r="E18" s="9">
        <f>November!E18+D18</f>
        <v>1003</v>
      </c>
      <c r="F18" s="17">
        <f>9+9+1+6+2+146</f>
        <v>173</v>
      </c>
      <c r="G18" s="9">
        <f>November!G18+F18</f>
        <v>1213</v>
      </c>
      <c r="H18" s="19"/>
      <c r="I18" s="9">
        <f>November!I18+H18</f>
        <v>0</v>
      </c>
      <c r="J18" s="24"/>
      <c r="K18" s="9">
        <f>November!K18+J18</f>
        <v>0</v>
      </c>
      <c r="L18" s="8"/>
      <c r="M18" s="8"/>
      <c r="N18" s="8"/>
      <c r="O18" s="8"/>
      <c r="P18" s="8"/>
      <c r="Q18" s="48"/>
      <c r="R18" s="49"/>
    </row>
    <row r="19" spans="1:18" s="5" customFormat="1" ht="18" customHeight="1">
      <c r="A19" s="9" t="s">
        <v>21</v>
      </c>
      <c r="B19" s="13">
        <v>2146</v>
      </c>
      <c r="C19" s="9">
        <f>November!C19+B19</f>
        <v>12282</v>
      </c>
      <c r="D19" s="15">
        <f>10</f>
        <v>10</v>
      </c>
      <c r="E19" s="9">
        <f>November!E19+D19</f>
        <v>1088</v>
      </c>
      <c r="F19" s="17">
        <f>150+150+185+132</f>
        <v>617</v>
      </c>
      <c r="G19" s="9">
        <f>November!G19+F19</f>
        <v>10966</v>
      </c>
      <c r="H19" s="19"/>
      <c r="I19" s="9">
        <f>November!I19+H19</f>
        <v>0</v>
      </c>
      <c r="J19" s="24"/>
      <c r="K19" s="9">
        <f>November!K19+J19</f>
        <v>0</v>
      </c>
      <c r="R19" s="2"/>
    </row>
    <row r="20" spans="1:18" s="5" customFormat="1" ht="18" customHeight="1">
      <c r="A20" s="9" t="s">
        <v>22</v>
      </c>
      <c r="B20" s="13">
        <f>125+315+130+60+64+107+359+112+120+8+117+118+59+60</f>
        <v>1754</v>
      </c>
      <c r="C20" s="9">
        <f>November!C20+B20</f>
        <v>44461</v>
      </c>
      <c r="D20" s="15">
        <f>45+2+27+33+37+4+17+41+37</f>
        <v>243</v>
      </c>
      <c r="E20" s="9">
        <f>November!E20+D20</f>
        <v>1422</v>
      </c>
      <c r="F20" s="17">
        <f>37</f>
        <v>37</v>
      </c>
      <c r="G20" s="9">
        <f>November!G20+F20</f>
        <v>2888</v>
      </c>
      <c r="H20" s="19"/>
      <c r="I20" s="9">
        <f>November!I20+H20</f>
        <v>0</v>
      </c>
      <c r="J20" s="24">
        <f>13</f>
        <v>13</v>
      </c>
      <c r="K20" s="9">
        <f>November!K20+J20</f>
        <v>36</v>
      </c>
      <c r="R20" s="2"/>
    </row>
    <row r="21" spans="1:18" s="5" customFormat="1" ht="18" customHeight="1">
      <c r="A21" s="9" t="s">
        <v>23</v>
      </c>
      <c r="B21" s="13">
        <f>78+88+83+130+142+62+6+23+31+72+69+56+68+63+151+69+67+92+226+145+51+15+117+62+65+156+55+55+58+74+113+60+53+80+246+18+114+63+105+64+66+72+68+66+58+20+32+56+107+77+71+93+107+173+58+197+77+97+53+60+93+75+54+21+286+56+167+278+61+600+120+59+59+120+75+165+64+69</f>
        <v>7375</v>
      </c>
      <c r="C21" s="9">
        <f>November!C21+B21</f>
        <v>102707</v>
      </c>
      <c r="D21" s="15">
        <f>1+1+4+7+10+1+1+1+84</f>
        <v>110</v>
      </c>
      <c r="E21" s="9">
        <f>November!E21+D21</f>
        <v>309</v>
      </c>
      <c r="F21" s="17">
        <f>495+120</f>
        <v>615</v>
      </c>
      <c r="G21" s="9">
        <f>November!G21+F21</f>
        <v>5805</v>
      </c>
      <c r="H21" s="19"/>
      <c r="I21" s="9">
        <f>November!I21+H21</f>
        <v>0</v>
      </c>
      <c r="J21" s="24"/>
      <c r="K21" s="9">
        <f>November!K21+J21</f>
        <v>0</v>
      </c>
      <c r="R21" s="2"/>
    </row>
    <row r="22" spans="1:18" s="5" customFormat="1" ht="18" customHeight="1">
      <c r="A22" s="9" t="s">
        <v>24</v>
      </c>
      <c r="B22" s="13"/>
      <c r="C22" s="9">
        <v>0</v>
      </c>
      <c r="D22" s="15"/>
      <c r="E22" s="9">
        <f>November!E22+D22</f>
        <v>1</v>
      </c>
      <c r="F22" s="17"/>
      <c r="G22" s="9">
        <f>November!G22+F22</f>
        <v>0</v>
      </c>
      <c r="H22" s="19"/>
      <c r="I22" s="9">
        <f>November!I22+H22</f>
        <v>0</v>
      </c>
      <c r="J22" s="24"/>
      <c r="K22" s="9">
        <f>November!K22+J22</f>
        <v>0</v>
      </c>
      <c r="R22" s="2"/>
    </row>
    <row r="23" spans="1:18" s="5" customFormat="1" ht="18" customHeight="1">
      <c r="A23" s="9" t="s">
        <v>25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0</v>
      </c>
      <c r="H23" s="19"/>
      <c r="I23" s="9">
        <f>November!I23+H23</f>
        <v>0</v>
      </c>
      <c r="J23" s="24"/>
      <c r="K23" s="9">
        <f>November!K23+J23</f>
        <v>0</v>
      </c>
      <c r="R23" s="2"/>
    </row>
    <row r="24" spans="1:18" s="5" customFormat="1" ht="18" customHeight="1">
      <c r="A24" s="9" t="s">
        <v>26</v>
      </c>
      <c r="B24" s="13"/>
      <c r="C24" s="9">
        <f>November!C24+B24</f>
        <v>0</v>
      </c>
      <c r="D24" s="15"/>
      <c r="E24" s="9">
        <f>November!E24+D24</f>
        <v>4</v>
      </c>
      <c r="F24" s="17"/>
      <c r="G24" s="9">
        <f>November!G24+F24</f>
        <v>3</v>
      </c>
      <c r="H24" s="19"/>
      <c r="I24" s="9">
        <f>November!I24+H24</f>
        <v>0</v>
      </c>
      <c r="J24" s="24"/>
      <c r="K24" s="9">
        <f>November!K24+J24</f>
        <v>0</v>
      </c>
      <c r="R24" s="2"/>
    </row>
    <row r="25" spans="1:18" s="5" customFormat="1" ht="18" customHeight="1">
      <c r="A25" s="9" t="s">
        <v>27</v>
      </c>
      <c r="B25" s="13"/>
      <c r="C25" s="9">
        <f>November!C25+B25</f>
        <v>0</v>
      </c>
      <c r="D25" s="15"/>
      <c r="E25" s="9">
        <f>November!E25+D25</f>
        <v>0</v>
      </c>
      <c r="F25" s="17">
        <f>4</f>
        <v>4</v>
      </c>
      <c r="G25" s="9">
        <f>November!G25+F25</f>
        <v>4</v>
      </c>
      <c r="H25" s="19"/>
      <c r="I25" s="9">
        <f>November!I25+H25</f>
        <v>0</v>
      </c>
      <c r="J25" s="24"/>
      <c r="K25" s="9">
        <f>November!K25+J25</f>
        <v>0</v>
      </c>
      <c r="R25" s="2"/>
    </row>
    <row r="26" spans="1:18" s="5" customFormat="1" ht="18" customHeight="1">
      <c r="A26" s="9" t="s">
        <v>28</v>
      </c>
      <c r="B26" s="13">
        <v>279</v>
      </c>
      <c r="C26" s="9">
        <f>November!C26+B26</f>
        <v>3973</v>
      </c>
      <c r="D26" s="15">
        <f>175+1+1+1+80</f>
        <v>258</v>
      </c>
      <c r="E26" s="9">
        <f>November!E26+D26</f>
        <v>1416</v>
      </c>
      <c r="F26" s="17">
        <f>100+95+130+132+207+201+100+205+80+61+150+143+182+129+130+65</f>
        <v>2110</v>
      </c>
      <c r="G26" s="9">
        <f>November!G26+F26</f>
        <v>19750</v>
      </c>
      <c r="H26" s="19"/>
      <c r="I26" s="9">
        <f>November!I26+H26</f>
        <v>0</v>
      </c>
      <c r="J26" s="24"/>
      <c r="K26" s="9">
        <f>November!K26+J26</f>
        <v>0</v>
      </c>
      <c r="R26" s="2"/>
    </row>
    <row r="27" spans="1:18" s="5" customFormat="1" ht="18" customHeight="1">
      <c r="A27" s="9" t="s">
        <v>29</v>
      </c>
      <c r="B27" s="13">
        <f>76+20+112+14+45+68+66+745+11+31+85+14+19+3+10+38+69</f>
        <v>1426</v>
      </c>
      <c r="C27" s="9">
        <f>November!C27+B27</f>
        <v>21714</v>
      </c>
      <c r="D27" s="15">
        <f>3+1+4+43+5+2+2+37+39+1+1+1+1+15+70+33+11+4+18+14+16+72+2+5+22+16+1+1+1+1+1+1+1+1+1+1+1+1+1+1+72+50+41+69+7+21+7+1+5+1+1+1+1+20+12+7+79+1+1+19</f>
        <v>868</v>
      </c>
      <c r="E27" s="9">
        <f>November!E27+D27</f>
        <v>6141</v>
      </c>
      <c r="F27" s="17">
        <f>2+1+2+1+45+16+25+2+12+15+5+5+3+10+6+12+17+3+33+13+11+66+18+35+45+4+30+24+211+27+12+2+19+7+2+3+54+43+44+1+3+16+4+5+7+30+1+30+50+68+128</f>
        <v>1228</v>
      </c>
      <c r="G27" s="9">
        <f>November!G27+F27</f>
        <v>12545</v>
      </c>
      <c r="H27" s="19"/>
      <c r="I27" s="9">
        <f>November!I27+H27</f>
        <v>0</v>
      </c>
      <c r="J27" s="24"/>
      <c r="K27" s="9">
        <f>November!K27+J27</f>
        <v>0</v>
      </c>
      <c r="R27" s="2"/>
    </row>
    <row r="28" spans="1:18" s="5" customFormat="1" ht="18" customHeight="1">
      <c r="A28" s="9" t="s">
        <v>30</v>
      </c>
      <c r="B28" s="13"/>
      <c r="C28" s="9">
        <f>November!C28+B28</f>
        <v>1197</v>
      </c>
      <c r="D28" s="15"/>
      <c r="E28" s="9">
        <f>November!E28+D28</f>
        <v>2</v>
      </c>
      <c r="F28" s="17">
        <f>18+19</f>
        <v>37</v>
      </c>
      <c r="G28" s="9">
        <f>November!G28+F28</f>
        <v>390</v>
      </c>
      <c r="H28" s="19"/>
      <c r="I28" s="9">
        <f>November!I28+H28</f>
        <v>0</v>
      </c>
      <c r="J28" s="24"/>
      <c r="K28" s="9">
        <f>November!K28+J28</f>
        <v>0</v>
      </c>
      <c r="R28" s="2"/>
    </row>
    <row r="29" spans="1:18" s="5" customFormat="1" ht="18" customHeight="1">
      <c r="A29" s="9" t="s">
        <v>31</v>
      </c>
      <c r="B29" s="13">
        <f>106+84+71+12+253+69+57+71+65+65+51+70+236+56+49+8+187+69+55+41+83+69+53+95+90+5+64+65+13+14+14+61+38+77+100+13+18+364+115+124+383+49+122+14+15+65+93+68+62+65+65+101+86+150+22+53+86+188+73+101+67+43+4+47+49+31+101+64+10+164+123+358+66</f>
        <v>6138</v>
      </c>
      <c r="C29" s="9">
        <f>November!C29+B29</f>
        <v>140653</v>
      </c>
      <c r="D29" s="15">
        <f>1+100+22+22+22+22+22+3+3+12+5+11+1+2+1+2+1+1+1+1</f>
        <v>255</v>
      </c>
      <c r="E29" s="9">
        <f>November!E29+D29</f>
        <v>4540</v>
      </c>
      <c r="F29" s="17"/>
      <c r="G29" s="9">
        <f>November!G29+F29</f>
        <v>1542</v>
      </c>
      <c r="H29" s="19"/>
      <c r="I29" s="9">
        <f>November!I29+H29</f>
        <v>0</v>
      </c>
      <c r="J29" s="24">
        <f>13</f>
        <v>13</v>
      </c>
      <c r="K29" s="9">
        <f>November!K29+J29</f>
        <v>62</v>
      </c>
      <c r="R29" s="2"/>
    </row>
    <row r="30" spans="1:18" s="5" customFormat="1" ht="18" customHeight="1">
      <c r="A30" s="9" t="s">
        <v>32</v>
      </c>
      <c r="B30" s="13">
        <f>5+8+5+100+116+87+1+9+73+59+107+92+10+525+110+181+160+148+83+199+170+114+95+320+205+53+184+115+115+44+47+250+90+195+101+205+53+170+283+197+80+5+8+328+155+149+194+64+80+171+90+75+240+175+175+110+390+490+90+81+94+300+36+310+1+200+82+125+90+27+42+111+90+108+8+90+59+80+112+81+6+105+33+40+41+152+55+97+132+293+215+4+81+186+91+215+103+90+80+349+117+109+107+119+121+48+110+104+550+92+100+106+74+110+67+114+90+124+45+46+119+98+94+86+61+87+219+50+105+90+92+371+100+41+30+109+88+210+59+40+14+92+102+91+114+500+86+105+103+108</f>
        <v>18465</v>
      </c>
      <c r="C30" s="9">
        <f>November!C30+B30</f>
        <v>186906</v>
      </c>
      <c r="D30" s="15">
        <f>27+262+29+25+20+206+1+213+2+2+159+46+85+40+1+15+46+1+1+12+15+1+26+8+56+16+27+80+50+84+40+16+108+27+14+21+20+40+15+27</f>
        <v>1884</v>
      </c>
      <c r="E30" s="9">
        <f>November!E30+D30</f>
        <v>9047</v>
      </c>
      <c r="F30" s="17"/>
      <c r="G30" s="9">
        <f>November!G30+F30</f>
        <v>510</v>
      </c>
      <c r="H30" s="19"/>
      <c r="I30" s="9">
        <f>November!I30+H30</f>
        <v>0</v>
      </c>
      <c r="J30" s="24"/>
      <c r="K30" s="9">
        <f>November!K30+J30</f>
        <v>1</v>
      </c>
      <c r="R30" s="2"/>
    </row>
    <row r="31" spans="1:18" s="5" customFormat="1" ht="18" customHeight="1">
      <c r="A31" s="9" t="s">
        <v>33</v>
      </c>
      <c r="B31" s="13">
        <f>115+29+47+61+92+102+91+88+65+37+92+73+85+92+73+100+103+26+60+75+32+122+65+47+70+57+98+5+12+201+76+85+138+72+155+50</f>
        <v>2791</v>
      </c>
      <c r="C31" s="9">
        <f>November!C31+B31</f>
        <v>72966</v>
      </c>
      <c r="D31" s="15">
        <f>1+2+1+2+1+1+1+10+120+120+45+4+10+1+2+1+42+36+43+4+1+1+1+4+81+32+43+91+12+4+35+43</f>
        <v>795</v>
      </c>
      <c r="E31" s="9">
        <f>November!E31+D31</f>
        <v>14141</v>
      </c>
      <c r="F31" s="17">
        <f>60+70+22+6+37+60+70+121+38</f>
        <v>484</v>
      </c>
      <c r="G31" s="9">
        <f>November!G31+F31</f>
        <v>5314</v>
      </c>
      <c r="H31" s="19"/>
      <c r="I31" s="9">
        <f>November!I31+H31</f>
        <v>0</v>
      </c>
      <c r="J31" s="24"/>
      <c r="K31" s="9">
        <f>November!K31+J31</f>
        <v>0</v>
      </c>
      <c r="R31" s="2"/>
    </row>
    <row r="32" spans="1:18" s="5" customFormat="1" ht="18" customHeight="1">
      <c r="A32" s="9" t="s">
        <v>34</v>
      </c>
      <c r="B32" s="13">
        <f>90</f>
        <v>90</v>
      </c>
      <c r="C32" s="9">
        <f>November!C32+B32</f>
        <v>574</v>
      </c>
      <c r="D32" s="15">
        <f>1+1+1+1</f>
        <v>4</v>
      </c>
      <c r="E32" s="9">
        <f>November!E32+D32</f>
        <v>5</v>
      </c>
      <c r="F32" s="17"/>
      <c r="G32" s="9">
        <f>November!G32+F32</f>
        <v>0</v>
      </c>
      <c r="H32" s="19"/>
      <c r="I32" s="9">
        <f>November!I32+H32</f>
        <v>0</v>
      </c>
      <c r="J32" s="24"/>
      <c r="K32" s="9">
        <f>November!K32+J32</f>
        <v>0</v>
      </c>
      <c r="R32" s="2"/>
    </row>
    <row r="33" spans="1:18" s="5" customFormat="1" ht="18" customHeight="1">
      <c r="A33" s="9" t="s">
        <v>35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  <c r="J33" s="24"/>
      <c r="K33" s="9">
        <f>November!K33+J33</f>
        <v>0</v>
      </c>
      <c r="R33" s="2"/>
    </row>
    <row r="34" spans="1:18" s="5" customFormat="1" ht="18" customHeight="1">
      <c r="A34" s="9" t="s">
        <v>36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  <c r="J34" s="24"/>
      <c r="K34" s="9">
        <f>November!K34+J34</f>
        <v>0</v>
      </c>
      <c r="R34" s="2"/>
    </row>
    <row r="35" spans="1:18" s="5" customFormat="1" ht="18" customHeight="1">
      <c r="A35" s="9" t="s">
        <v>37</v>
      </c>
      <c r="B35" s="13">
        <f>40+320</f>
        <v>360</v>
      </c>
      <c r="C35" s="9">
        <f>November!C35+B35</f>
        <v>3152</v>
      </c>
      <c r="D35" s="15">
        <f>3</f>
        <v>3</v>
      </c>
      <c r="E35" s="9">
        <f>November!E35+D35</f>
        <v>229</v>
      </c>
      <c r="F35" s="17">
        <f>375+375+120+10+120+170+120</f>
        <v>1290</v>
      </c>
      <c r="G35" s="9">
        <f>November!G35+F35</f>
        <v>5956</v>
      </c>
      <c r="H35" s="19"/>
      <c r="I35" s="9">
        <f>November!I35+H35</f>
        <v>0</v>
      </c>
      <c r="J35" s="24"/>
      <c r="K35" s="9">
        <f>November!K35+J35</f>
        <v>0</v>
      </c>
      <c r="R35" s="2"/>
    </row>
    <row r="36" spans="1:18" s="5" customFormat="1" ht="18" customHeight="1">
      <c r="A36" s="9" t="s">
        <v>38</v>
      </c>
      <c r="B36" s="13">
        <v>76</v>
      </c>
      <c r="C36" s="9">
        <f>November!C36+B36</f>
        <v>659</v>
      </c>
      <c r="D36" s="15">
        <f>106+65</f>
        <v>171</v>
      </c>
      <c r="E36" s="9">
        <f>November!E36+D36</f>
        <v>517</v>
      </c>
      <c r="F36" s="17">
        <f>33+70+96+97+38+36+6</f>
        <v>376</v>
      </c>
      <c r="G36" s="9">
        <f>November!G36+F36</f>
        <v>2671</v>
      </c>
      <c r="H36" s="19"/>
      <c r="I36" s="9">
        <f>November!I36+H36</f>
        <v>0</v>
      </c>
      <c r="J36" s="24"/>
      <c r="K36" s="9">
        <f>November!K36+J36</f>
        <v>0</v>
      </c>
      <c r="R36" s="2"/>
    </row>
    <row r="37" spans="1:18" s="5" customFormat="1" ht="18" customHeight="1">
      <c r="A37" s="9" t="s">
        <v>39</v>
      </c>
      <c r="B37" s="13">
        <f>83+63</f>
        <v>146</v>
      </c>
      <c r="C37" s="9">
        <f>November!C37+B37</f>
        <v>807</v>
      </c>
      <c r="D37" s="15">
        <f>1+7</f>
        <v>8</v>
      </c>
      <c r="E37" s="9">
        <f>November!E37+D37</f>
        <v>28</v>
      </c>
      <c r="F37" s="17"/>
      <c r="G37" s="9">
        <f>November!G37+F37</f>
        <v>0</v>
      </c>
      <c r="H37" s="19"/>
      <c r="I37" s="9">
        <f>November!I37+H37</f>
        <v>0</v>
      </c>
      <c r="J37" s="24"/>
      <c r="K37" s="9">
        <f>November!K37+J37</f>
        <v>0</v>
      </c>
      <c r="R37" s="2"/>
    </row>
    <row r="38" spans="1:18" s="5" customFormat="1" ht="18" customHeight="1">
      <c r="A38" s="9" t="s">
        <v>40</v>
      </c>
      <c r="B38" s="13">
        <f>675+93+180+535+779+96+64+102+195+45+59+182+77+90+195+326+192+80+51+68+103+107+99+120+110+108+110+240+121+100+445+197+40+209+98+200+100+107+95+55+37+39+85+94+92+51+78+94+100+100+73+12+97+89+81+90+100+50+25+674+94+90+86+110+70+85+313+103+96+77+61+74+81+115+206+63+15+158+110+85+94+170+90+174+46+85+41+174+71+78+112+37+150+145+100+100+109+105+100+350+112+228+70+50+43+132+90+95+50+162+24+84+98+213+185+46+70+87+101+327+75+101+110+92+179+75+85+53</f>
        <v>16369</v>
      </c>
      <c r="C38" s="9">
        <f>November!C38+B38</f>
        <v>111749</v>
      </c>
      <c r="D38" s="15">
        <f>8+43+7+1+1+5+27+29+31+6+5+168</f>
        <v>331</v>
      </c>
      <c r="E38" s="9">
        <f>November!E38+D38</f>
        <v>3037</v>
      </c>
      <c r="F38" s="17"/>
      <c r="G38" s="9">
        <f>November!G38+F38</f>
        <v>273</v>
      </c>
      <c r="H38" s="19"/>
      <c r="I38" s="9">
        <f>November!I38+H38</f>
        <v>0</v>
      </c>
      <c r="J38" s="24"/>
      <c r="K38" s="9">
        <f>November!K38+J38</f>
        <v>0</v>
      </c>
      <c r="R38" s="2"/>
    </row>
    <row r="39" spans="1:18" s="5" customFormat="1" ht="18" customHeight="1">
      <c r="A39" s="9" t="s">
        <v>41</v>
      </c>
      <c r="B39" s="13"/>
      <c r="C39" s="9">
        <f>November!C39+B39</f>
        <v>2728</v>
      </c>
      <c r="D39" s="15"/>
      <c r="E39" s="9">
        <f>November!E39+D39</f>
        <v>203</v>
      </c>
      <c r="F39" s="17">
        <f>100+10+2+162+150</f>
        <v>424</v>
      </c>
      <c r="G39" s="9">
        <f>November!G39+F39</f>
        <v>8600</v>
      </c>
      <c r="H39" s="19"/>
      <c r="I39" s="9">
        <f>November!I39+H39</f>
        <v>0</v>
      </c>
      <c r="J39" s="24"/>
      <c r="K39" s="9">
        <f>November!K39+J39</f>
        <v>0</v>
      </c>
      <c r="R39" s="2"/>
    </row>
    <row r="40" spans="1:18" s="5" customFormat="1" ht="18" customHeight="1">
      <c r="A40" s="9" t="s">
        <v>42</v>
      </c>
      <c r="B40" s="13">
        <f>67+230</f>
        <v>297</v>
      </c>
      <c r="C40" s="9">
        <f>November!C40+B40</f>
        <v>20832</v>
      </c>
      <c r="D40" s="15">
        <f>2+1+1</f>
        <v>4</v>
      </c>
      <c r="E40" s="9">
        <f>November!E40+D40</f>
        <v>1486</v>
      </c>
      <c r="F40" s="17"/>
      <c r="G40" s="9">
        <f>November!G40+F40</f>
        <v>78</v>
      </c>
      <c r="H40" s="19"/>
      <c r="I40" s="9">
        <f>November!I40+H40</f>
        <v>0</v>
      </c>
      <c r="J40" s="24"/>
      <c r="K40" s="9">
        <f>November!K40+J40</f>
        <v>0</v>
      </c>
      <c r="R40" s="2"/>
    </row>
    <row r="41" spans="1:18" s="5" customFormat="1" ht="18" customHeight="1">
      <c r="A41" s="9" t="s">
        <v>43</v>
      </c>
      <c r="B41" s="13"/>
      <c r="C41" s="9">
        <f>November!C41+B41</f>
        <v>1740</v>
      </c>
      <c r="D41" s="15"/>
      <c r="E41" s="9">
        <f>November!E41+D41</f>
        <v>86</v>
      </c>
      <c r="F41" s="17">
        <f>108</f>
        <v>108</v>
      </c>
      <c r="G41" s="9">
        <f>November!G41+F41</f>
        <v>696</v>
      </c>
      <c r="H41" s="19"/>
      <c r="I41" s="9">
        <f>November!I41+H41</f>
        <v>0</v>
      </c>
      <c r="J41" s="24"/>
      <c r="K41" s="9">
        <f>November!K41+J41</f>
        <v>0</v>
      </c>
      <c r="R41" s="2"/>
    </row>
    <row r="42" spans="1:18" s="5" customFormat="1" ht="18" customHeight="1">
      <c r="A42" s="9" t="s">
        <v>44</v>
      </c>
      <c r="B42" s="13">
        <f>58+31+90+95</f>
        <v>274</v>
      </c>
      <c r="C42" s="9">
        <f>November!C42+B42</f>
        <v>1395</v>
      </c>
      <c r="D42" s="15">
        <f>17</f>
        <v>17</v>
      </c>
      <c r="E42" s="9">
        <f>November!E42+D42</f>
        <v>70</v>
      </c>
      <c r="F42" s="17">
        <f>40+86+45+90+40+78+15+43+114+40+30+7+45+45+45+45</f>
        <v>808</v>
      </c>
      <c r="G42" s="9">
        <f>November!G42+F42</f>
        <v>4000</v>
      </c>
      <c r="H42" s="19"/>
      <c r="I42" s="9">
        <f>November!I42+H42</f>
        <v>0</v>
      </c>
      <c r="J42" s="24"/>
      <c r="K42" s="9">
        <f>November!K42+J42</f>
        <v>0</v>
      </c>
      <c r="R42" s="2"/>
    </row>
    <row r="43" spans="1:18" s="5" customFormat="1" ht="18" customHeight="1">
      <c r="A43" s="9" t="s">
        <v>45</v>
      </c>
      <c r="B43" s="13"/>
      <c r="C43" s="9">
        <f>November!C43+B43</f>
        <v>0</v>
      </c>
      <c r="D43" s="15"/>
      <c r="E43" s="9">
        <f>November!E43+D43</f>
        <v>4</v>
      </c>
      <c r="F43" s="17"/>
      <c r="G43" s="9">
        <f>November!G43+F43</f>
        <v>0</v>
      </c>
      <c r="H43" s="19"/>
      <c r="I43" s="9">
        <f>November!I43+H43</f>
        <v>0</v>
      </c>
      <c r="J43" s="24"/>
      <c r="K43" s="9">
        <f>November!K43+J43</f>
        <v>0</v>
      </c>
      <c r="R43" s="2"/>
    </row>
    <row r="44" spans="1:18" s="5" customFormat="1" ht="18" customHeight="1">
      <c r="A44" s="9" t="s">
        <v>46</v>
      </c>
      <c r="B44" s="13"/>
      <c r="C44" s="9">
        <f>November!C44+B44</f>
        <v>6843</v>
      </c>
      <c r="D44" s="15"/>
      <c r="E44" s="9">
        <f>November!E44+D44</f>
        <v>2</v>
      </c>
      <c r="F44" s="17"/>
      <c r="G44" s="9">
        <f>November!G44+F44</f>
        <v>0</v>
      </c>
      <c r="H44" s="19"/>
      <c r="I44" s="9">
        <f>November!I44+H44</f>
        <v>0</v>
      </c>
      <c r="J44" s="24"/>
      <c r="K44" s="9">
        <f>November!K44+J44</f>
        <v>0</v>
      </c>
      <c r="R44" s="2"/>
    </row>
    <row r="45" spans="1:18" s="5" customFormat="1" ht="18" customHeight="1">
      <c r="A45" s="9" t="s">
        <v>47</v>
      </c>
      <c r="B45" s="13">
        <f>95+92+11+32+65+216+48+52+103+74+53+98+57+45+51+85+112+109+132+14+134+18+90+119+97+90+169+110+58+115+42+103+294+161+64+98+16+91+55+111+51+295+111+22+224+112+105+10+96+250+97+326+99+5+84+78+100+93+216+100+105+82+101+89+90+70+78+23+9+106+43+88+187+110+110+43+80+192+678+1+198+197+4+2+2+3+36+3+127+163+94+94+103+24+78+103+89+32+67+103+166+11+185+12+11+61+60+193+193+43+173+296+172+165+93+117+230+296+18+114+164+312+85+70+60+114+66+90+100+108+140+167+84+26+9+49+89+51+108+65+52+78+111+108+108+153+66+292+507+182+78+100+97+182+85+84+189+162+150+91+98+51+116+118+39+174+230+68+48+78+413+115+102+58+12+61+8+3701+115</f>
        <v>22906</v>
      </c>
      <c r="C45" s="9">
        <f>November!C45+B45</f>
        <v>340247</v>
      </c>
      <c r="D45" s="15">
        <f>1+1+46+31+42+1+53+22+17+45+3+12+4+15+1+1+51+40+32+1+12+13+38+47+4+33+171+1+43+40+13+42+45+11+18+21+20+2+44+1+1+2+24+139</f>
        <v>1204</v>
      </c>
      <c r="E45" s="9">
        <f>November!E45+D45</f>
        <v>12017</v>
      </c>
      <c r="F45" s="17">
        <f>15</f>
        <v>15</v>
      </c>
      <c r="G45" s="9">
        <f>November!G45+F45</f>
        <v>797</v>
      </c>
      <c r="H45" s="19"/>
      <c r="I45" s="9">
        <f>November!I45+H45</f>
        <v>1</v>
      </c>
      <c r="J45" s="24"/>
      <c r="K45" s="9">
        <f>November!K45+J45</f>
        <v>0</v>
      </c>
      <c r="R45" s="2"/>
    </row>
    <row r="46" spans="1:18" s="5" customFormat="1" ht="18" customHeight="1">
      <c r="A46" s="9" t="s">
        <v>48</v>
      </c>
      <c r="B46" s="13">
        <f>125+85+111+55+58+70+70+101+63+98+100</f>
        <v>936</v>
      </c>
      <c r="C46" s="9">
        <f>November!C46+B46</f>
        <v>28112</v>
      </c>
      <c r="D46" s="15"/>
      <c r="E46" s="9">
        <f>November!E46+D46</f>
        <v>420</v>
      </c>
      <c r="F46" s="17"/>
      <c r="G46" s="9">
        <f>November!G46+F46</f>
        <v>1628</v>
      </c>
      <c r="H46" s="19"/>
      <c r="I46" s="9">
        <f>November!I46+H46</f>
        <v>0</v>
      </c>
      <c r="J46" s="24"/>
      <c r="K46" s="9">
        <f>November!K46+J46</f>
        <v>0</v>
      </c>
      <c r="R46" s="2"/>
    </row>
    <row r="47" spans="1:18" s="5" customFormat="1" ht="18" customHeight="1">
      <c r="A47" s="9" t="s">
        <v>49</v>
      </c>
      <c r="B47" s="13">
        <f>51+80+147+95+95+95+204+62+42+400</f>
        <v>1271</v>
      </c>
      <c r="C47" s="9">
        <f>November!C47+B47</f>
        <v>8347</v>
      </c>
      <c r="D47" s="15">
        <f>2</f>
        <v>2</v>
      </c>
      <c r="E47" s="9">
        <f>November!E47+D47</f>
        <v>520</v>
      </c>
      <c r="F47" s="17">
        <f>200+55+169</f>
        <v>424</v>
      </c>
      <c r="G47" s="9">
        <f>November!G47+F47</f>
        <v>7591</v>
      </c>
      <c r="H47" s="19"/>
      <c r="I47" s="9">
        <f>November!I47+H47</f>
        <v>0</v>
      </c>
      <c r="J47" s="24"/>
      <c r="K47" s="9">
        <f>November!K47+J47</f>
        <v>0</v>
      </c>
      <c r="R47" s="2"/>
    </row>
    <row r="48" spans="1:18" s="5" customFormat="1" ht="18" customHeight="1">
      <c r="A48" s="9" t="s">
        <v>50</v>
      </c>
      <c r="B48" s="13">
        <f>88</f>
        <v>88</v>
      </c>
      <c r="C48" s="9">
        <f>November!C48+B48</f>
        <v>3308</v>
      </c>
      <c r="D48" s="15">
        <f>2+1+1+2+3</f>
        <v>9</v>
      </c>
      <c r="E48" s="9">
        <f>November!E48+D48</f>
        <v>22</v>
      </c>
      <c r="F48" s="17"/>
      <c r="G48" s="9">
        <f>November!G48+F48</f>
        <v>419</v>
      </c>
      <c r="H48" s="19"/>
      <c r="I48" s="9">
        <f>November!I48+H48</f>
        <v>0</v>
      </c>
      <c r="J48" s="24"/>
      <c r="K48" s="9">
        <f>November!K48+J48</f>
        <v>0</v>
      </c>
      <c r="R48" s="2"/>
    </row>
    <row r="49" spans="1:18" s="5" customFormat="1" ht="18" customHeight="1">
      <c r="A49" s="9" t="s">
        <v>51</v>
      </c>
      <c r="B49" s="13"/>
      <c r="C49" s="9">
        <f>November!C49+B49</f>
        <v>0</v>
      </c>
      <c r="D49" s="15"/>
      <c r="E49" s="9">
        <f>November!E49+D49</f>
        <v>1</v>
      </c>
      <c r="F49" s="17"/>
      <c r="G49" s="9">
        <f>November!G49+F49</f>
        <v>509</v>
      </c>
      <c r="H49" s="19"/>
      <c r="I49" s="9">
        <f>November!I49+H49</f>
        <v>0</v>
      </c>
      <c r="J49" s="24"/>
      <c r="K49" s="9">
        <f>November!K49+J49</f>
        <v>0</v>
      </c>
      <c r="R49" s="2"/>
    </row>
    <row r="50" spans="1:18" s="5" customFormat="1" ht="18" customHeight="1">
      <c r="A50" s="9" t="s">
        <v>52</v>
      </c>
      <c r="B50" s="13">
        <f>63+62+170+126+14+102+184+120+60+80+13+124+120+177+116+116+136+164+156+120+72+110+70+248+68+186+36+66+54+104</f>
        <v>3237</v>
      </c>
      <c r="C50" s="9">
        <f>November!C50+B50</f>
        <v>33311</v>
      </c>
      <c r="D50" s="15"/>
      <c r="E50" s="9">
        <f>November!E50+D50</f>
        <v>232</v>
      </c>
      <c r="F50" s="17"/>
      <c r="G50" s="9">
        <f>November!G50+F50</f>
        <v>331</v>
      </c>
      <c r="H50" s="19"/>
      <c r="I50" s="9">
        <f>November!I50+H50</f>
        <v>0</v>
      </c>
      <c r="J50" s="24"/>
      <c r="K50" s="9">
        <f>November!K50+J50</f>
        <v>0</v>
      </c>
      <c r="R50" s="2"/>
    </row>
    <row r="51" spans="1:18" s="5" customFormat="1" ht="18" customHeight="1">
      <c r="A51" s="9" t="s">
        <v>53</v>
      </c>
      <c r="B51" s="13"/>
      <c r="C51" s="9">
        <f>November!C51+B51</f>
        <v>815</v>
      </c>
      <c r="D51" s="15"/>
      <c r="E51" s="9">
        <f>November!E51+D51</f>
        <v>63</v>
      </c>
      <c r="F51" s="17"/>
      <c r="G51" s="9">
        <f>November!G51+F51</f>
        <v>0</v>
      </c>
      <c r="H51" s="19"/>
      <c r="I51" s="9">
        <f>November!I51+H51</f>
        <v>0</v>
      </c>
      <c r="J51" s="24"/>
      <c r="K51" s="9">
        <f>November!K51+J51</f>
        <v>0</v>
      </c>
      <c r="R51" s="2"/>
    </row>
    <row r="52" spans="1:18" s="5" customFormat="1" ht="18" customHeight="1">
      <c r="A52" s="9" t="s">
        <v>54</v>
      </c>
      <c r="B52" s="13">
        <f>64+55+64+32+39+66</f>
        <v>320</v>
      </c>
      <c r="C52" s="9">
        <f>November!C52+B52</f>
        <v>6023</v>
      </c>
      <c r="D52" s="15">
        <f>28</f>
        <v>28</v>
      </c>
      <c r="E52" s="9">
        <f>November!E52+D52</f>
        <v>95</v>
      </c>
      <c r="F52" s="17"/>
      <c r="G52" s="9">
        <f>November!G52+F52</f>
        <v>0</v>
      </c>
      <c r="H52" s="19"/>
      <c r="I52" s="9">
        <f>November!I52+H52</f>
        <v>0</v>
      </c>
      <c r="J52" s="24"/>
      <c r="K52" s="9">
        <f>November!K52+J52</f>
        <v>0</v>
      </c>
      <c r="R52" s="2"/>
    </row>
    <row r="53" spans="1:18" s="5" customFormat="1" ht="18" customHeight="1">
      <c r="A53" s="9" t="s">
        <v>55</v>
      </c>
      <c r="B53" s="13">
        <f>595+593</f>
        <v>1188</v>
      </c>
      <c r="C53" s="9">
        <f>November!C53+B53</f>
        <v>26303</v>
      </c>
      <c r="D53" s="15">
        <f>4+5+10+7+73+60+8+3+12+1+5+3+1+1+15+4+6+40+20+20+53+2+1+1+1+1+1+1+2+26+74+1+1+1+1+1+1+2+1+1+55+15+34+9+44+11+2+3+26+1+40+2+3+7+10+7+3+9+8+6+3+48+31+45+86+11+55+39+31+16+15+73+36+9+5+16+1+14+11+34+68+56+104+279+393+33+21+13+73+61+12+7+37+82+6+134+17+4+18+17+175+325</f>
        <v>3280</v>
      </c>
      <c r="E53" s="9">
        <f>November!E53+D53</f>
        <v>7165</v>
      </c>
      <c r="F53" s="17">
        <f>9+3+24+40+120+2+11+109+38+3+12+1+8+50+4+11+6+4+4+150+225+95+60+78+100+125+100+30+36+218+199+40+19+42+1+41+7+9+2+16+26+1+2+1+7+35+17+4+6+1+94+27+70+35+60+125+2+70+95+22+50+39+59+7+17+73+80+33+34+136+11+9+50+9+94+91+24+47+175+80+36+26+113+84+11+1+6+2+60+31+7+13+11+200+75+48+7+225+225+9+1+5+2+92+60+50+12+103+11+25+22+2+30+48+234</f>
        <v>5757</v>
      </c>
      <c r="G53" s="9">
        <f>November!G53+F53</f>
        <v>46256</v>
      </c>
      <c r="H53" s="19"/>
      <c r="I53" s="9">
        <f>November!I53+H53</f>
        <v>0</v>
      </c>
      <c r="J53" s="24"/>
      <c r="K53" s="9">
        <f>November!K53+J53</f>
        <v>0</v>
      </c>
      <c r="R53" s="2"/>
    </row>
    <row r="54" spans="1:18" s="5" customFormat="1" ht="18" customHeight="1" thickBot="1">
      <c r="A54" s="10" t="s">
        <v>56</v>
      </c>
      <c r="B54" s="13">
        <f>100+113+80+180+330+500+95+180+70+183+93+109</f>
        <v>2033</v>
      </c>
      <c r="C54" s="9">
        <f>November!C54+B54</f>
        <v>24002</v>
      </c>
      <c r="D54" s="16">
        <f>40+28+115+43+57+214</f>
        <v>497</v>
      </c>
      <c r="E54" s="9">
        <f>November!E54+D54</f>
        <v>3292</v>
      </c>
      <c r="F54" s="17"/>
      <c r="G54" s="9">
        <f>November!G54+F54</f>
        <v>161</v>
      </c>
      <c r="H54" s="19"/>
      <c r="I54" s="9">
        <f>November!I54+H54</f>
        <v>0</v>
      </c>
      <c r="J54" s="25"/>
      <c r="K54" s="9">
        <f>November!K54+J54</f>
        <v>0</v>
      </c>
      <c r="R54" s="2"/>
    </row>
    <row r="55" spans="1:18" s="5" customFormat="1" ht="18" customHeight="1" thickBot="1" thickTop="1">
      <c r="A55" s="11" t="s">
        <v>57</v>
      </c>
      <c r="B55" s="11">
        <f>SUM(B5:B54)</f>
        <v>103788</v>
      </c>
      <c r="C55" s="11"/>
      <c r="D55" s="11">
        <f>SUM(D5:D54)</f>
        <v>10307</v>
      </c>
      <c r="E55" s="11"/>
      <c r="F55" s="11">
        <f>SUM(F5:F54)</f>
        <v>15256</v>
      </c>
      <c r="G55" s="11"/>
      <c r="H55" s="11">
        <f>SUM(H5:H54)</f>
        <v>0</v>
      </c>
      <c r="I55" s="11"/>
      <c r="J55" s="11">
        <f>SUM(J5:J54)</f>
        <v>26</v>
      </c>
      <c r="K55" s="23"/>
      <c r="R55" s="2"/>
    </row>
    <row r="56" spans="1:18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  <c r="R56" s="2"/>
    </row>
    <row r="57" spans="1:18" s="5" customFormat="1" ht="18" customHeight="1" thickBot="1" thickTop="1">
      <c r="A57" s="12" t="s">
        <v>58</v>
      </c>
      <c r="B57" s="11"/>
      <c r="C57" s="11">
        <f>November!C57+B55</f>
        <v>1303920</v>
      </c>
      <c r="D57" s="11"/>
      <c r="E57" s="11">
        <f>November!E57+D55</f>
        <v>72434</v>
      </c>
      <c r="F57" s="11"/>
      <c r="G57" s="11">
        <f>November!G57+F55</f>
        <v>158323</v>
      </c>
      <c r="H57" s="11"/>
      <c r="I57" s="11">
        <f>November!I57+H55</f>
        <v>183</v>
      </c>
      <c r="J57" s="11"/>
      <c r="K57" s="11">
        <f>November!K57+J55</f>
        <v>101</v>
      </c>
      <c r="R57" s="2"/>
    </row>
    <row r="58" s="5" customFormat="1" ht="18" customHeight="1" thickTop="1">
      <c r="R58" s="2"/>
    </row>
    <row r="59" spans="1:18" s="5" customFormat="1" ht="18" customHeight="1">
      <c r="A59" s="5" t="s">
        <v>59</v>
      </c>
      <c r="R59" s="2"/>
    </row>
    <row r="60" spans="1:18" s="5" customFormat="1" ht="18" customHeight="1">
      <c r="A60" s="5" t="s">
        <v>12</v>
      </c>
      <c r="F60" s="5">
        <v>3200</v>
      </c>
      <c r="R60" s="2"/>
    </row>
    <row r="61" s="5" customFormat="1" ht="18" customHeight="1">
      <c r="R61" s="2"/>
    </row>
    <row r="62" spans="1:18" s="4" customFormat="1" ht="18" customHeight="1">
      <c r="A62" s="4" t="s">
        <v>60</v>
      </c>
      <c r="E62" s="4">
        <f>November!E62+D60</f>
        <v>4526</v>
      </c>
      <c r="G62" s="4">
        <f>November!G62+F60</f>
        <v>15647</v>
      </c>
      <c r="R62" s="2"/>
    </row>
    <row r="63" s="5" customFormat="1" ht="18" customHeight="1">
      <c r="R63" s="2"/>
    </row>
    <row r="64" s="5" customFormat="1" ht="18" customHeight="1">
      <c r="R64" s="2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62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8" s="5" customFormat="1" ht="18" customHeight="1">
      <c r="A5" s="9" t="s">
        <v>7</v>
      </c>
      <c r="B5" s="13"/>
      <c r="C5" s="9">
        <f>January!C5+B5</f>
        <v>0</v>
      </c>
      <c r="D5" s="15">
        <f>1</f>
        <v>1</v>
      </c>
      <c r="E5" s="9">
        <f>January!E5+D5</f>
        <v>1</v>
      </c>
      <c r="F5" s="17"/>
      <c r="G5" s="9">
        <f>January!G5+F5</f>
        <v>0</v>
      </c>
      <c r="H5" s="19"/>
      <c r="I5" s="9">
        <f>January!I5+H5</f>
        <v>0</v>
      </c>
      <c r="J5" s="24"/>
      <c r="K5" s="9">
        <f>January!K5+J5</f>
        <v>0</v>
      </c>
      <c r="L5" s="8"/>
      <c r="M5" s="8"/>
      <c r="N5" s="8"/>
      <c r="O5" s="8"/>
      <c r="P5" s="8"/>
      <c r="Q5" s="8"/>
      <c r="R5" s="8"/>
    </row>
    <row r="6" spans="1:18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  <c r="J6" s="24"/>
      <c r="K6" s="9">
        <f>January!K6+J6</f>
        <v>0</v>
      </c>
      <c r="L6" s="8"/>
      <c r="M6" s="8"/>
      <c r="N6" s="8"/>
      <c r="O6" s="8"/>
      <c r="P6" s="8"/>
      <c r="Q6" s="8"/>
      <c r="R6" s="8"/>
    </row>
    <row r="7" spans="1:18" s="5" customFormat="1" ht="18" customHeight="1">
      <c r="A7" s="9" t="s">
        <v>9</v>
      </c>
      <c r="B7" s="13"/>
      <c r="C7" s="9">
        <f>January!C7+B7</f>
        <v>84</v>
      </c>
      <c r="D7" s="15"/>
      <c r="E7" s="9">
        <f>January!E7+D7</f>
        <v>0</v>
      </c>
      <c r="F7" s="17">
        <f>110+75+149+100+100+100+106</f>
        <v>740</v>
      </c>
      <c r="G7" s="9">
        <f>January!G7+F7</f>
        <v>840</v>
      </c>
      <c r="H7" s="19"/>
      <c r="I7" s="9">
        <f>January!I7+H7</f>
        <v>0</v>
      </c>
      <c r="J7" s="24"/>
      <c r="K7" s="9">
        <f>January!K7+J7</f>
        <v>0</v>
      </c>
      <c r="L7" s="8"/>
      <c r="M7" s="8"/>
      <c r="N7" s="8"/>
      <c r="O7" s="8"/>
      <c r="P7" s="8"/>
      <c r="Q7" s="8"/>
      <c r="R7" s="8"/>
    </row>
    <row r="8" spans="1:18" s="5" customFormat="1" ht="18" customHeight="1">
      <c r="A8" s="9" t="s">
        <v>10</v>
      </c>
      <c r="B8" s="13">
        <f>92+34+87+83</f>
        <v>296</v>
      </c>
      <c r="C8" s="9">
        <f>January!C8+B8</f>
        <v>460</v>
      </c>
      <c r="D8" s="15">
        <f>10+10+10+10</f>
        <v>40</v>
      </c>
      <c r="E8" s="9">
        <f>January!E8+D8</f>
        <v>40</v>
      </c>
      <c r="F8" s="17"/>
      <c r="G8" s="9">
        <f>January!G8+F8</f>
        <v>0</v>
      </c>
      <c r="H8" s="19"/>
      <c r="I8" s="9">
        <f>January!I8+H8</f>
        <v>0</v>
      </c>
      <c r="J8" s="24"/>
      <c r="K8" s="9">
        <f>January!K8+J8</f>
        <v>0</v>
      </c>
      <c r="L8" s="8"/>
      <c r="M8" s="8"/>
      <c r="N8" s="8"/>
      <c r="O8" s="8"/>
      <c r="P8" s="8"/>
      <c r="Q8" s="8"/>
      <c r="R8" s="8"/>
    </row>
    <row r="9" spans="1:18" s="5" customFormat="1" ht="18" customHeight="1">
      <c r="A9" s="9" t="s">
        <v>11</v>
      </c>
      <c r="B9" s="13">
        <v>316</v>
      </c>
      <c r="C9" s="9">
        <f>January!C9+B9</f>
        <v>316</v>
      </c>
      <c r="D9" s="15">
        <f>60</f>
        <v>60</v>
      </c>
      <c r="E9" s="9">
        <f>January!E9+D9</f>
        <v>170</v>
      </c>
      <c r="F9" s="17">
        <v>471</v>
      </c>
      <c r="G9" s="9">
        <f>January!G9+F9</f>
        <v>471</v>
      </c>
      <c r="H9" s="19"/>
      <c r="I9" s="9">
        <f>January!I9+H9</f>
        <v>0</v>
      </c>
      <c r="J9" s="24"/>
      <c r="K9" s="9">
        <f>January!K9+J9</f>
        <v>0</v>
      </c>
      <c r="L9" s="8"/>
      <c r="M9" s="8"/>
      <c r="N9" s="8"/>
      <c r="O9" s="8"/>
      <c r="P9" s="8"/>
      <c r="Q9" s="8"/>
      <c r="R9" s="8"/>
    </row>
    <row r="10" spans="1:18" s="5" customFormat="1" ht="18" customHeight="1">
      <c r="A10" s="9" t="s">
        <v>12</v>
      </c>
      <c r="B10" s="13"/>
      <c r="C10" s="9">
        <f>January!C10+B10</f>
        <v>108</v>
      </c>
      <c r="D10" s="15"/>
      <c r="E10" s="9">
        <f>January!E10+D10</f>
        <v>9</v>
      </c>
      <c r="F10" s="17">
        <v>160</v>
      </c>
      <c r="G10" s="9">
        <f>January!G10+F10</f>
        <v>160</v>
      </c>
      <c r="H10" s="19"/>
      <c r="I10" s="9">
        <f>January!I10+H10</f>
        <v>0</v>
      </c>
      <c r="J10" s="24"/>
      <c r="K10" s="9">
        <f>January!K10+J10</f>
        <v>0</v>
      </c>
      <c r="L10" s="8"/>
      <c r="M10" s="8"/>
      <c r="N10" s="8"/>
      <c r="O10" s="8"/>
      <c r="P10" s="8"/>
      <c r="Q10" s="8"/>
      <c r="R10" s="8"/>
    </row>
    <row r="11" spans="1:18" s="5" customFormat="1" ht="18" customHeight="1">
      <c r="A11" s="9" t="s">
        <v>13</v>
      </c>
      <c r="B11" s="13">
        <f>3+100+204+105</f>
        <v>412</v>
      </c>
      <c r="C11" s="9">
        <f>January!C11+B11</f>
        <v>2105</v>
      </c>
      <c r="D11" s="15">
        <f>36</f>
        <v>36</v>
      </c>
      <c r="E11" s="9">
        <f>January!E11+D11</f>
        <v>42</v>
      </c>
      <c r="F11" s="17"/>
      <c r="G11" s="9">
        <f>January!G11+F11</f>
        <v>240</v>
      </c>
      <c r="H11" s="19"/>
      <c r="I11" s="9">
        <f>January!I11+H11</f>
        <v>0</v>
      </c>
      <c r="J11" s="24">
        <f>2</f>
        <v>2</v>
      </c>
      <c r="K11" s="9">
        <f>January!K11+J11</f>
        <v>2</v>
      </c>
      <c r="L11" s="8"/>
      <c r="M11" s="8"/>
      <c r="N11" s="8"/>
      <c r="O11" s="8"/>
      <c r="P11" s="8"/>
      <c r="Q11" s="8"/>
      <c r="R11" s="8"/>
    </row>
    <row r="12" spans="1:18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  <c r="J12" s="24"/>
      <c r="K12" s="9">
        <f>January!K12+J12</f>
        <v>0</v>
      </c>
      <c r="L12" s="8"/>
      <c r="M12" s="8"/>
      <c r="N12" s="8"/>
      <c r="O12" s="8"/>
      <c r="P12" s="8"/>
      <c r="Q12" s="8"/>
      <c r="R12" s="8"/>
    </row>
    <row r="13" spans="1:18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  <c r="J13" s="24"/>
      <c r="K13" s="9">
        <f>January!K13+J13</f>
        <v>0</v>
      </c>
      <c r="L13" s="8"/>
      <c r="M13" s="8"/>
      <c r="N13" s="8"/>
      <c r="O13" s="8"/>
      <c r="P13" s="8"/>
      <c r="Q13" s="8"/>
      <c r="R13" s="8"/>
    </row>
    <row r="14" spans="1:18" s="5" customFormat="1" ht="18" customHeight="1">
      <c r="A14" s="9" t="s">
        <v>16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  <c r="J14" s="24"/>
      <c r="K14" s="9">
        <f>January!K14+J14</f>
        <v>0</v>
      </c>
      <c r="L14" s="8"/>
      <c r="M14" s="8"/>
      <c r="N14" s="8"/>
      <c r="O14" s="8"/>
      <c r="P14" s="8"/>
      <c r="Q14" s="8"/>
      <c r="R14" s="8"/>
    </row>
    <row r="15" spans="1:18" s="5" customFormat="1" ht="18" customHeight="1">
      <c r="A15" s="9" t="s">
        <v>17</v>
      </c>
      <c r="B15" s="13">
        <f>75+81+38+21+1</f>
        <v>216</v>
      </c>
      <c r="C15" s="9">
        <f>January!C15+B15</f>
        <v>216</v>
      </c>
      <c r="D15" s="15">
        <f>2</f>
        <v>2</v>
      </c>
      <c r="E15" s="9">
        <f>January!E15+D15</f>
        <v>2</v>
      </c>
      <c r="F15" s="17"/>
      <c r="G15" s="9">
        <f>January!G15+F15</f>
        <v>0</v>
      </c>
      <c r="H15" s="19"/>
      <c r="I15" s="9">
        <f>January!I15+H15</f>
        <v>0</v>
      </c>
      <c r="J15" s="24"/>
      <c r="K15" s="9">
        <f>January!K15+J15</f>
        <v>0</v>
      </c>
      <c r="L15" s="8"/>
      <c r="M15" s="8"/>
      <c r="N15" s="8"/>
      <c r="O15" s="8"/>
      <c r="P15" s="8"/>
      <c r="Q15" s="8"/>
      <c r="R15" s="8"/>
    </row>
    <row r="16" spans="1:18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  <c r="J16" s="24"/>
      <c r="K16" s="9">
        <f>January!K16+J16</f>
        <v>0</v>
      </c>
      <c r="L16" s="8"/>
      <c r="M16" s="8"/>
      <c r="N16" s="8"/>
      <c r="O16" s="8"/>
      <c r="P16" s="8"/>
      <c r="Q16" s="8"/>
      <c r="R16" s="8"/>
    </row>
    <row r="17" spans="1:18" s="5" customFormat="1" ht="18" customHeight="1">
      <c r="A17" s="9" t="s">
        <v>19</v>
      </c>
      <c r="B17" s="13">
        <f>200</f>
        <v>200</v>
      </c>
      <c r="C17" s="9">
        <f>January!C17+B17</f>
        <v>1597</v>
      </c>
      <c r="D17" s="15"/>
      <c r="E17" s="9">
        <f>January!E17+D17</f>
        <v>178</v>
      </c>
      <c r="F17" s="17"/>
      <c r="G17" s="9">
        <f>January!G17+F17</f>
        <v>140</v>
      </c>
      <c r="H17" s="19"/>
      <c r="I17" s="9">
        <f>January!I17+H17</f>
        <v>0</v>
      </c>
      <c r="J17" s="24"/>
      <c r="K17" s="9">
        <f>January!K17+J17</f>
        <v>0</v>
      </c>
      <c r="L17" s="8"/>
      <c r="M17" s="8"/>
      <c r="N17" s="8"/>
      <c r="O17" s="8"/>
      <c r="P17" s="8"/>
      <c r="Q17" s="8"/>
      <c r="R17" s="8"/>
    </row>
    <row r="18" spans="1:18" s="5" customFormat="1" ht="18" customHeight="1">
      <c r="A18" s="9" t="s">
        <v>20</v>
      </c>
      <c r="B18" s="13">
        <f>64+41+6+10+2+19+65+82+123+85+80+68+11</f>
        <v>656</v>
      </c>
      <c r="C18" s="9">
        <f>January!C18+B18</f>
        <v>1756</v>
      </c>
      <c r="D18" s="15">
        <f>3+4+1+2+2+5+8+3+2+1+1+1+1+1+1+1+1+1+1+1+1+1+1+1+1+1+1+2+2+2+2+2+1+1+2</f>
        <v>62</v>
      </c>
      <c r="E18" s="9">
        <f>January!E18+D18</f>
        <v>122</v>
      </c>
      <c r="F18" s="17">
        <f>1+71</f>
        <v>72</v>
      </c>
      <c r="G18" s="9">
        <f>January!G18+F18</f>
        <v>86</v>
      </c>
      <c r="H18" s="19"/>
      <c r="I18" s="9">
        <f>January!I18+H18</f>
        <v>0</v>
      </c>
      <c r="J18" s="24"/>
      <c r="K18" s="9">
        <f>January!K18+J18</f>
        <v>0</v>
      </c>
      <c r="L18" s="8"/>
      <c r="M18" s="8"/>
      <c r="N18" s="8"/>
      <c r="O18" s="8"/>
      <c r="P18" s="8"/>
      <c r="Q18" s="8"/>
      <c r="R18" s="8"/>
    </row>
    <row r="19" spans="1:18" s="5" customFormat="1" ht="18" customHeight="1">
      <c r="A19" s="9" t="s">
        <v>21</v>
      </c>
      <c r="B19" s="13">
        <v>650</v>
      </c>
      <c r="C19" s="9">
        <f>January!C19+B19</f>
        <v>1465</v>
      </c>
      <c r="D19" s="15"/>
      <c r="E19" s="9">
        <f>January!E19+D19</f>
        <v>379</v>
      </c>
      <c r="F19" s="17"/>
      <c r="G19" s="9">
        <f>January!G19+F19</f>
        <v>1407</v>
      </c>
      <c r="H19" s="19"/>
      <c r="I19" s="9">
        <f>January!I19+H19</f>
        <v>0</v>
      </c>
      <c r="J19" s="24"/>
      <c r="K19" s="9">
        <f>January!K19+J19</f>
        <v>0</v>
      </c>
      <c r="L19" s="8"/>
      <c r="M19" s="8"/>
      <c r="N19" s="8"/>
      <c r="O19" s="8"/>
      <c r="P19" s="8"/>
      <c r="Q19" s="8"/>
      <c r="R19" s="8"/>
    </row>
    <row r="20" spans="1:18" s="5" customFormat="1" ht="18" customHeight="1">
      <c r="A20" s="9" t="s">
        <v>22</v>
      </c>
      <c r="B20" s="13">
        <f>350+61+69+60+59+60+76+67+350+120+240+28+69+69+81+67+90+74+49+103+67+69+121+71+119+60+46+68+65+240+69+118+65+121+90+53+65+120+68+182</f>
        <v>4019</v>
      </c>
      <c r="C20" s="9">
        <f>January!C20+B20</f>
        <v>5301</v>
      </c>
      <c r="D20" s="15">
        <f>2+3+1+1+40+1+118</f>
        <v>166</v>
      </c>
      <c r="E20" s="9">
        <f>January!E20+D20</f>
        <v>189</v>
      </c>
      <c r="F20" s="17">
        <f>42+114+1+38+99</f>
        <v>294</v>
      </c>
      <c r="G20" s="9">
        <f>January!G20+F20</f>
        <v>456</v>
      </c>
      <c r="H20" s="19"/>
      <c r="I20" s="9">
        <f>January!I20+H20</f>
        <v>0</v>
      </c>
      <c r="J20" s="24"/>
      <c r="K20" s="9">
        <f>January!K20+J20</f>
        <v>0</v>
      </c>
      <c r="L20" s="8"/>
      <c r="M20" s="8"/>
      <c r="N20" s="8"/>
      <c r="O20" s="8"/>
      <c r="P20" s="8"/>
      <c r="Q20" s="8"/>
      <c r="R20" s="8"/>
    </row>
    <row r="21" spans="1:18" s="5" customFormat="1" ht="18" customHeight="1">
      <c r="A21" s="9" t="s">
        <v>23</v>
      </c>
      <c r="B21" s="13">
        <f>91+64+86+75+72+69+78+79+72+65+78+130+65+103+192+128+59+80+67</f>
        <v>1653</v>
      </c>
      <c r="C21" s="9">
        <f>January!C21+B21</f>
        <v>11024</v>
      </c>
      <c r="D21" s="15"/>
      <c r="E21" s="9">
        <f>January!E21+D21</f>
        <v>72</v>
      </c>
      <c r="F21" s="17">
        <f>300+63</f>
        <v>363</v>
      </c>
      <c r="G21" s="9">
        <f>January!G21+F21</f>
        <v>859</v>
      </c>
      <c r="H21" s="19"/>
      <c r="I21" s="9">
        <f>January!I21+H21</f>
        <v>0</v>
      </c>
      <c r="J21" s="24"/>
      <c r="K21" s="9">
        <f>January!K21+J21</f>
        <v>0</v>
      </c>
      <c r="L21" s="8"/>
      <c r="M21" s="8"/>
      <c r="N21" s="8"/>
      <c r="O21" s="8"/>
      <c r="P21" s="8"/>
      <c r="Q21" s="8"/>
      <c r="R21" s="8"/>
    </row>
    <row r="22" spans="1:18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  <c r="J22" s="24"/>
      <c r="K22" s="9">
        <f>January!K22+J22</f>
        <v>0</v>
      </c>
      <c r="L22" s="8"/>
      <c r="M22" s="8"/>
      <c r="N22" s="8"/>
      <c r="O22" s="8"/>
      <c r="P22" s="8"/>
      <c r="Q22" s="8"/>
      <c r="R22" s="8"/>
    </row>
    <row r="23" spans="1:18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  <c r="J23" s="24"/>
      <c r="K23" s="9">
        <f>January!K23+J23</f>
        <v>0</v>
      </c>
      <c r="L23" s="8"/>
      <c r="M23" s="8"/>
      <c r="N23" s="8"/>
      <c r="O23" s="8"/>
      <c r="P23" s="8"/>
      <c r="Q23" s="8"/>
      <c r="R23" s="8"/>
    </row>
    <row r="24" spans="1:18" s="5" customFormat="1" ht="18" customHeight="1">
      <c r="A24" s="9" t="s">
        <v>26</v>
      </c>
      <c r="B24" s="13"/>
      <c r="C24" s="9">
        <f>January!C24+B24</f>
        <v>0</v>
      </c>
      <c r="D24" s="15"/>
      <c r="E24" s="9">
        <f>January!E24+D24</f>
        <v>0</v>
      </c>
      <c r="F24" s="17"/>
      <c r="G24" s="9">
        <f>January!G24+F24</f>
        <v>0</v>
      </c>
      <c r="H24" s="19"/>
      <c r="I24" s="9">
        <f>January!I24+H24</f>
        <v>0</v>
      </c>
      <c r="J24" s="24"/>
      <c r="K24" s="9">
        <f>January!K24+J24</f>
        <v>0</v>
      </c>
      <c r="L24" s="8"/>
      <c r="M24" s="8"/>
      <c r="N24" s="8"/>
      <c r="O24" s="8"/>
      <c r="P24" s="8"/>
      <c r="Q24" s="8"/>
      <c r="R24" s="8"/>
    </row>
    <row r="25" spans="1:18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  <c r="J25" s="24"/>
      <c r="K25" s="9">
        <f>January!K25+J25</f>
        <v>0</v>
      </c>
      <c r="L25" s="8"/>
      <c r="M25" s="8"/>
      <c r="N25" s="8"/>
      <c r="O25" s="8"/>
      <c r="P25" s="8"/>
      <c r="Q25" s="8"/>
      <c r="R25" s="8"/>
    </row>
    <row r="26" spans="1:18" s="5" customFormat="1" ht="18" customHeight="1">
      <c r="A26" s="9" t="s">
        <v>28</v>
      </c>
      <c r="B26" s="13"/>
      <c r="C26" s="9">
        <f>January!C26+B26</f>
        <v>470</v>
      </c>
      <c r="D26" s="15">
        <f>10+10+1+10+10+10+10+10+10+10+10</f>
        <v>101</v>
      </c>
      <c r="E26" s="9">
        <f>January!E26+D26</f>
        <v>101</v>
      </c>
      <c r="F26" s="17">
        <f>3+1+200+130+200+200+50+50+5+70+30+200</f>
        <v>1139</v>
      </c>
      <c r="G26" s="9">
        <f>January!G26+F26</f>
        <v>2354</v>
      </c>
      <c r="H26" s="19"/>
      <c r="I26" s="9">
        <f>January!I26+H26</f>
        <v>0</v>
      </c>
      <c r="J26" s="24"/>
      <c r="K26" s="9">
        <f>January!K26+J26</f>
        <v>0</v>
      </c>
      <c r="L26" s="8"/>
      <c r="M26" s="8"/>
      <c r="N26" s="8"/>
      <c r="O26" s="8"/>
      <c r="P26" s="8"/>
      <c r="Q26" s="8"/>
      <c r="R26" s="8"/>
    </row>
    <row r="27" spans="1:18" s="5" customFormat="1" ht="18" customHeight="1">
      <c r="A27" s="9" t="s">
        <v>29</v>
      </c>
      <c r="B27" s="13">
        <f>24+1+2+104+50+102+72+104+73+162+70+80+87+80+75+8+19+164+31+50+97+404</f>
        <v>1859</v>
      </c>
      <c r="C27" s="9">
        <f>January!C27+B27</f>
        <v>5655</v>
      </c>
      <c r="D27" s="15">
        <f>1+2+2+2+2+1+1+1+38+11+8+5+2+5+2+6+1+2+3+15+3+1+4+2+14+38+1+11+2+12+3+5+4+54+48+19+4+1+1+1+1+5+1+6+1+1+1+6+12+6</f>
        <v>378</v>
      </c>
      <c r="E27" s="9">
        <f>January!E27+D27</f>
        <v>892</v>
      </c>
      <c r="F27" s="17">
        <f>23+2+5+12+21+11+8+34+27+16+21+13+7+73+45+75+7+22+5+7+10+10+16+9+50+22+24+4+53+54+7+40+6+18+15+159</f>
        <v>931</v>
      </c>
      <c r="G27" s="9">
        <f>January!G27+F27</f>
        <v>2229</v>
      </c>
      <c r="H27" s="19"/>
      <c r="I27" s="9">
        <f>January!I27+H27</f>
        <v>0</v>
      </c>
      <c r="J27" s="24"/>
      <c r="K27" s="9">
        <f>January!K27+J27</f>
        <v>0</v>
      </c>
      <c r="L27" s="8"/>
      <c r="M27" s="8"/>
      <c r="N27" s="8"/>
      <c r="O27" s="8"/>
      <c r="P27" s="8"/>
      <c r="Q27" s="8"/>
      <c r="R27" s="8"/>
    </row>
    <row r="28" spans="1:18" s="5" customFormat="1" ht="18" customHeight="1">
      <c r="A28" s="9" t="s">
        <v>30</v>
      </c>
      <c r="B28" s="13"/>
      <c r="C28" s="9">
        <f>January!C28+B28</f>
        <v>0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  <c r="J28" s="24"/>
      <c r="K28" s="9">
        <f>January!K28+J28</f>
        <v>0</v>
      </c>
      <c r="L28" s="8"/>
      <c r="M28" s="8"/>
      <c r="N28" s="8"/>
      <c r="O28" s="8"/>
      <c r="P28" s="8"/>
      <c r="Q28" s="8"/>
      <c r="R28" s="8"/>
    </row>
    <row r="29" spans="1:18" s="5" customFormat="1" ht="18" customHeight="1">
      <c r="A29" s="9" t="s">
        <v>31</v>
      </c>
      <c r="B29" s="13">
        <f>135+346+42+71+2+1+16+67+33+77+82+73+70+69+83+87+71+86+80+60+72+50+68+65+81+240+120+60+120+79+70+85+87+62+64+65+140+79+54+68+52+18+75+24+25+62+29+21+54+20+180+154+40+32+38+64+87+68+18+158+61+61+273+65+41+72+61+64+60+60+60+39+97+44+76+92+24+12+52+67+34+13+70+61+148+223+82+60+99+83+50+82+67+38+67+145+60+60+68+42+31+33+63+65+27+229+65+192+17+9+121+7+52+59+64+39+10+45+42+119+127+16+132+24+4+20+64+11</f>
        <v>9119</v>
      </c>
      <c r="C29" s="9">
        <f>January!C29+B29</f>
        <v>21196</v>
      </c>
      <c r="D29" s="15">
        <f>3+14+5+2+12+1+15+2+2+1+3+10+23+6+62+1+1+1+1+1+1+1+4+1+1+2+1+2+2+1+3+3+8+2+1+2+5+3+7+2</f>
        <v>218</v>
      </c>
      <c r="E29" s="9">
        <f>January!E29+D29</f>
        <v>538</v>
      </c>
      <c r="F29" s="17">
        <f>43+16</f>
        <v>59</v>
      </c>
      <c r="G29" s="9">
        <f>January!G29+F29</f>
        <v>155</v>
      </c>
      <c r="H29" s="19"/>
      <c r="I29" s="9">
        <f>January!I29+H29</f>
        <v>0</v>
      </c>
      <c r="J29" s="24"/>
      <c r="K29" s="9">
        <f>January!K29+J29</f>
        <v>25</v>
      </c>
      <c r="L29" s="8"/>
      <c r="M29" s="8"/>
      <c r="N29" s="8"/>
      <c r="O29" s="8"/>
      <c r="P29" s="8"/>
      <c r="Q29" s="8"/>
      <c r="R29" s="8"/>
    </row>
    <row r="30" spans="1:18" s="5" customFormat="1" ht="18" customHeight="1">
      <c r="A30" s="9" t="s">
        <v>32</v>
      </c>
      <c r="B30" s="13">
        <f>5+606+11+11+17+11+210+420+7+70+66+93+82+5+17+6+56+92+85+10+102+73+89+96+206+96+674+497+81+174+195+30+91+39+68+85+15+123+201+84+4+73+33+63+40+26+24+6+106+114+25+9+255+74+97+75+25+37+64+95+15+9+85+72+4+35+856</f>
        <v>7220</v>
      </c>
      <c r="C30" s="9">
        <f>January!C30+B30</f>
        <v>18980</v>
      </c>
      <c r="D30" s="15">
        <f>57+1+7+106+4+5+24+8+1</f>
        <v>213</v>
      </c>
      <c r="E30" s="9">
        <f>January!E30+D30</f>
        <v>882</v>
      </c>
      <c r="F30" s="17">
        <f>20+34</f>
        <v>54</v>
      </c>
      <c r="G30" s="9">
        <f>January!G30+F30</f>
        <v>76</v>
      </c>
      <c r="H30" s="19"/>
      <c r="I30" s="9">
        <f>January!I30+H30</f>
        <v>0</v>
      </c>
      <c r="J30" s="24"/>
      <c r="K30" s="9">
        <f>January!K30+J30</f>
        <v>0</v>
      </c>
      <c r="L30" s="8"/>
      <c r="M30" s="8"/>
      <c r="N30" s="8"/>
      <c r="O30" s="8"/>
      <c r="P30" s="8"/>
      <c r="Q30" s="8"/>
      <c r="R30" s="8"/>
    </row>
    <row r="31" spans="1:18" s="5" customFormat="1" ht="18" customHeight="1">
      <c r="A31" s="9" t="s">
        <v>33</v>
      </c>
      <c r="B31" s="13">
        <f>8+32+69+90+75+174+67+69+255+205+265+71+55+94+83+1+7+140+120+20+87+53+60+63+77+56+125+401+61+39+7+101+12+95+42+60+54+76+71+78+81+148+82+102+67+86+67+82+86+67+85+86+85+82+86+64+103+126+109+231+17+86+79+141+25+56+119+74+58+9+941</f>
        <v>7048</v>
      </c>
      <c r="C31" s="9">
        <f>January!C31+B31</f>
        <v>15219</v>
      </c>
      <c r="D31" s="15">
        <f>14+5+6+8+90+1+1+1+1+1+1+10+2+2+3+30+1+1+1+1+1+1+1+1+1+1+1+1+1+1+1+1+1+1+1+1+1+32+7+13+1+34+1+1+1+3+7+2+1+4+1+1+1+3+3+23+23+34+3+27+44+42+35+81+120+4+5+96+45+1+2+1+1+1+1+1+8+320+3+1+8+1+2+10+38+43+60+2+4+50+1+46+120</f>
        <v>1620</v>
      </c>
      <c r="E31" s="9">
        <f>January!E31+D31</f>
        <v>2521</v>
      </c>
      <c r="F31" s="17">
        <f>160+2+51+51+160+78</f>
        <v>502</v>
      </c>
      <c r="G31" s="9">
        <f>January!G31+F31</f>
        <v>672</v>
      </c>
      <c r="H31" s="19"/>
      <c r="I31" s="9">
        <f>January!I31+H31</f>
        <v>0</v>
      </c>
      <c r="J31" s="24"/>
      <c r="K31" s="9">
        <f>January!K31+J31</f>
        <v>0</v>
      </c>
      <c r="L31" s="8"/>
      <c r="M31" s="8"/>
      <c r="N31" s="8"/>
      <c r="O31" s="8"/>
      <c r="P31" s="8"/>
      <c r="Q31" s="8"/>
      <c r="R31" s="8"/>
    </row>
    <row r="32" spans="1:18" s="5" customFormat="1" ht="18" customHeight="1">
      <c r="A32" s="9" t="s">
        <v>34</v>
      </c>
      <c r="B32" s="13"/>
      <c r="C32" s="9">
        <f>January!C32+B32</f>
        <v>184</v>
      </c>
      <c r="D32" s="15"/>
      <c r="E32" s="9">
        <f>January!E32+D32</f>
        <v>1</v>
      </c>
      <c r="F32" s="17"/>
      <c r="G32" s="9">
        <f>January!G32+F32</f>
        <v>0</v>
      </c>
      <c r="H32" s="19"/>
      <c r="I32" s="9">
        <f>January!I32+H32</f>
        <v>0</v>
      </c>
      <c r="J32" s="24"/>
      <c r="K32" s="9">
        <f>January!K32+J32</f>
        <v>0</v>
      </c>
      <c r="L32" s="8"/>
      <c r="M32" s="8"/>
      <c r="N32" s="8"/>
      <c r="O32" s="8"/>
      <c r="P32" s="8"/>
      <c r="Q32" s="8"/>
      <c r="R32" s="8"/>
    </row>
    <row r="33" spans="1:18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  <c r="J33" s="24"/>
      <c r="K33" s="9">
        <f>January!K33+J33</f>
        <v>0</v>
      </c>
      <c r="L33" s="8"/>
      <c r="M33" s="8"/>
      <c r="N33" s="8"/>
      <c r="O33" s="8"/>
      <c r="P33" s="8"/>
      <c r="Q33" s="8"/>
      <c r="R33" s="8"/>
    </row>
    <row r="34" spans="1:18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  <c r="J34" s="24"/>
      <c r="K34" s="9">
        <f>January!K34+J34</f>
        <v>0</v>
      </c>
      <c r="L34" s="8"/>
      <c r="M34" s="8"/>
      <c r="N34" s="8"/>
      <c r="O34" s="8"/>
      <c r="P34" s="8"/>
      <c r="Q34" s="8"/>
      <c r="R34" s="8"/>
    </row>
    <row r="35" spans="1:18" s="5" customFormat="1" ht="18" customHeight="1">
      <c r="A35" s="9" t="s">
        <v>37</v>
      </c>
      <c r="B35" s="13">
        <v>480</v>
      </c>
      <c r="C35" s="9">
        <f>January!C35+B35</f>
        <v>1120</v>
      </c>
      <c r="D35" s="15"/>
      <c r="E35" s="9">
        <f>January!E35+D35</f>
        <v>1</v>
      </c>
      <c r="F35" s="17">
        <f>125+120</f>
        <v>245</v>
      </c>
      <c r="G35" s="9">
        <f>January!G35+F35</f>
        <v>938</v>
      </c>
      <c r="H35" s="19"/>
      <c r="I35" s="9">
        <f>January!I35+H35</f>
        <v>0</v>
      </c>
      <c r="J35" s="24"/>
      <c r="K35" s="9">
        <f>January!K35+J35</f>
        <v>0</v>
      </c>
      <c r="L35" s="8"/>
      <c r="M35" s="8"/>
      <c r="N35" s="8"/>
      <c r="O35" s="8"/>
      <c r="P35" s="8"/>
      <c r="Q35" s="8"/>
      <c r="R35" s="8"/>
    </row>
    <row r="36" spans="1:18" s="5" customFormat="1" ht="18" customHeight="1">
      <c r="A36" s="9" t="s">
        <v>38</v>
      </c>
      <c r="B36" s="13">
        <f>20</f>
        <v>20</v>
      </c>
      <c r="C36" s="9">
        <f>January!C36+B36</f>
        <v>36</v>
      </c>
      <c r="D36" s="15">
        <f>2+66</f>
        <v>68</v>
      </c>
      <c r="E36" s="9">
        <f>January!E36+D36</f>
        <v>68</v>
      </c>
      <c r="F36" s="17">
        <f>92</f>
        <v>92</v>
      </c>
      <c r="G36" s="9">
        <f>January!G36+F36</f>
        <v>189</v>
      </c>
      <c r="H36" s="19"/>
      <c r="I36" s="9">
        <f>January!I36+H36</f>
        <v>0</v>
      </c>
      <c r="J36" s="24"/>
      <c r="K36" s="9">
        <f>January!K36+J36</f>
        <v>0</v>
      </c>
      <c r="L36" s="8"/>
      <c r="M36" s="8"/>
      <c r="N36" s="8"/>
      <c r="O36" s="8"/>
      <c r="P36" s="8"/>
      <c r="Q36" s="8"/>
      <c r="R36" s="8"/>
    </row>
    <row r="37" spans="1:18" s="5" customFormat="1" ht="18" customHeight="1">
      <c r="A37" s="9" t="s">
        <v>39</v>
      </c>
      <c r="B37" s="13"/>
      <c r="C37" s="9">
        <f>January!C37+B37</f>
        <v>0</v>
      </c>
      <c r="D37" s="15"/>
      <c r="E37" s="9">
        <f>January!E37+D37</f>
        <v>0</v>
      </c>
      <c r="F37" s="17"/>
      <c r="G37" s="9">
        <f>January!G37+F37</f>
        <v>0</v>
      </c>
      <c r="H37" s="19"/>
      <c r="I37" s="9">
        <f>January!I37+H37</f>
        <v>0</v>
      </c>
      <c r="J37" s="24"/>
      <c r="K37" s="9">
        <f>January!K37+J37</f>
        <v>0</v>
      </c>
      <c r="L37" s="8"/>
      <c r="M37" s="8"/>
      <c r="N37" s="8"/>
      <c r="O37" s="8"/>
      <c r="P37" s="8"/>
      <c r="Q37" s="8"/>
      <c r="R37" s="8"/>
    </row>
    <row r="38" spans="1:18" s="5" customFormat="1" ht="18" customHeight="1">
      <c r="A38" s="9" t="s">
        <v>40</v>
      </c>
      <c r="B38" s="13">
        <f>55+104+110+158+375+96+86+87+174+71+174+118+302+86+10+96+119+112+25+52+97+482+29+86+427+32+41+40+421+112+220+76+100+27+92+96+286+136+80+27+15+251+74+79+770+160+61+12+114+14+77+1364+96+83+69+78+79+65+89+111+550+208+83+85+84+95+169+83+20+369+265+81+85+115+134+50+72+117+156+65+194+70+92+184+164+70+89+46+86+499+214+62+90+420+92+23+79+266+77+55+74+236+72+32+117+107+22+81+71+215+128+73+71+75+59+157+68+65+150+250+125+582+37+57+197+69+70+175+600+72+65+40+29+26+74+31+68+82+154+420+568+72+123+287+61+110+49+82+91+114+71+111+176+85+14+167+74+157+75+230+80+232</f>
        <v>22861</v>
      </c>
      <c r="C38" s="9">
        <f>January!C38+B38</f>
        <v>33747</v>
      </c>
      <c r="D38" s="15">
        <f>41+2+2+2+1+1+1+2+1+2+1+1+1+4+4+12+1+1+2+4+2+1+1+1+1+1+1+3+3+4+1+1+1+1+1+65+2+1+2+1+3+40+11+2+38+4</f>
        <v>278</v>
      </c>
      <c r="E38" s="9">
        <f>January!E38+D38</f>
        <v>373</v>
      </c>
      <c r="F38" s="17"/>
      <c r="G38" s="9">
        <f>January!G38+F38</f>
        <v>0</v>
      </c>
      <c r="H38" s="19"/>
      <c r="I38" s="9">
        <f>January!I38+H38</f>
        <v>0</v>
      </c>
      <c r="J38" s="24"/>
      <c r="K38" s="9">
        <f>January!K38+J38</f>
        <v>0</v>
      </c>
      <c r="L38" s="8"/>
      <c r="M38" s="8"/>
      <c r="N38" s="8"/>
      <c r="O38" s="8"/>
      <c r="P38" s="8"/>
      <c r="Q38" s="8"/>
      <c r="R38" s="8"/>
    </row>
    <row r="39" spans="1:18" s="5" customFormat="1" ht="18" customHeight="1">
      <c r="A39" s="9" t="s">
        <v>41</v>
      </c>
      <c r="B39" s="13"/>
      <c r="C39" s="9">
        <f>January!C39+B39</f>
        <v>0</v>
      </c>
      <c r="D39" s="15"/>
      <c r="E39" s="9">
        <f>January!E39+D39</f>
        <v>3</v>
      </c>
      <c r="F39" s="17">
        <f>158+161+24+1+10+42</f>
        <v>396</v>
      </c>
      <c r="G39" s="9">
        <f>January!G39+F39</f>
        <v>1176</v>
      </c>
      <c r="H39" s="19"/>
      <c r="I39" s="9">
        <f>January!I39+H39</f>
        <v>0</v>
      </c>
      <c r="J39" s="24"/>
      <c r="K39" s="9">
        <f>January!K39+J39</f>
        <v>0</v>
      </c>
      <c r="L39" s="8"/>
      <c r="M39" s="8"/>
      <c r="N39" s="8"/>
      <c r="O39" s="8"/>
      <c r="P39" s="8"/>
      <c r="Q39" s="8"/>
      <c r="R39" s="8"/>
    </row>
    <row r="40" spans="1:18" s="5" customFormat="1" ht="18" customHeight="1">
      <c r="A40" s="9" t="s">
        <v>42</v>
      </c>
      <c r="B40" s="13">
        <f>70+71+61+136+61</f>
        <v>399</v>
      </c>
      <c r="C40" s="9">
        <f>January!C40+B40</f>
        <v>905</v>
      </c>
      <c r="D40" s="15">
        <f>1+1+1+2+1+2+1</f>
        <v>9</v>
      </c>
      <c r="E40" s="9">
        <f>January!E40+D40</f>
        <v>196</v>
      </c>
      <c r="F40" s="17"/>
      <c r="G40" s="9">
        <f>January!G40+F40</f>
        <v>0</v>
      </c>
      <c r="H40" s="19"/>
      <c r="I40" s="9">
        <f>January!I40+H40</f>
        <v>0</v>
      </c>
      <c r="J40" s="24"/>
      <c r="K40" s="9">
        <f>January!K40+J40</f>
        <v>0</v>
      </c>
      <c r="L40" s="8"/>
      <c r="M40" s="8"/>
      <c r="N40" s="8"/>
      <c r="O40" s="8"/>
      <c r="P40" s="8"/>
      <c r="Q40" s="8"/>
      <c r="R40" s="8"/>
    </row>
    <row r="41" spans="1:18" s="5" customFormat="1" ht="18" customHeight="1">
      <c r="A41" s="9" t="s">
        <v>43</v>
      </c>
      <c r="B41" s="13"/>
      <c r="C41" s="9">
        <f>January!C41+B41</f>
        <v>329</v>
      </c>
      <c r="D41" s="15"/>
      <c r="E41" s="9">
        <f>January!E41+D41</f>
        <v>2</v>
      </c>
      <c r="F41" s="17">
        <f>39+95</f>
        <v>134</v>
      </c>
      <c r="G41" s="9">
        <f>January!G41+F41</f>
        <v>246</v>
      </c>
      <c r="H41" s="19"/>
      <c r="I41" s="9">
        <f>January!I41+H41</f>
        <v>0</v>
      </c>
      <c r="J41" s="24"/>
      <c r="K41" s="9">
        <f>January!K41+J41</f>
        <v>0</v>
      </c>
      <c r="L41" s="8"/>
      <c r="M41" s="8"/>
      <c r="N41" s="8"/>
      <c r="O41" s="8"/>
      <c r="P41" s="8"/>
      <c r="Q41" s="8"/>
      <c r="R41" s="8"/>
    </row>
    <row r="42" spans="1:18" s="5" customFormat="1" ht="18" customHeight="1">
      <c r="A42" s="9" t="s">
        <v>44</v>
      </c>
      <c r="B42" s="13">
        <f>55</f>
        <v>55</v>
      </c>
      <c r="C42" s="9">
        <f>January!C42+B42</f>
        <v>109</v>
      </c>
      <c r="D42" s="15">
        <f>3+15</f>
        <v>18</v>
      </c>
      <c r="E42" s="9">
        <f>January!E42+D42</f>
        <v>18</v>
      </c>
      <c r="F42" s="17">
        <f>15</f>
        <v>15</v>
      </c>
      <c r="G42" s="9">
        <f>January!G42+F42</f>
        <v>30</v>
      </c>
      <c r="H42" s="19"/>
      <c r="I42" s="9">
        <f>January!I42+H42</f>
        <v>0</v>
      </c>
      <c r="J42" s="24"/>
      <c r="K42" s="9">
        <f>January!K42+J42</f>
        <v>0</v>
      </c>
      <c r="L42" s="8"/>
      <c r="M42" s="8"/>
      <c r="N42" s="8"/>
      <c r="O42" s="8"/>
      <c r="P42" s="8"/>
      <c r="Q42" s="8"/>
      <c r="R42" s="8"/>
    </row>
    <row r="43" spans="1:18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  <c r="J43" s="24"/>
      <c r="K43" s="9">
        <f>January!K43+J43</f>
        <v>0</v>
      </c>
      <c r="L43" s="8"/>
      <c r="M43" s="8"/>
      <c r="N43" s="8"/>
      <c r="O43" s="8"/>
      <c r="P43" s="8"/>
      <c r="Q43" s="8"/>
      <c r="R43" s="8"/>
    </row>
    <row r="44" spans="1:11" s="5" customFormat="1" ht="18" customHeight="1">
      <c r="A44" s="9" t="s">
        <v>46</v>
      </c>
      <c r="B44" s="13"/>
      <c r="C44" s="9">
        <f>January!C44+B44</f>
        <v>149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  <c r="J44" s="24"/>
      <c r="K44" s="9">
        <f>January!K44+J44</f>
        <v>0</v>
      </c>
    </row>
    <row r="45" spans="1:11" s="5" customFormat="1" ht="18" customHeight="1">
      <c r="A45" s="9" t="s">
        <v>47</v>
      </c>
      <c r="B45" s="13">
        <f>185+5+148+66+22+76+9+7+123+6+77+60+63+8+59+181+180+101+239+66+242+123+246+83+166+342+104+75+52+68+83+300+96+118+259+66+86+63+219+83+36+38+39+76+229+63+27+173+93+86+20+87+93+94+95+13+77+94+229+66+55+99+85+64+86+94+136+80+92+89+73+85+18+71+241+115+106+74+238+78+206+91+232+67+60+89+391+141+142+87+181+153+87+133+91+78+27+263+161+64+17+145+23+591+192+65+97+260+82+93+93+272+164+77+20+72+90+75+210+98+73+67+82+160+8+60+59+52+59+556+183+75+135+26+13+59+19+261+251+85+70+70+66+64+151+80+1+290+11+8+40+22+26+89+19+13+145+24+246+30+58+77+77+76+89+79+172+12+15+57+11+15+26+29+144+6+49+84+358+25+91+38+165+107+84+145+145+335+70+32+32+18+87+56+17+2+3+95+100+90+127+84+179+79+52+781+75+50+130+84+4+107+15+220+64+177+27+256+51+74+26+49+268+207+25+106+59+140+107+130+14+15+57+29+21+5+31+9+1+81+13+64+13+2+78+101+56+33+12+33+38+17+20+31+96+15+11+36+159+11+112+62+101+161+52+36+22+6+29+27+32+21+11+21+33+98+16+3+16+34+13+112+51+22+167+99+92+152+145+122+65+80+150+18+72+52+26+14+38+127+199+695+70+32+17+195+47+11+6+72+229+77+70+70+166+73+218+138+129+156+11+92+37+12+110+20+72+76+50+105+69+63+62+30+66+186+95+79+115+84+81+75+88+39+253+101+162+323+176+159+63+90+73+27+26+24+132+585+1+153+26+202+156+84+84+267+79+60+65+79+62+70+81+89+75+75+60+83+83+75+78+275+235+124+42+250+61+80+79+92+106+70+58+68+154+161+146+154+90+69+204+67+20+64+70+182+380+130+84+40+70+57+140+143+70+68+81+66+77+132+71+100+69+29+76+158+172+72+25+34+154+110+90+63+38+24+175+305+107+327+78+20+25+32+27+6+699+111+1651+2378</f>
        <v>48379</v>
      </c>
      <c r="C45" s="9">
        <f>January!C45+B45</f>
        <v>86336</v>
      </c>
      <c r="D45" s="15">
        <f>11+1+1+1+1+1+1+1+1+1+1+1+13+12+371+10+52+1+60+7+194+10+1+3+3+1+2+1+1+1+1+40+4+1+15+8+11+10+3+7+1+4+15+7+1+2+3+3+15+35+3+2+5+3+2+1+15+4+4+2+11+1+3+10+6+7+10+7+5+2+8+9+9+1+39+36+2+10+2+7+3+3+3+2+1+1+1+1+41+1+1+1+7+10+2+43+5</f>
        <v>1303</v>
      </c>
      <c r="E45" s="9">
        <f>January!E45+D45</f>
        <v>2876</v>
      </c>
      <c r="F45" s="17"/>
      <c r="G45" s="9">
        <f>January!G45+F45</f>
        <v>86</v>
      </c>
      <c r="H45" s="19"/>
      <c r="I45" s="9">
        <f>January!I45+H45</f>
        <v>0</v>
      </c>
      <c r="J45" s="24"/>
      <c r="K45" s="9">
        <f>January!K45+J45</f>
        <v>0</v>
      </c>
    </row>
    <row r="46" spans="1:11" s="5" customFormat="1" ht="18" customHeight="1">
      <c r="A46" s="9" t="s">
        <v>48</v>
      </c>
      <c r="B46" s="13">
        <f>69+70+69+64+65+63+72+70+66+72+120+85+55+61+68+64+125+65+76+63+110+126+70+69+69+94</f>
        <v>2000</v>
      </c>
      <c r="C46" s="9">
        <f>January!C46+B46</f>
        <v>3264</v>
      </c>
      <c r="D46" s="15">
        <f>4+36+6</f>
        <v>46</v>
      </c>
      <c r="E46" s="9">
        <f>January!E46+D46</f>
        <v>46</v>
      </c>
      <c r="F46" s="17">
        <f>393+79+8+77+10+72+81</f>
        <v>720</v>
      </c>
      <c r="G46" s="9">
        <f>January!G46+F46</f>
        <v>720</v>
      </c>
      <c r="H46" s="19"/>
      <c r="I46" s="9">
        <f>January!I46+H46</f>
        <v>0</v>
      </c>
      <c r="J46" s="24"/>
      <c r="K46" s="9">
        <f>January!K46+J46</f>
        <v>0</v>
      </c>
    </row>
    <row r="47" spans="1:11" s="5" customFormat="1" ht="18" customHeight="1">
      <c r="A47" s="9" t="s">
        <v>49</v>
      </c>
      <c r="B47" s="13">
        <f>210+155+90+24</f>
        <v>479</v>
      </c>
      <c r="C47" s="9">
        <f>January!C47+B47</f>
        <v>629</v>
      </c>
      <c r="D47" s="15">
        <f>1+1+6+1+1+2+1+1</f>
        <v>14</v>
      </c>
      <c r="E47" s="9">
        <f>D47+January!E47</f>
        <v>14</v>
      </c>
      <c r="F47" s="17">
        <f>200+200+200+200+200+200</f>
        <v>1200</v>
      </c>
      <c r="G47" s="9">
        <f>January!G47+F47</f>
        <v>1200</v>
      </c>
      <c r="H47" s="19"/>
      <c r="I47" s="9">
        <f>January!I47+H47</f>
        <v>0</v>
      </c>
      <c r="J47" s="24"/>
      <c r="K47" s="9">
        <f>January!K47+J47</f>
        <v>0</v>
      </c>
    </row>
    <row r="48" spans="1:11" s="5" customFormat="1" ht="18" customHeight="1">
      <c r="A48" s="9" t="s">
        <v>50</v>
      </c>
      <c r="B48" s="13"/>
      <c r="C48" s="9">
        <f>January!C48+B48</f>
        <v>232</v>
      </c>
      <c r="D48" s="15"/>
      <c r="E48" s="9">
        <f>January!E48+D48</f>
        <v>0</v>
      </c>
      <c r="F48" s="17"/>
      <c r="G48" s="9">
        <f>January!G48+F48</f>
        <v>351</v>
      </c>
      <c r="H48" s="19"/>
      <c r="I48" s="9">
        <f>January!I48+H48</f>
        <v>0</v>
      </c>
      <c r="J48" s="24"/>
      <c r="K48" s="9">
        <f>January!K48+J48</f>
        <v>0</v>
      </c>
    </row>
    <row r="49" spans="1:11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  <c r="J49" s="24"/>
      <c r="K49" s="9">
        <f>January!K49+J49</f>
        <v>0</v>
      </c>
    </row>
    <row r="50" spans="1:11" s="5" customFormat="1" ht="18" customHeight="1">
      <c r="A50" s="9" t="s">
        <v>52</v>
      </c>
      <c r="B50" s="13">
        <f>290+67+125+118+84+81+47+90+110+68</f>
        <v>1080</v>
      </c>
      <c r="C50" s="9">
        <f>January!C50+B50</f>
        <v>3892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  <c r="J50" s="24"/>
      <c r="K50" s="9">
        <f>January!K50+J50</f>
        <v>0</v>
      </c>
    </row>
    <row r="51" spans="1:11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/>
      <c r="G51" s="9">
        <f>January!G51+F51</f>
        <v>0</v>
      </c>
      <c r="H51" s="19"/>
      <c r="I51" s="9">
        <f>January!I51+H51</f>
        <v>0</v>
      </c>
      <c r="J51" s="24"/>
      <c r="K51" s="9">
        <f>January!K51+J51</f>
        <v>0</v>
      </c>
    </row>
    <row r="52" spans="1:11" s="5" customFormat="1" ht="18" customHeight="1">
      <c r="A52" s="9" t="s">
        <v>54</v>
      </c>
      <c r="B52" s="13">
        <f>67+59</f>
        <v>126</v>
      </c>
      <c r="C52" s="9">
        <f>January!C52+B52</f>
        <v>873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  <c r="J52" s="24"/>
      <c r="K52" s="9">
        <f>January!K52+J52</f>
        <v>0</v>
      </c>
    </row>
    <row r="53" spans="1:11" s="5" customFormat="1" ht="18" customHeight="1">
      <c r="A53" s="9" t="s">
        <v>55</v>
      </c>
      <c r="B53" s="13">
        <f>17+12+36+24+25+83+12+76+25+89+74+108+1+25+14+11+12+22+11+82+100+2+13+25+57+120+1+120+43+436</f>
        <v>1676</v>
      </c>
      <c r="C53" s="9">
        <f>January!C53+B53</f>
        <v>3598</v>
      </c>
      <c r="D53" s="15">
        <f>1+3+4+1+1+1+1+2+1+3+1+1+2+9+24+3+18+15+140</f>
        <v>231</v>
      </c>
      <c r="E53" s="9">
        <f>January!E53+D53</f>
        <v>736</v>
      </c>
      <c r="F53" s="17">
        <f>2+3+6+1+16+29+35+120+120+32+38+11+4+1+3+1+27+118+39+84+42+26+34+63+1+1+39+7+1+51+55+30+72+50+30+7+12+20+9+1+2+3+21+36+25+5+67+25+130+138+50+1+6+3+1+9+9+20+70+20+17+16+4+55+72+34+50+12+60+33+76+72+66+283</f>
        <v>2732</v>
      </c>
      <c r="G53" s="9">
        <f>January!G53+F53</f>
        <v>6302</v>
      </c>
      <c r="H53" s="19"/>
      <c r="I53" s="9">
        <f>January!I53+H53</f>
        <v>0</v>
      </c>
      <c r="J53" s="24"/>
      <c r="K53" s="9">
        <f>January!K53+J53</f>
        <v>0</v>
      </c>
    </row>
    <row r="54" spans="1:11" s="5" customFormat="1" ht="18" customHeight="1" thickBot="1">
      <c r="A54" s="10" t="s">
        <v>56</v>
      </c>
      <c r="B54" s="13">
        <f>90+71+200+83+75+256+90</f>
        <v>865</v>
      </c>
      <c r="C54" s="9">
        <f>January!C54+B54</f>
        <v>1857</v>
      </c>
      <c r="D54" s="15">
        <f>1+4+1+11+41</f>
        <v>58</v>
      </c>
      <c r="E54" s="9">
        <f>January!E54+D54</f>
        <v>542</v>
      </c>
      <c r="F54" s="17"/>
      <c r="G54" s="9">
        <f>January!G54+F54</f>
        <v>0</v>
      </c>
      <c r="H54" s="19"/>
      <c r="I54" s="9">
        <f>January!I54+H54</f>
        <v>0</v>
      </c>
      <c r="J54" s="25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112084</v>
      </c>
      <c r="C55" s="11"/>
      <c r="D55" s="11">
        <f>SUM(D5:D54)</f>
        <v>4922</v>
      </c>
      <c r="E55" s="11"/>
      <c r="F55" s="11">
        <f>SUM(F5:F54)</f>
        <v>10319</v>
      </c>
      <c r="G55" s="11"/>
      <c r="H55" s="11">
        <f>SUM(H5:H54)</f>
        <v>0</v>
      </c>
      <c r="I55" s="11"/>
      <c r="J55" s="11">
        <f>SUM(J5:J54)</f>
        <v>2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223212</v>
      </c>
      <c r="D57" s="11"/>
      <c r="E57" s="11">
        <f>January!E57+D55</f>
        <v>11014</v>
      </c>
      <c r="F57" s="11"/>
      <c r="G57" s="11">
        <f>January!G57+F55</f>
        <v>21383</v>
      </c>
      <c r="H57" s="11"/>
      <c r="I57" s="11">
        <f>January!I57+H55</f>
        <v>0</v>
      </c>
      <c r="J57" s="11"/>
      <c r="K57" s="11">
        <f>January!K57+J55</f>
        <v>27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611</v>
      </c>
    </row>
    <row r="61" s="5" customFormat="1" ht="18" customHeight="1"/>
    <row r="62" spans="1:7" s="4" customFormat="1" ht="18" customHeight="1">
      <c r="A62" s="4" t="s">
        <v>60</v>
      </c>
      <c r="E62" s="47">
        <f>January!E62+D60</f>
        <v>1210</v>
      </c>
      <c r="F62" s="47"/>
      <c r="G62" s="47">
        <f>January!G62+F60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63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f>66</f>
        <v>66</v>
      </c>
      <c r="C5" s="9">
        <f>February!C5+B5</f>
        <v>66</v>
      </c>
      <c r="D5" s="15"/>
      <c r="E5" s="9">
        <f>February!E5+D5</f>
        <v>1</v>
      </c>
      <c r="F5" s="17"/>
      <c r="G5" s="9">
        <f>February!G5+F5</f>
        <v>0</v>
      </c>
      <c r="H5" s="19"/>
      <c r="I5" s="9">
        <f>February!I5+H5</f>
        <v>0</v>
      </c>
      <c r="J5" s="24"/>
      <c r="K5" s="9">
        <f>February!K5+J5</f>
        <v>0</v>
      </c>
    </row>
    <row r="6" spans="1:11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  <c r="J6" s="24"/>
      <c r="K6" s="9">
        <f>February!K6+J6</f>
        <v>0</v>
      </c>
    </row>
    <row r="7" spans="1:11" s="5" customFormat="1" ht="18" customHeight="1">
      <c r="A7" s="9" t="s">
        <v>9</v>
      </c>
      <c r="B7" s="13"/>
      <c r="C7" s="9">
        <f>February!C7+B7</f>
        <v>84</v>
      </c>
      <c r="D7" s="15"/>
      <c r="E7" s="9">
        <f>February!E7+D7</f>
        <v>0</v>
      </c>
      <c r="F7" s="17"/>
      <c r="G7" s="9">
        <f>February!G7+F7</f>
        <v>840</v>
      </c>
      <c r="H7" s="19"/>
      <c r="I7" s="9">
        <f>February!I7+H7</f>
        <v>0</v>
      </c>
      <c r="J7" s="24"/>
      <c r="K7" s="9">
        <f>February!K7+J7</f>
        <v>0</v>
      </c>
    </row>
    <row r="8" spans="1:11" s="5" customFormat="1" ht="18" customHeight="1">
      <c r="A8" s="9" t="s">
        <v>10</v>
      </c>
      <c r="B8" s="13">
        <f>132+60+67+58+67+75+66+60+63+60</f>
        <v>708</v>
      </c>
      <c r="C8" s="9">
        <f>February!C8+B8</f>
        <v>1168</v>
      </c>
      <c r="D8" s="15">
        <f>5</f>
        <v>5</v>
      </c>
      <c r="E8" s="9">
        <f>February!E8+D8</f>
        <v>45</v>
      </c>
      <c r="F8" s="17"/>
      <c r="G8" s="9">
        <f>February!G8+F8</f>
        <v>0</v>
      </c>
      <c r="H8" s="19"/>
      <c r="I8" s="9">
        <f>February!I8+H8</f>
        <v>0</v>
      </c>
      <c r="J8" s="24"/>
      <c r="K8" s="9">
        <f>February!K8+J8</f>
        <v>0</v>
      </c>
    </row>
    <row r="9" spans="1:11" s="5" customFormat="1" ht="18" customHeight="1">
      <c r="A9" s="9" t="s">
        <v>11</v>
      </c>
      <c r="B9" s="13">
        <v>121</v>
      </c>
      <c r="C9" s="9">
        <f>February!C9+B9</f>
        <v>437</v>
      </c>
      <c r="D9" s="15">
        <f>2</f>
        <v>2</v>
      </c>
      <c r="E9" s="9">
        <f>February!E9+D9</f>
        <v>172</v>
      </c>
      <c r="F9" s="17">
        <f>162+858</f>
        <v>1020</v>
      </c>
      <c r="G9" s="9">
        <f>February!G9+F9</f>
        <v>1491</v>
      </c>
      <c r="H9" s="19"/>
      <c r="I9" s="9">
        <f>February!I9+H9</f>
        <v>0</v>
      </c>
      <c r="J9" s="24"/>
      <c r="K9" s="9">
        <f>February!K9+J9</f>
        <v>0</v>
      </c>
    </row>
    <row r="10" spans="1:11" s="5" customFormat="1" ht="18" customHeight="1">
      <c r="A10" s="9" t="s">
        <v>12</v>
      </c>
      <c r="B10" s="13">
        <f>77+107+126+116+106+102+2378</f>
        <v>3012</v>
      </c>
      <c r="C10" s="9">
        <f>February!C10+B10</f>
        <v>3120</v>
      </c>
      <c r="D10" s="15">
        <f>2+2+6</f>
        <v>10</v>
      </c>
      <c r="E10" s="9">
        <f>February!E10+D10</f>
        <v>19</v>
      </c>
      <c r="F10" s="17">
        <v>122</v>
      </c>
      <c r="G10" s="9">
        <f>February!G10+F10</f>
        <v>282</v>
      </c>
      <c r="H10" s="19">
        <f>18+16</f>
        <v>34</v>
      </c>
      <c r="I10" s="9">
        <f>February!I10+H10</f>
        <v>34</v>
      </c>
      <c r="J10" s="24"/>
      <c r="K10" s="9">
        <f>February!K10+J10</f>
        <v>0</v>
      </c>
    </row>
    <row r="11" spans="1:11" s="5" customFormat="1" ht="18" customHeight="1">
      <c r="A11" s="9" t="s">
        <v>13</v>
      </c>
      <c r="B11" s="13">
        <f>143</f>
        <v>143</v>
      </c>
      <c r="C11" s="9">
        <f>February!C11+B11</f>
        <v>2248</v>
      </c>
      <c r="D11" s="15">
        <f>2+1+1+1+1+5</f>
        <v>11</v>
      </c>
      <c r="E11" s="9">
        <f>February!E11+D11</f>
        <v>53</v>
      </c>
      <c r="F11" s="17">
        <f>200+90+1</f>
        <v>291</v>
      </c>
      <c r="G11" s="9">
        <f>February!G11+F11</f>
        <v>531</v>
      </c>
      <c r="H11" s="19"/>
      <c r="I11" s="9">
        <f>February!I11+H11</f>
        <v>0</v>
      </c>
      <c r="J11" s="24"/>
      <c r="K11" s="9">
        <f>February!K11+J11</f>
        <v>2</v>
      </c>
    </row>
    <row r="12" spans="1:11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  <c r="J12" s="24"/>
      <c r="K12" s="9">
        <f>February!K12+J12</f>
        <v>0</v>
      </c>
    </row>
    <row r="13" spans="1:11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  <c r="J13" s="24"/>
      <c r="K13" s="9">
        <f>February!K13+J13</f>
        <v>0</v>
      </c>
    </row>
    <row r="14" spans="1:11" s="5" customFormat="1" ht="18" customHeight="1">
      <c r="A14" s="9" t="s">
        <v>16</v>
      </c>
      <c r="B14" s="13"/>
      <c r="C14" s="9">
        <f>February!C14+B14</f>
        <v>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  <c r="J14" s="24"/>
      <c r="K14" s="9">
        <f>February!K14+J14</f>
        <v>0</v>
      </c>
    </row>
    <row r="15" spans="1:11" s="5" customFormat="1" ht="18" customHeight="1">
      <c r="A15" s="9" t="s">
        <v>17</v>
      </c>
      <c r="B15" s="13">
        <f>77+67+75+64</f>
        <v>283</v>
      </c>
      <c r="C15" s="9">
        <f>February!C15+B15</f>
        <v>499</v>
      </c>
      <c r="D15" s="15"/>
      <c r="E15" s="9">
        <f>February!E15+D15</f>
        <v>2</v>
      </c>
      <c r="F15" s="17"/>
      <c r="G15" s="9">
        <f>February!G15+F15</f>
        <v>0</v>
      </c>
      <c r="H15" s="19"/>
      <c r="I15" s="9">
        <f>February!I15+H15</f>
        <v>0</v>
      </c>
      <c r="J15" s="24"/>
      <c r="K15" s="9">
        <f>February!K15+J15</f>
        <v>0</v>
      </c>
    </row>
    <row r="16" spans="1:11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  <c r="J16" s="24"/>
      <c r="K16" s="9">
        <f>February!K16+J16</f>
        <v>0</v>
      </c>
    </row>
    <row r="17" spans="1:11" s="5" customFormat="1" ht="18" customHeight="1">
      <c r="A17" s="9" t="s">
        <v>19</v>
      </c>
      <c r="B17" s="13">
        <f>66+18+70</f>
        <v>154</v>
      </c>
      <c r="C17" s="9">
        <f>February!C17+B17</f>
        <v>1751</v>
      </c>
      <c r="D17" s="15">
        <f>1</f>
        <v>1</v>
      </c>
      <c r="E17" s="9">
        <f>February!E17+D17</f>
        <v>179</v>
      </c>
      <c r="F17" s="17">
        <f>1</f>
        <v>1</v>
      </c>
      <c r="G17" s="9">
        <f>February!G17+F17</f>
        <v>141</v>
      </c>
      <c r="H17" s="19"/>
      <c r="I17" s="9">
        <f>February!I17+H17</f>
        <v>0</v>
      </c>
      <c r="J17" s="24"/>
      <c r="K17" s="9">
        <f>February!K17+J17</f>
        <v>0</v>
      </c>
    </row>
    <row r="18" spans="1:11" s="5" customFormat="1" ht="18" customHeight="1">
      <c r="A18" s="9" t="s">
        <v>20</v>
      </c>
      <c r="B18" s="13">
        <f>4+23+30+5+10+100+5+9+8+99+1</f>
        <v>294</v>
      </c>
      <c r="C18" s="9">
        <f>February!C18+B18</f>
        <v>2050</v>
      </c>
      <c r="D18" s="15">
        <f>17+6+3+10+9+7+5+19+1+3+1+1+1+2+1+2+3+1+1+1+2+1+1+1+1+1+1+1+1+3+5+10</f>
        <v>122</v>
      </c>
      <c r="E18" s="9">
        <f>February!E18+D18</f>
        <v>244</v>
      </c>
      <c r="F18" s="17">
        <f>1+1+1+74+18</f>
        <v>95</v>
      </c>
      <c r="G18" s="9">
        <f>February!G18+F18</f>
        <v>181</v>
      </c>
      <c r="H18" s="19"/>
      <c r="I18" s="9">
        <f>February!I18+H18</f>
        <v>0</v>
      </c>
      <c r="J18" s="24"/>
      <c r="K18" s="9">
        <f>February!K18+J18</f>
        <v>0</v>
      </c>
    </row>
    <row r="19" spans="1:11" s="5" customFormat="1" ht="18" customHeight="1">
      <c r="A19" s="9" t="s">
        <v>21</v>
      </c>
      <c r="B19" s="13">
        <f>20+100+100+100</f>
        <v>320</v>
      </c>
      <c r="C19" s="9">
        <f>February!C19+B19</f>
        <v>1785</v>
      </c>
      <c r="D19" s="15"/>
      <c r="E19" s="9">
        <f>February!E19+D19</f>
        <v>379</v>
      </c>
      <c r="F19" s="17">
        <f>70+103+120+50+70+130</f>
        <v>543</v>
      </c>
      <c r="G19" s="9">
        <f>February!G19+F19</f>
        <v>1950</v>
      </c>
      <c r="H19" s="19"/>
      <c r="I19" s="9">
        <f>February!I19+H19</f>
        <v>0</v>
      </c>
      <c r="J19" s="24"/>
      <c r="K19" s="9">
        <f>February!K19+J19</f>
        <v>0</v>
      </c>
    </row>
    <row r="20" spans="1:11" s="5" customFormat="1" ht="18" customHeight="1">
      <c r="A20" s="9" t="s">
        <v>22</v>
      </c>
      <c r="B20" s="13">
        <f>70+60+75+185+60+265+45+81+115+114+164+66+85+45+121+191+710+185+70+63+56+31</f>
        <v>2857</v>
      </c>
      <c r="C20" s="9">
        <f>February!C20+B20</f>
        <v>8158</v>
      </c>
      <c r="D20" s="15">
        <f>1+2+1+1+15</f>
        <v>20</v>
      </c>
      <c r="E20" s="9">
        <f>February!E20+D20</f>
        <v>209</v>
      </c>
      <c r="F20" s="17">
        <f>76+24</f>
        <v>100</v>
      </c>
      <c r="G20" s="9">
        <f>February!G20+F20</f>
        <v>556</v>
      </c>
      <c r="H20" s="19"/>
      <c r="I20" s="9">
        <f>February!I20+H20</f>
        <v>0</v>
      </c>
      <c r="J20" s="24"/>
      <c r="K20" s="9">
        <f>February!K20+J20</f>
        <v>0</v>
      </c>
    </row>
    <row r="21" spans="1:11" s="5" customFormat="1" ht="18" customHeight="1">
      <c r="A21" s="9" t="s">
        <v>23</v>
      </c>
      <c r="B21" s="13">
        <f>130+140+63+195+96+88+68+65+100+392+135+66+140+124+94+92+77+126+140+166+74+66+162+126+245+307+205+61+119+56+60+80</f>
        <v>4058</v>
      </c>
      <c r="C21" s="9">
        <f>February!C21+B21</f>
        <v>15082</v>
      </c>
      <c r="D21" s="15">
        <f>1+1+1+1+2+1+1+1</f>
        <v>9</v>
      </c>
      <c r="E21" s="9">
        <f>February!E21+D21</f>
        <v>81</v>
      </c>
      <c r="F21" s="17">
        <f>293</f>
        <v>293</v>
      </c>
      <c r="G21" s="9">
        <f>February!G21+F21</f>
        <v>1152</v>
      </c>
      <c r="H21" s="19"/>
      <c r="I21" s="9">
        <f>February!I21+H21</f>
        <v>0</v>
      </c>
      <c r="J21" s="24"/>
      <c r="K21" s="9">
        <f>February!K21+J21</f>
        <v>0</v>
      </c>
    </row>
    <row r="22" spans="1:11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  <c r="J22" s="24"/>
      <c r="K22" s="9">
        <f>February!K22+J22</f>
        <v>0</v>
      </c>
    </row>
    <row r="23" spans="1:11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  <c r="J23" s="24"/>
      <c r="K23" s="9">
        <f>February!K23+J23</f>
        <v>0</v>
      </c>
    </row>
    <row r="24" spans="1:11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0</v>
      </c>
      <c r="F24" s="17"/>
      <c r="G24" s="9">
        <f>February!G24+F24</f>
        <v>0</v>
      </c>
      <c r="H24" s="19"/>
      <c r="I24" s="9">
        <f>February!I24+H24</f>
        <v>0</v>
      </c>
      <c r="J24" s="24"/>
      <c r="K24" s="9">
        <f>February!K24+J24</f>
        <v>0</v>
      </c>
    </row>
    <row r="25" spans="1:11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  <c r="J25" s="24"/>
      <c r="K25" s="9">
        <f>February!K25+J25</f>
        <v>0</v>
      </c>
    </row>
    <row r="26" spans="1:11" s="5" customFormat="1" ht="18" customHeight="1">
      <c r="A26" s="9" t="s">
        <v>28</v>
      </c>
      <c r="B26" s="13"/>
      <c r="C26" s="9">
        <f>February!C26+B26</f>
        <v>470</v>
      </c>
      <c r="D26" s="15"/>
      <c r="E26" s="9">
        <f>February!E26+D26</f>
        <v>101</v>
      </c>
      <c r="F26" s="17">
        <f>5+4+200+200+200+85+85+200+200+180+100+94+93+50</f>
        <v>1696</v>
      </c>
      <c r="G26" s="9">
        <f>February!G26+F26</f>
        <v>4050</v>
      </c>
      <c r="H26" s="19"/>
      <c r="I26" s="9">
        <f>February!I26+H26</f>
        <v>0</v>
      </c>
      <c r="J26" s="24"/>
      <c r="K26" s="9">
        <f>February!K26+J26</f>
        <v>0</v>
      </c>
    </row>
    <row r="27" spans="1:11" s="5" customFormat="1" ht="18" customHeight="1">
      <c r="A27" s="9" t="s">
        <v>29</v>
      </c>
      <c r="B27" s="13">
        <f>5+5+4+23+67+15+37+3+4+29+8+14+9+2+78+20+12+23+11+8+6+2+8+19+3+11+4+1+11+88+360+52+63+88+7+140</f>
        <v>1240</v>
      </c>
      <c r="C27" s="9">
        <f>February!C27+B27</f>
        <v>6895</v>
      </c>
      <c r="D27" s="15">
        <f>1+1+5+17+5+1+22+8+8+1+1+1+1+1+18+69+2+9+3+22+1+1+10+5+4+3+4+8+3+2+2+6+1+8+2+17+15+11+8+3+5+12+3+4+3+3+10+3+1+9+2+26+8+2+44+31+23+1+1+1+1+1+1+3+4+1+131</f>
        <v>644</v>
      </c>
      <c r="E27" s="9">
        <f>February!E27+D27</f>
        <v>1536</v>
      </c>
      <c r="F27" s="17">
        <f>3+11+5+1+41+9+1+22+50+50+39+2+34+58+5+37+38+26+1+1+22+5+10+2+6+10+9+19+20+10+1+1+1+1+1+1+1+12+9+3+12+1+1+1+1+1+1+2+1+39+30+40+28+1+21+8+23+17+3+26</f>
        <v>835</v>
      </c>
      <c r="G27" s="9">
        <f>February!G27+F27</f>
        <v>3064</v>
      </c>
      <c r="H27" s="19"/>
      <c r="I27" s="9">
        <f>February!I27+H27</f>
        <v>0</v>
      </c>
      <c r="J27" s="24"/>
      <c r="K27" s="9">
        <f>February!K27+J27</f>
        <v>0</v>
      </c>
    </row>
    <row r="28" spans="1:11" s="5" customFormat="1" ht="18" customHeight="1">
      <c r="A28" s="9" t="s">
        <v>30</v>
      </c>
      <c r="B28" s="13">
        <f>416</f>
        <v>416</v>
      </c>
      <c r="C28" s="9">
        <f>February!C28+B28</f>
        <v>416</v>
      </c>
      <c r="D28" s="15"/>
      <c r="E28" s="9">
        <f>February!E28+D28</f>
        <v>0</v>
      </c>
      <c r="F28" s="17">
        <f>31</f>
        <v>31</v>
      </c>
      <c r="G28" s="9">
        <f>February!G28+F28</f>
        <v>31</v>
      </c>
      <c r="H28" s="19"/>
      <c r="I28" s="9">
        <f>February!I28+H28</f>
        <v>0</v>
      </c>
      <c r="J28" s="24"/>
      <c r="K28" s="9">
        <f>February!K28+J28</f>
        <v>0</v>
      </c>
    </row>
    <row r="29" spans="1:11" s="5" customFormat="1" ht="18" customHeight="1">
      <c r="A29" s="9" t="s">
        <v>31</v>
      </c>
      <c r="B29" s="13">
        <f>53+61+70+70+135+23+65+65+58+58+71+72+63+71+63+83+55+116+49+6+34+12+30+16+18+68+61+18+61+34+120+75+61+32+42+150+83+26+7+87+15+62+36+35+59+69+71+15+32+49+54+4+58+143+87+126+80+52+62+63+80+162+14+15+77+121+2+33+95+1+43+111+38+109+39+2+128+88+64+71+38+12+46+72+94+13+5+69+72+79+87+850+58+58+55+90+90+59+55+140+120+76+72+70+8+57+170+77+58+33+64+9+48+76+44+81+95+50+56+711+75+87+53+25+45+41+117+102</f>
        <v>9369</v>
      </c>
      <c r="C29" s="9">
        <f>February!C29+B29</f>
        <v>30565</v>
      </c>
      <c r="D29" s="15">
        <f>3+8+6+2+1+1+1+1+2+11+16+7+20+8+2+18+18+2+1+1+1+1+1+9+2+4+2+2+4+5+57+9+47+3+1+6+5+4+6+6+30+5+2+1+1+3+1</f>
        <v>347</v>
      </c>
      <c r="E29" s="9">
        <f>February!E29+D29</f>
        <v>885</v>
      </c>
      <c r="F29" s="17">
        <f>20+60</f>
        <v>80</v>
      </c>
      <c r="G29" s="9">
        <f>February!G29+F29</f>
        <v>235</v>
      </c>
      <c r="H29" s="19"/>
      <c r="I29" s="9">
        <f>February!I29+H29</f>
        <v>0</v>
      </c>
      <c r="J29" s="24"/>
      <c r="K29" s="9">
        <f>February!K29+J29</f>
        <v>25</v>
      </c>
    </row>
    <row r="30" spans="1:11" s="5" customFormat="1" ht="18" customHeight="1">
      <c r="A30" s="9" t="s">
        <v>32</v>
      </c>
      <c r="B30" s="13">
        <f>80+7+210+35+111+62+330+198+166+42+10+85+482+78+12+69+16+210+88+80+82+70+4+32+50+11+77+198+61+8+78+43+38+42+74+70</f>
        <v>3309</v>
      </c>
      <c r="C30" s="9">
        <f>February!C30+B30</f>
        <v>22289</v>
      </c>
      <c r="D30" s="15">
        <f>160+17+160+2+109+1+22+1+50+35+35+7+21+1+45+1</f>
        <v>667</v>
      </c>
      <c r="E30" s="9">
        <f>February!E30+D30</f>
        <v>1549</v>
      </c>
      <c r="F30" s="17">
        <f>6</f>
        <v>6</v>
      </c>
      <c r="G30" s="9">
        <f>February!G30+F30</f>
        <v>82</v>
      </c>
      <c r="H30" s="19"/>
      <c r="I30" s="9">
        <f>February!I30+H30</f>
        <v>0</v>
      </c>
      <c r="J30" s="24"/>
      <c r="K30" s="9">
        <f>February!K30+J30</f>
        <v>0</v>
      </c>
    </row>
    <row r="31" spans="1:11" s="5" customFormat="1" ht="18" customHeight="1">
      <c r="A31" s="9" t="s">
        <v>33</v>
      </c>
      <c r="B31" s="13">
        <f>235+73+60+46+6+68+18+15+140+68+181+68+29+32+201+21+99+88+72+125+80+88+72+28+125+80+126+373+65+209+260+29+390+282+96+75+135+141+214+69+134+46+70+201+94+279+46+96+128+72+129+95+57</f>
        <v>6029</v>
      </c>
      <c r="C31" s="9">
        <f>February!C31+B31</f>
        <v>21248</v>
      </c>
      <c r="D31" s="15">
        <f>42+1+7+7+4+1+1+1+2+3+1+2+1+3+3+3+57+1+3+2+37+7+4+96+40+1+3+1+1+1+6+2+1+28+1+70+3+1+1+70+1+3+1+1+1+2+1+2+3+67+39+40+1+1+2+8+3+9+19+34+1+2+2+2+1+43+2+1+4</f>
        <v>815</v>
      </c>
      <c r="E31" s="9">
        <f>February!E31+D31</f>
        <v>3336</v>
      </c>
      <c r="F31" s="17">
        <f>19+19+242</f>
        <v>280</v>
      </c>
      <c r="G31" s="9">
        <f>February!G31+F31</f>
        <v>952</v>
      </c>
      <c r="H31" s="19"/>
      <c r="I31" s="9">
        <f>February!I31+H31</f>
        <v>0</v>
      </c>
      <c r="J31" s="24"/>
      <c r="K31" s="9">
        <f>February!K31+J31</f>
        <v>0</v>
      </c>
    </row>
    <row r="32" spans="1:11" s="5" customFormat="1" ht="18" customHeight="1">
      <c r="A32" s="9" t="s">
        <v>34</v>
      </c>
      <c r="B32" s="13"/>
      <c r="C32" s="9">
        <f>February!C32+B32</f>
        <v>184</v>
      </c>
      <c r="D32" s="15"/>
      <c r="E32" s="9">
        <f>February!E32+D32</f>
        <v>1</v>
      </c>
      <c r="F32" s="17"/>
      <c r="G32" s="9">
        <f>February!G32+F32</f>
        <v>0</v>
      </c>
      <c r="H32" s="19"/>
      <c r="I32" s="9">
        <f>February!I32+H32</f>
        <v>0</v>
      </c>
      <c r="J32" s="24"/>
      <c r="K32" s="9">
        <f>February!K32+J32</f>
        <v>0</v>
      </c>
    </row>
    <row r="33" spans="1:11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  <c r="J33" s="24"/>
      <c r="K33" s="9">
        <f>February!K33+J33</f>
        <v>0</v>
      </c>
    </row>
    <row r="34" spans="1:11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  <c r="J34" s="24"/>
      <c r="K34" s="9">
        <f>February!K34+J34</f>
        <v>0</v>
      </c>
    </row>
    <row r="35" spans="1:11" s="5" customFormat="1" ht="18" customHeight="1">
      <c r="A35" s="9" t="s">
        <v>37</v>
      </c>
      <c r="B35" s="13">
        <v>466</v>
      </c>
      <c r="C35" s="9">
        <f>February!C35+B35</f>
        <v>1586</v>
      </c>
      <c r="D35" s="15"/>
      <c r="E35" s="9">
        <f>February!E35+D35</f>
        <v>1</v>
      </c>
      <c r="F35" s="17">
        <f>31+134+119+125+120+125+121</f>
        <v>775</v>
      </c>
      <c r="G35" s="9">
        <f>February!G35+F35</f>
        <v>1713</v>
      </c>
      <c r="H35" s="19"/>
      <c r="I35" s="9">
        <f>February!I35+H35</f>
        <v>0</v>
      </c>
      <c r="J35" s="24"/>
      <c r="K35" s="9">
        <f>February!K35+J35</f>
        <v>0</v>
      </c>
    </row>
    <row r="36" spans="1:11" s="5" customFormat="1" ht="18" customHeight="1">
      <c r="A36" s="9" t="s">
        <v>38</v>
      </c>
      <c r="B36" s="13"/>
      <c r="C36" s="9">
        <f>February!C36+B36</f>
        <v>36</v>
      </c>
      <c r="D36" s="15">
        <f>1</f>
        <v>1</v>
      </c>
      <c r="E36" s="9">
        <f>February!E36+D36</f>
        <v>69</v>
      </c>
      <c r="F36" s="17">
        <f>1+100+1+1+127+2</f>
        <v>232</v>
      </c>
      <c r="G36" s="9">
        <f>February!G36+F36</f>
        <v>421</v>
      </c>
      <c r="H36" s="19"/>
      <c r="I36" s="9">
        <f>February!I36+H36</f>
        <v>0</v>
      </c>
      <c r="J36" s="24"/>
      <c r="K36" s="9">
        <f>February!K36+J36</f>
        <v>0</v>
      </c>
    </row>
    <row r="37" spans="1:11" s="5" customFormat="1" ht="18" customHeight="1">
      <c r="A37" s="9" t="s">
        <v>39</v>
      </c>
      <c r="B37" s="13"/>
      <c r="C37" s="9">
        <f>February!C37+B37</f>
        <v>0</v>
      </c>
      <c r="D37" s="15"/>
      <c r="E37" s="9">
        <f>February!E37+D37</f>
        <v>0</v>
      </c>
      <c r="F37" s="17"/>
      <c r="G37" s="9">
        <f>February!G37+F37</f>
        <v>0</v>
      </c>
      <c r="H37" s="19"/>
      <c r="I37" s="9">
        <f>February!I37+H37</f>
        <v>0</v>
      </c>
      <c r="J37" s="24"/>
      <c r="K37" s="9">
        <f>February!K37+J37</f>
        <v>0</v>
      </c>
    </row>
    <row r="38" spans="1:11" s="5" customFormat="1" ht="18" customHeight="1">
      <c r="A38" s="9" t="s">
        <v>40</v>
      </c>
      <c r="B38" s="13">
        <f>320+157+56+135+78+60+111+152+90+113+128+65+89+85+74+69+154+90+117+80+81+96+26+150+59+247+84+76+23+96+68+176+435+46+15+76+57+73+83+77+144+90+240+63+39+133+30+25+45+124+164+133+136+123+98+65+68+97+56+63+77+78+69+77+63+114+66+200+112+78+86+78+51+28+46+54+25+240+130+145+70+152+82+82+120+62+73+106+162+61+63+181+140+66</f>
        <v>9440</v>
      </c>
      <c r="C38" s="9">
        <f>February!C38+B38</f>
        <v>43187</v>
      </c>
      <c r="D38" s="15">
        <f>2+50+3+2+67+8+3+1+1+1+102</f>
        <v>240</v>
      </c>
      <c r="E38" s="9">
        <f>February!E38+D38</f>
        <v>613</v>
      </c>
      <c r="F38" s="17"/>
      <c r="G38" s="9">
        <f>February!G38+F38</f>
        <v>0</v>
      </c>
      <c r="H38" s="19"/>
      <c r="I38" s="9">
        <f>February!I38+H38</f>
        <v>0</v>
      </c>
      <c r="J38" s="24"/>
      <c r="K38" s="9">
        <f>February!K38+J38</f>
        <v>0</v>
      </c>
    </row>
    <row r="39" spans="1:11" s="5" customFormat="1" ht="18" customHeight="1">
      <c r="A39" s="9" t="s">
        <v>41</v>
      </c>
      <c r="B39" s="13"/>
      <c r="C39" s="9">
        <f>February!C39+B39</f>
        <v>0</v>
      </c>
      <c r="D39" s="15">
        <f>1+1+1+1+2+3+3</f>
        <v>12</v>
      </c>
      <c r="E39" s="9">
        <f>February!E39+D39</f>
        <v>15</v>
      </c>
      <c r="F39" s="17">
        <f>1+1+1+100+3+14+1+160+1</f>
        <v>282</v>
      </c>
      <c r="G39" s="9">
        <f>February!G39+F39</f>
        <v>1458</v>
      </c>
      <c r="H39" s="19"/>
      <c r="I39" s="9">
        <f>February!I39+H39</f>
        <v>0</v>
      </c>
      <c r="J39" s="24"/>
      <c r="K39" s="9">
        <f>February!K39+J39</f>
        <v>0</v>
      </c>
    </row>
    <row r="40" spans="1:11" s="5" customFormat="1" ht="18" customHeight="1">
      <c r="A40" s="9" t="s">
        <v>42</v>
      </c>
      <c r="B40" s="13">
        <f>89+73+63+191+1+137+120+58+133+74+76+128</f>
        <v>1143</v>
      </c>
      <c r="C40" s="9">
        <f>February!C40+B40</f>
        <v>2048</v>
      </c>
      <c r="D40" s="15">
        <f>1+1+6+2+3+2</f>
        <v>15</v>
      </c>
      <c r="E40" s="9">
        <f>February!E40+D40</f>
        <v>211</v>
      </c>
      <c r="F40" s="17"/>
      <c r="G40" s="9">
        <f>February!G40+F40</f>
        <v>0</v>
      </c>
      <c r="H40" s="19"/>
      <c r="I40" s="9">
        <f>February!I40+H40</f>
        <v>0</v>
      </c>
      <c r="J40" s="24"/>
      <c r="K40" s="9">
        <f>February!K40+J40</f>
        <v>0</v>
      </c>
    </row>
    <row r="41" spans="1:11" s="5" customFormat="1" ht="18" customHeight="1">
      <c r="A41" s="9" t="s">
        <v>43</v>
      </c>
      <c r="B41" s="13">
        <f>23+6</f>
        <v>29</v>
      </c>
      <c r="C41" s="9">
        <f>February!C41+B41</f>
        <v>358</v>
      </c>
      <c r="D41" s="15">
        <f>1+2+1</f>
        <v>4</v>
      </c>
      <c r="E41" s="9">
        <f>February!E41+D41</f>
        <v>6</v>
      </c>
      <c r="F41" s="17">
        <f>130</f>
        <v>130</v>
      </c>
      <c r="G41" s="9">
        <f>February!G41+F41</f>
        <v>376</v>
      </c>
      <c r="H41" s="19"/>
      <c r="I41" s="9">
        <f>February!I41+H41</f>
        <v>0</v>
      </c>
      <c r="J41" s="24"/>
      <c r="K41" s="9">
        <f>February!K41+J41</f>
        <v>0</v>
      </c>
    </row>
    <row r="42" spans="1:11" s="5" customFormat="1" ht="18" customHeight="1">
      <c r="A42" s="9" t="s">
        <v>44</v>
      </c>
      <c r="B42" s="13">
        <f>68+81+89+81</f>
        <v>319</v>
      </c>
      <c r="C42" s="9">
        <f>February!C42+B42</f>
        <v>428</v>
      </c>
      <c r="D42" s="15">
        <f>14</f>
        <v>14</v>
      </c>
      <c r="E42" s="9">
        <f>February!E42+D42</f>
        <v>32</v>
      </c>
      <c r="F42" s="17">
        <f>50+1+1+161</f>
        <v>213</v>
      </c>
      <c r="G42" s="9">
        <f>February!G42+F42</f>
        <v>243</v>
      </c>
      <c r="H42" s="19"/>
      <c r="I42" s="9">
        <f>February!I42+H42</f>
        <v>0</v>
      </c>
      <c r="J42" s="24"/>
      <c r="K42" s="9">
        <f>February!K42+J42</f>
        <v>0</v>
      </c>
    </row>
    <row r="43" spans="1:11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  <c r="J43" s="24"/>
      <c r="K43" s="9">
        <f>February!K43+J43</f>
        <v>0</v>
      </c>
    </row>
    <row r="44" spans="1:11" s="5" customFormat="1" ht="18" customHeight="1">
      <c r="A44" s="9" t="s">
        <v>46</v>
      </c>
      <c r="B44" s="13">
        <f>126+165+128+130+127+127</f>
        <v>803</v>
      </c>
      <c r="C44" s="9">
        <f>February!C44+B44</f>
        <v>952</v>
      </c>
      <c r="D44" s="15"/>
      <c r="E44" s="9">
        <f>February!E44+D44</f>
        <v>0</v>
      </c>
      <c r="F44" s="17"/>
      <c r="G44" s="9">
        <f>February!G44+F44</f>
        <v>0</v>
      </c>
      <c r="H44" s="19"/>
      <c r="I44" s="9">
        <f>February!I44+H44</f>
        <v>0</v>
      </c>
      <c r="J44" s="24"/>
      <c r="K44" s="9">
        <f>February!K44+J44</f>
        <v>0</v>
      </c>
    </row>
    <row r="45" spans="1:11" s="5" customFormat="1" ht="18" customHeight="1">
      <c r="A45" s="9" t="s">
        <v>47</v>
      </c>
      <c r="B45" s="13">
        <f>77+168+18+51+6+7+260+90+118+1+157+34+224+72+76+153+67+165+65+14+31+180+65+219+76+70+83+70+90+160+112+67+147+78+320+86+78+98+42+75+61+79+75+120+228+6+45+235+30+62+111+7+134+281+135+69+88+73+82+126+81+22+19+21+25+66+120+64+31+64+21+70+21+39+119+150+83+2+38+23+125+155+152+43+128+83+72+134+135+112+355+126+73+51+176+84+125+65+61+28+487+117+8+13+55+165+104+73+301+65+60+68+29+17+13+14+120+54+118+5+46+93+80+97+20+68+145+75+63+64+57+60+62+69+29+134+123+77+67+37+10+94+29+22+204+22+9+17+55+67+69+77+77+73+56+33+36+73+79+133+631+100+24+7+58+168+75+52+105+230+72+390+33+78+135+70+60+44+54+5+121+37+15+45+29+268+125+21+101+28+59+42+25+27+26+14+9+34+17+290+114+85+55+140+260+300+201+490+71+92+119+59+174+135+21+4+30+28+134+80+75+60+71+69+61+124+79+8+221+120+110+26+45+262+142+91+8+24+45+91+77+64+77+116+16+5+8+60+8+20+34+65+65+86+27+144+4+62+21+51+172+9+28+190+11+7+32+330+3+16+16+28+20+13+5+21+111+22+83+19+214+87+28+81+59+11+72+58+50+25+42+21+7+175+43+97+149+85+73+138+128+116+72+78+133+24+1081</f>
        <v>27307</v>
      </c>
      <c r="C45" s="9">
        <f>February!C45+B45</f>
        <v>113643</v>
      </c>
      <c r="D45" s="15">
        <f>1+22+162+3+9+1+2+1+1+3+3+3+1+2+6+1+2+15+1+2+4+1+25+2+1+38+10+11+10+16+8+3+5+5+4+9+6+1+2+6+1+11+1+2+1+1+7+25+1+1+1+1+1+2+1+3+3+1+1+1+4+1+2+2+2+5+7+11+4+12+3+3+2+3+1+2+1+2+1+21+6+1+7</f>
        <v>577</v>
      </c>
      <c r="E45" s="9">
        <f>February!E45+D45</f>
        <v>3453</v>
      </c>
      <c r="F45" s="17">
        <f>1+1+30+80+30+20+2+16</f>
        <v>180</v>
      </c>
      <c r="G45" s="9">
        <f>February!G45+F45</f>
        <v>266</v>
      </c>
      <c r="H45" s="19"/>
      <c r="I45" s="9">
        <f>February!I45+H45</f>
        <v>0</v>
      </c>
      <c r="J45" s="24"/>
      <c r="K45" s="9">
        <f>February!K45+J45</f>
        <v>0</v>
      </c>
    </row>
    <row r="46" spans="1:11" s="5" customFormat="1" ht="18" customHeight="1">
      <c r="A46" s="9" t="s">
        <v>48</v>
      </c>
      <c r="B46" s="13">
        <f>63+68+64+73+71+50+148+57+62+96+132+425+73+75+112+115+285+62+64+70+58+58+77+420+62+70+106</f>
        <v>3016</v>
      </c>
      <c r="C46" s="9">
        <f>February!C46+B46</f>
        <v>6280</v>
      </c>
      <c r="D46" s="15">
        <f>1+2+1+1+1+1</f>
        <v>7</v>
      </c>
      <c r="E46" s="9">
        <f>February!E46+D46</f>
        <v>53</v>
      </c>
      <c r="F46" s="17">
        <f>80</f>
        <v>80</v>
      </c>
      <c r="G46" s="9">
        <f>February!G46+F46</f>
        <v>800</v>
      </c>
      <c r="H46" s="19"/>
      <c r="I46" s="9">
        <f>February!I46+H46</f>
        <v>0</v>
      </c>
      <c r="J46" s="24"/>
      <c r="K46" s="9">
        <f>February!K46+J46</f>
        <v>0</v>
      </c>
    </row>
    <row r="47" spans="1:11" s="5" customFormat="1" ht="18" customHeight="1">
      <c r="A47" s="9" t="s">
        <v>49</v>
      </c>
      <c r="B47" s="13">
        <f>126+100</f>
        <v>226</v>
      </c>
      <c r="C47" s="9">
        <f>February!C47+B47</f>
        <v>855</v>
      </c>
      <c r="D47" s="15">
        <f>1+1+1+1+45+1+18+46+6+1+3+45</f>
        <v>169</v>
      </c>
      <c r="E47" s="9">
        <f>February!E47+D47</f>
        <v>183</v>
      </c>
      <c r="F47" s="17">
        <f>250+200+150+176+150+1</f>
        <v>927</v>
      </c>
      <c r="G47" s="9">
        <f>February!G47+F47</f>
        <v>2127</v>
      </c>
      <c r="H47" s="19"/>
      <c r="I47" s="9">
        <f>February!I47+H47</f>
        <v>0</v>
      </c>
      <c r="J47" s="24"/>
      <c r="K47" s="9">
        <f>February!K47+J47</f>
        <v>0</v>
      </c>
    </row>
    <row r="48" spans="1:11" s="5" customFormat="1" ht="18" customHeight="1">
      <c r="A48" s="9" t="s">
        <v>50</v>
      </c>
      <c r="B48" s="13"/>
      <c r="C48" s="9">
        <f>February!C48+B48</f>
        <v>232</v>
      </c>
      <c r="D48" s="15">
        <f>2+2+1+3+1+2</f>
        <v>11</v>
      </c>
      <c r="E48" s="9">
        <f>February!E48+D48</f>
        <v>11</v>
      </c>
      <c r="F48" s="17"/>
      <c r="G48" s="9">
        <f>February!G48+F48</f>
        <v>351</v>
      </c>
      <c r="H48" s="19"/>
      <c r="I48" s="9">
        <f>February!I48+H48</f>
        <v>0</v>
      </c>
      <c r="J48" s="24"/>
      <c r="K48" s="9">
        <f>February!K48+J48</f>
        <v>0</v>
      </c>
    </row>
    <row r="49" spans="1:11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  <c r="J49" s="24"/>
      <c r="K49" s="9">
        <f>February!K49+J49</f>
        <v>0</v>
      </c>
    </row>
    <row r="50" spans="1:11" s="5" customFormat="1" ht="18" customHeight="1">
      <c r="A50" s="9" t="s">
        <v>52</v>
      </c>
      <c r="B50" s="13">
        <f>62+116+112+56+252+130</f>
        <v>728</v>
      </c>
      <c r="C50" s="9">
        <f>February!C50+B50</f>
        <v>4620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  <c r="J50" s="24"/>
      <c r="K50" s="9">
        <f>February!K50+J50</f>
        <v>0</v>
      </c>
    </row>
    <row r="51" spans="1:11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0</v>
      </c>
      <c r="H51" s="19"/>
      <c r="I51" s="9">
        <f>February!I51+H51</f>
        <v>0</v>
      </c>
      <c r="J51" s="24"/>
      <c r="K51" s="9">
        <f>February!K51+J51</f>
        <v>0</v>
      </c>
    </row>
    <row r="52" spans="1:11" s="5" customFormat="1" ht="18" customHeight="1">
      <c r="A52" s="9" t="s">
        <v>54</v>
      </c>
      <c r="B52" s="13"/>
      <c r="C52" s="9">
        <f>February!C52+B52</f>
        <v>873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  <c r="J52" s="24"/>
      <c r="K52" s="9">
        <f>February!K52+J52</f>
        <v>0</v>
      </c>
    </row>
    <row r="53" spans="1:11" s="5" customFormat="1" ht="18" customHeight="1">
      <c r="A53" s="9" t="s">
        <v>55</v>
      </c>
      <c r="B53" s="13">
        <f>10+61+115+41+210+75+108+98+13+117+5+38+76+55+32+96+38+11+10+1+28+172+4+58+41+12+62+92+25+15+38+21+20+20+4+7+23+38+91+49+262</f>
        <v>2292</v>
      </c>
      <c r="C53" s="9">
        <f>February!C53+B53</f>
        <v>5890</v>
      </c>
      <c r="D53" s="15">
        <f>1+3+3+3+1+1+3+1+2+2+2+2+2+1+1+1+2+1+1+1+1+1+7+23+25+25+7+27+1+18</f>
        <v>169</v>
      </c>
      <c r="E53" s="9">
        <f>February!E53+D53</f>
        <v>905</v>
      </c>
      <c r="F53" s="17">
        <f>1+38+1+39+10+12+34+26+1+1+1+1+2+1+1+16+20+5+1+8+4+2+4+2+3+1+1+1+1+1+1+12+28+28+1+1+1+1+8+2+2+2+4+33+10+75+100+125+50+72+116+5+35+70+87+20+13+72+244+110+60+120+150+20+36+66+72+50+26+82+40+48+173+3+36+3+40+84+86+93+50+140+110+66+155+150+97+100+100+17+6+21+26+2+8+33+2+7+93+70+1+202</f>
        <v>4311</v>
      </c>
      <c r="G53" s="9">
        <f>February!G53+F53</f>
        <v>10613</v>
      </c>
      <c r="H53" s="19"/>
      <c r="I53" s="9">
        <f>February!I53+H53</f>
        <v>0</v>
      </c>
      <c r="J53" s="24"/>
      <c r="K53" s="9">
        <f>February!K53+J53</f>
        <v>0</v>
      </c>
    </row>
    <row r="54" spans="1:11" s="5" customFormat="1" ht="18" customHeight="1" thickBot="1">
      <c r="A54" s="10" t="s">
        <v>56</v>
      </c>
      <c r="B54" s="13">
        <f>82+80+350+215</f>
        <v>727</v>
      </c>
      <c r="C54" s="9">
        <f>February!C54+B54</f>
        <v>2584</v>
      </c>
      <c r="D54" s="15">
        <f>80+5</f>
        <v>85</v>
      </c>
      <c r="E54" s="9">
        <f>February!E54+D54</f>
        <v>627</v>
      </c>
      <c r="F54" s="17"/>
      <c r="G54" s="9">
        <f>February!G54+F54</f>
        <v>0</v>
      </c>
      <c r="H54" s="19"/>
      <c r="I54" s="9">
        <f>February!I54+H54</f>
        <v>0</v>
      </c>
      <c r="J54" s="25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78875</v>
      </c>
      <c r="C55" s="11"/>
      <c r="D55" s="11">
        <f>SUM(D5:D54)</f>
        <v>3957</v>
      </c>
      <c r="E55" s="11"/>
      <c r="F55" s="11">
        <f>SUM(F5:F54)</f>
        <v>12523</v>
      </c>
      <c r="G55" s="11"/>
      <c r="H55" s="11">
        <f>SUM(H5:H54)</f>
        <v>34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302087</v>
      </c>
      <c r="D57" s="11"/>
      <c r="E57" s="11">
        <f>February!E57+D55</f>
        <v>14971</v>
      </c>
      <c r="F57" s="11"/>
      <c r="G57" s="11">
        <f>February!G57+F55</f>
        <v>33906</v>
      </c>
      <c r="H57" s="11"/>
      <c r="I57" s="11">
        <f>February!I57+H55</f>
        <v>34</v>
      </c>
      <c r="J57" s="11"/>
      <c r="K57" s="11">
        <f>February!K57+J55</f>
        <v>27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6199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1210</v>
      </c>
      <c r="G62" s="4">
        <f>February!G62+F60</f>
        <v>6199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64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March!C5+B5</f>
        <v>66</v>
      </c>
      <c r="D5" s="15">
        <f>1+2</f>
        <v>3</v>
      </c>
      <c r="E5" s="9">
        <f>March!E5+D5</f>
        <v>4</v>
      </c>
      <c r="F5" s="17"/>
      <c r="G5" s="9">
        <f>March!G5+F5</f>
        <v>0</v>
      </c>
      <c r="H5" s="19"/>
      <c r="I5" s="9">
        <f>March!I5+H5</f>
        <v>0</v>
      </c>
      <c r="J5" s="24"/>
      <c r="K5" s="9">
        <f>March!K5+J5</f>
        <v>0</v>
      </c>
    </row>
    <row r="6" spans="1:11" s="5" customFormat="1" ht="18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  <c r="J6" s="24"/>
      <c r="K6" s="9">
        <f>March!K6+J6</f>
        <v>0</v>
      </c>
    </row>
    <row r="7" spans="1:11" s="5" customFormat="1" ht="18" customHeight="1">
      <c r="A7" s="9" t="s">
        <v>9</v>
      </c>
      <c r="B7" s="13"/>
      <c r="C7" s="9">
        <f>March!C7+B7</f>
        <v>84</v>
      </c>
      <c r="D7" s="15">
        <f>125</f>
        <v>125</v>
      </c>
      <c r="E7" s="9">
        <f>March!E7+D7</f>
        <v>125</v>
      </c>
      <c r="F7" s="17"/>
      <c r="G7" s="9">
        <f>March!G7+F7</f>
        <v>840</v>
      </c>
      <c r="H7" s="19"/>
      <c r="I7" s="9">
        <f>March!I7+H7</f>
        <v>0</v>
      </c>
      <c r="J7" s="24"/>
      <c r="K7" s="9">
        <f>March!K7+J7</f>
        <v>0</v>
      </c>
    </row>
    <row r="8" spans="1:11" s="5" customFormat="1" ht="18" customHeight="1">
      <c r="A8" s="9" t="s">
        <v>10</v>
      </c>
      <c r="B8" s="13">
        <f>65+65+89+60+60+60+60</f>
        <v>459</v>
      </c>
      <c r="C8" s="9">
        <f>March!C8+B8</f>
        <v>1627</v>
      </c>
      <c r="D8" s="15">
        <f>2</f>
        <v>2</v>
      </c>
      <c r="E8" s="9">
        <f>March!E8+D8</f>
        <v>47</v>
      </c>
      <c r="F8" s="17"/>
      <c r="G8" s="9">
        <f>March!G8+F8</f>
        <v>0</v>
      </c>
      <c r="H8" s="19"/>
      <c r="I8" s="9">
        <f>March!I8+H8</f>
        <v>0</v>
      </c>
      <c r="J8" s="24"/>
      <c r="K8" s="9">
        <f>March!K8+J8</f>
        <v>0</v>
      </c>
    </row>
    <row r="9" spans="1:11" s="5" customFormat="1" ht="18" customHeight="1">
      <c r="A9" s="9" t="s">
        <v>11</v>
      </c>
      <c r="B9" s="13">
        <v>1047</v>
      </c>
      <c r="C9" s="9">
        <f>March!C9+B9</f>
        <v>1484</v>
      </c>
      <c r="D9" s="15">
        <v>596</v>
      </c>
      <c r="E9" s="9">
        <f>March!E9+D9</f>
        <v>768</v>
      </c>
      <c r="F9" s="17">
        <f>300+167+322</f>
        <v>789</v>
      </c>
      <c r="G9" s="9">
        <f>March!G9+F9</f>
        <v>2280</v>
      </c>
      <c r="H9" s="19"/>
      <c r="I9" s="9">
        <f>March!I9+H9</f>
        <v>0</v>
      </c>
      <c r="J9" s="24"/>
      <c r="K9" s="9">
        <f>March!K9+J9</f>
        <v>0</v>
      </c>
    </row>
    <row r="10" spans="1:11" s="5" customFormat="1" ht="18" customHeight="1">
      <c r="A10" s="9" t="s">
        <v>12</v>
      </c>
      <c r="B10" s="13">
        <f>117+99+93+91+95+106+96+95+107+104+96+89+112+128+128+102+126+107+106+102+91+117+93+23+37+102+132+87+93+93+115+95+84+89+104+93+111+116+88+128+96+78+87+96+106+102+89+87+38+111+121+110+101+96+96+92+92+98+103+104+105+107+97+97+108+105+104+93+102+112+88+100+86+101+95+94+11571</f>
        <v>19058</v>
      </c>
      <c r="C10" s="9">
        <f>March!C10+B10</f>
        <v>22178</v>
      </c>
      <c r="D10" s="15">
        <v>47</v>
      </c>
      <c r="E10" s="9">
        <f>March!E10+D10</f>
        <v>66</v>
      </c>
      <c r="F10" s="17"/>
      <c r="G10" s="9">
        <f>March!G10+F10</f>
        <v>282</v>
      </c>
      <c r="H10" s="19"/>
      <c r="I10" s="9">
        <f>March!I10+H10</f>
        <v>34</v>
      </c>
      <c r="J10" s="24"/>
      <c r="K10" s="9">
        <f>March!K10+J10</f>
        <v>0</v>
      </c>
    </row>
    <row r="11" spans="1:11" s="5" customFormat="1" ht="18" customHeight="1">
      <c r="A11" s="9" t="s">
        <v>13</v>
      </c>
      <c r="B11" s="13">
        <f>11</f>
        <v>11</v>
      </c>
      <c r="C11" s="9">
        <f>March!C11+B11</f>
        <v>2259</v>
      </c>
      <c r="D11" s="15">
        <f>2+1+30+3+1</f>
        <v>37</v>
      </c>
      <c r="E11" s="9">
        <f>March!E11+D11</f>
        <v>90</v>
      </c>
      <c r="F11" s="17">
        <f>150</f>
        <v>150</v>
      </c>
      <c r="G11" s="9">
        <f>March!G11+F11</f>
        <v>681</v>
      </c>
      <c r="H11" s="19"/>
      <c r="I11" s="9">
        <f>March!I11+H11</f>
        <v>0</v>
      </c>
      <c r="J11" s="24"/>
      <c r="K11" s="9">
        <f>March!K11+J11</f>
        <v>2</v>
      </c>
    </row>
    <row r="12" spans="1:11" s="5" customFormat="1" ht="18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  <c r="J12" s="24"/>
      <c r="K12" s="9">
        <f>March!K12+J12</f>
        <v>0</v>
      </c>
    </row>
    <row r="13" spans="1:11" s="5" customFormat="1" ht="18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  <c r="J13" s="24"/>
      <c r="K13" s="9">
        <f>March!K13+J13</f>
        <v>0</v>
      </c>
    </row>
    <row r="14" spans="1:11" s="5" customFormat="1" ht="18" customHeight="1">
      <c r="A14" s="9" t="s">
        <v>16</v>
      </c>
      <c r="B14" s="13">
        <v>107</v>
      </c>
      <c r="C14" s="9">
        <f>March!C14+B14</f>
        <v>107</v>
      </c>
      <c r="D14" s="15"/>
      <c r="E14" s="9">
        <f>March!E14+D14</f>
        <v>0</v>
      </c>
      <c r="F14" s="17">
        <f>2</f>
        <v>2</v>
      </c>
      <c r="G14" s="9">
        <f>March!G14+F14</f>
        <v>2</v>
      </c>
      <c r="H14" s="19"/>
      <c r="I14" s="9">
        <f>March!I14+H14</f>
        <v>0</v>
      </c>
      <c r="J14" s="24"/>
      <c r="K14" s="9">
        <f>March!K14+J14</f>
        <v>0</v>
      </c>
    </row>
    <row r="15" spans="1:11" s="5" customFormat="1" ht="18" customHeight="1">
      <c r="A15" s="9" t="s">
        <v>17</v>
      </c>
      <c r="B15" s="13">
        <f>64+74+119+70+70</f>
        <v>397</v>
      </c>
      <c r="C15" s="9">
        <f>March!C15+B15</f>
        <v>896</v>
      </c>
      <c r="D15" s="15">
        <f>2+1</f>
        <v>3</v>
      </c>
      <c r="E15" s="9">
        <f>March!E15+D15</f>
        <v>5</v>
      </c>
      <c r="F15" s="17">
        <f>102</f>
        <v>102</v>
      </c>
      <c r="G15" s="9">
        <f>March!G15+F15</f>
        <v>102</v>
      </c>
      <c r="H15" s="19"/>
      <c r="I15" s="9">
        <f>March!I15+H15</f>
        <v>0</v>
      </c>
      <c r="J15" s="24"/>
      <c r="K15" s="9">
        <f>March!K15+J15</f>
        <v>0</v>
      </c>
    </row>
    <row r="16" spans="1:11" s="5" customFormat="1" ht="18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  <c r="J16" s="24"/>
      <c r="K16" s="9">
        <f>March!K16+J16</f>
        <v>0</v>
      </c>
    </row>
    <row r="17" spans="1:11" s="5" customFormat="1" ht="18" customHeight="1">
      <c r="A17" s="9" t="s">
        <v>19</v>
      </c>
      <c r="B17" s="13"/>
      <c r="C17" s="9">
        <f>March!C17+B17</f>
        <v>1751</v>
      </c>
      <c r="D17" s="15"/>
      <c r="E17" s="9">
        <f>March!E17+D17</f>
        <v>179</v>
      </c>
      <c r="F17" s="17"/>
      <c r="G17" s="9">
        <f>March!G17+F17</f>
        <v>141</v>
      </c>
      <c r="H17" s="19"/>
      <c r="I17" s="9">
        <f>March!I17+H17</f>
        <v>0</v>
      </c>
      <c r="J17" s="24"/>
      <c r="K17" s="9">
        <f>March!K17+J17</f>
        <v>0</v>
      </c>
    </row>
    <row r="18" spans="1:11" s="5" customFormat="1" ht="18" customHeight="1">
      <c r="A18" s="9" t="s">
        <v>20</v>
      </c>
      <c r="B18" s="13">
        <f>41+22+83+2</f>
        <v>148</v>
      </c>
      <c r="C18" s="9">
        <f>March!C18+B18</f>
        <v>2198</v>
      </c>
      <c r="D18" s="15">
        <f>3+2+3+3+1+1+1+1+1+1+1+1+1+1+1+1+1+2+14+2+3+1+1+1+1+2+8+2+4</f>
        <v>65</v>
      </c>
      <c r="E18" s="9">
        <f>March!E18+D18</f>
        <v>309</v>
      </c>
      <c r="F18" s="17">
        <f>25+25+25+40+40+40+40+3+33</f>
        <v>271</v>
      </c>
      <c r="G18" s="9">
        <f>March!G18+F18</f>
        <v>452</v>
      </c>
      <c r="H18" s="19"/>
      <c r="I18" s="9">
        <f>March!I18+H18</f>
        <v>0</v>
      </c>
      <c r="J18" s="24"/>
      <c r="K18" s="9">
        <f>March!K18+J18</f>
        <v>0</v>
      </c>
    </row>
    <row r="19" spans="1:11" s="5" customFormat="1" ht="18" customHeight="1">
      <c r="A19" s="9" t="s">
        <v>21</v>
      </c>
      <c r="B19" s="13">
        <f>68+110+68+150+150+10+1042</f>
        <v>1598</v>
      </c>
      <c r="C19" s="9">
        <f>March!C19+B19</f>
        <v>3383</v>
      </c>
      <c r="D19" s="15">
        <f>3+1+100+110+1+2+1+1+30+2+2+2+1+12+14+2</f>
        <v>284</v>
      </c>
      <c r="E19" s="9">
        <f>March!E19+D19</f>
        <v>663</v>
      </c>
      <c r="F19" s="17">
        <f>200+100+100+100+200+130+130+100+200+125+100+1+70+125+100</f>
        <v>1781</v>
      </c>
      <c r="G19" s="9">
        <f>March!G19+F19</f>
        <v>3731</v>
      </c>
      <c r="H19" s="19"/>
      <c r="I19" s="9">
        <f>March!I19+H19</f>
        <v>0</v>
      </c>
      <c r="J19" s="24"/>
      <c r="K19" s="9">
        <f>March!K19+J19</f>
        <v>0</v>
      </c>
    </row>
    <row r="20" spans="1:11" s="5" customFormat="1" ht="18" customHeight="1">
      <c r="A20" s="9" t="s">
        <v>22</v>
      </c>
      <c r="B20" s="13">
        <f>46+53+61+61+156+74+77+663+50+72+62+61+60+121+123+120+83</f>
        <v>1943</v>
      </c>
      <c r="C20" s="9">
        <f>March!C20+B20</f>
        <v>10101</v>
      </c>
      <c r="D20" s="15">
        <f>1+1+1+1+3+2+1+1+1+2+2+1+1</f>
        <v>18</v>
      </c>
      <c r="E20" s="9">
        <f>March!E20+D20</f>
        <v>227</v>
      </c>
      <c r="F20" s="17">
        <f>38</f>
        <v>38</v>
      </c>
      <c r="G20" s="9">
        <f>March!G20+F20</f>
        <v>594</v>
      </c>
      <c r="H20" s="19"/>
      <c r="I20" s="9">
        <f>March!I20+H20</f>
        <v>0</v>
      </c>
      <c r="J20" s="24"/>
      <c r="K20" s="9">
        <f>March!K20+J20</f>
        <v>0</v>
      </c>
    </row>
    <row r="21" spans="1:11" s="5" customFormat="1" ht="18" customHeight="1">
      <c r="A21" s="9" t="s">
        <v>23</v>
      </c>
      <c r="B21" s="13">
        <f>112+120+91+85+120+140+112+80+185+110+88+136+100+120+75+84+67+84+120+68+90+58+119+139+65+88+60+260+112+64+61+89+61+62+56+69+73+145+78+29+132+65+544+74+301+64+67+75+61+140+69+245+154+62+290+95+230+117+61+50+40+89+118+162+350+118+240+67+127+81+122+58+59+120</f>
        <v>8522</v>
      </c>
      <c r="C21" s="9">
        <f>March!C21+B21</f>
        <v>23604</v>
      </c>
      <c r="D21" s="15"/>
      <c r="E21" s="9">
        <f>March!E21+D21</f>
        <v>81</v>
      </c>
      <c r="F21" s="17">
        <f>97+1+145+220</f>
        <v>463</v>
      </c>
      <c r="G21" s="9">
        <f>March!G21+F21</f>
        <v>1615</v>
      </c>
      <c r="H21" s="19"/>
      <c r="I21" s="9">
        <f>March!I21+H21</f>
        <v>0</v>
      </c>
      <c r="J21" s="24"/>
      <c r="K21" s="9">
        <f>March!K21+J21</f>
        <v>0</v>
      </c>
    </row>
    <row r="22" spans="1:11" s="5" customFormat="1" ht="18" customHeight="1">
      <c r="A22" s="9" t="s">
        <v>24</v>
      </c>
      <c r="B22" s="13"/>
      <c r="C22" s="9">
        <f>March!C22+B22</f>
        <v>0</v>
      </c>
      <c r="D22" s="15">
        <f>1</f>
        <v>1</v>
      </c>
      <c r="E22" s="9">
        <f>March!E22+D22</f>
        <v>1</v>
      </c>
      <c r="F22" s="17"/>
      <c r="G22" s="9">
        <f>March!G22+F22</f>
        <v>0</v>
      </c>
      <c r="H22" s="19"/>
      <c r="I22" s="9">
        <f>March!I22+H22</f>
        <v>0</v>
      </c>
      <c r="J22" s="24"/>
      <c r="K22" s="9">
        <f>March!K22+J22</f>
        <v>0</v>
      </c>
    </row>
    <row r="23" spans="1:11" s="5" customFormat="1" ht="18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  <c r="J23" s="24"/>
      <c r="K23" s="9">
        <f>March!K23+J23</f>
        <v>0</v>
      </c>
    </row>
    <row r="24" spans="1:11" s="5" customFormat="1" ht="18" customHeight="1">
      <c r="A24" s="9" t="s">
        <v>26</v>
      </c>
      <c r="B24" s="13"/>
      <c r="C24" s="9">
        <f>March!C24+B24</f>
        <v>0</v>
      </c>
      <c r="D24" s="15">
        <f>1</f>
        <v>1</v>
      </c>
      <c r="E24" s="9">
        <f>March!E24+D24</f>
        <v>1</v>
      </c>
      <c r="F24" s="17">
        <f>1</f>
        <v>1</v>
      </c>
      <c r="G24" s="9">
        <f>March!G24+F24</f>
        <v>1</v>
      </c>
      <c r="H24" s="19"/>
      <c r="I24" s="9">
        <f>March!I24+H24</f>
        <v>0</v>
      </c>
      <c r="J24" s="24"/>
      <c r="K24" s="9">
        <f>March!K24+J24</f>
        <v>0</v>
      </c>
    </row>
    <row r="25" spans="1:11" s="5" customFormat="1" ht="18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  <c r="J25" s="24"/>
      <c r="K25" s="9">
        <f>March!K25+J25</f>
        <v>0</v>
      </c>
    </row>
    <row r="26" spans="1:11" s="5" customFormat="1" ht="18" customHeight="1">
      <c r="A26" s="9" t="s">
        <v>28</v>
      </c>
      <c r="B26" s="13">
        <v>160</v>
      </c>
      <c r="C26" s="9">
        <f>March!C26+B26</f>
        <v>630</v>
      </c>
      <c r="D26" s="15">
        <f>126+3+10+10+10+10+1+4+2</f>
        <v>176</v>
      </c>
      <c r="E26" s="9">
        <f>March!E26+D26</f>
        <v>277</v>
      </c>
      <c r="F26" s="17">
        <f>30+200+50+97+92</f>
        <v>469</v>
      </c>
      <c r="G26" s="9">
        <f>March!G26+F26</f>
        <v>4519</v>
      </c>
      <c r="H26" s="19"/>
      <c r="I26" s="9">
        <f>March!I26+H26</f>
        <v>0</v>
      </c>
      <c r="J26" s="24"/>
      <c r="K26" s="9">
        <f>March!K26+J26</f>
        <v>0</v>
      </c>
    </row>
    <row r="27" spans="1:11" s="5" customFormat="1" ht="18" customHeight="1">
      <c r="A27" s="9" t="s">
        <v>29</v>
      </c>
      <c r="B27" s="13">
        <f>4+8+17+29+15+24+117+33+36+94+62+45+52+248+45+27+114+50+45+49+139+66+46+36+210+70+101+74+184+65+70+68+66+67+4+10+7+33+4+1+8+1+86+34+23+7+10+21+5+76+19+8+2+26+6+35+8+25</f>
        <v>2835</v>
      </c>
      <c r="C27" s="9">
        <f>March!C27+B27</f>
        <v>9730</v>
      </c>
      <c r="D27" s="15">
        <f>1+2+13+1+1+37+7+3+1+2+2+1+1+1+1+1+1+1+1+1+1+1+1+1+12+9+1+76+1+2+45+11+27+36+2+11+2+2+1+1+1+2+17</f>
        <v>342</v>
      </c>
      <c r="E27" s="9">
        <f>March!E27+D27</f>
        <v>1878</v>
      </c>
      <c r="F27" s="17">
        <f>27+21+42+1+1+1+1+1+1+1+2+2+2+1+1+1+1+1+1+1+6+8+14+11+2+5+23+25+2+24+1+2+9+41+8+1+22+2+12</f>
        <v>328</v>
      </c>
      <c r="G27" s="9">
        <f>March!G27+F27</f>
        <v>3392</v>
      </c>
      <c r="H27" s="19"/>
      <c r="I27" s="9">
        <f>March!I27+H27</f>
        <v>0</v>
      </c>
      <c r="J27" s="24"/>
      <c r="K27" s="9">
        <f>March!K27+J27</f>
        <v>0</v>
      </c>
    </row>
    <row r="28" spans="1:11" s="5" customFormat="1" ht="18" customHeight="1">
      <c r="A28" s="9" t="s">
        <v>30</v>
      </c>
      <c r="B28" s="13"/>
      <c r="C28" s="9">
        <f>March!C28+B28</f>
        <v>416</v>
      </c>
      <c r="D28" s="15">
        <f>2</f>
        <v>2</v>
      </c>
      <c r="E28" s="9">
        <f>March!E28+D28</f>
        <v>2</v>
      </c>
      <c r="F28" s="17">
        <f>180</f>
        <v>180</v>
      </c>
      <c r="G28" s="9">
        <f>March!G28+F28</f>
        <v>211</v>
      </c>
      <c r="H28" s="19"/>
      <c r="I28" s="9">
        <f>March!I28+H28</f>
        <v>0</v>
      </c>
      <c r="J28" s="24"/>
      <c r="K28" s="9">
        <f>March!K28+J28</f>
        <v>0</v>
      </c>
    </row>
    <row r="29" spans="1:11" s="5" customFormat="1" ht="18" customHeight="1">
      <c r="A29" s="9" t="s">
        <v>31</v>
      </c>
      <c r="B29" s="13">
        <f>77+85+73+70+132+72+85+185+106+26+26+66+59+52+60+187+70+40+20+58+14+80+92+114+231+29+123+12+65+65+14+82+136+67+95+50+81+43+21+64+94+56+41+91+78+84+40+144+322+101+202+115+85+60+301+61+24+23+36+40+110+115+84+67+128+128+115+122+122+78+60+40+88+62+54+24+96+75+27+110+96+100+138+144+62+19+31+94+54+88+98+32+74+24+60+62+60+63+101+124+64+21+48+74+66+135+61+58+114+108+66+49+199+107+104+21+128+58+20+9+69+95+43+33+108+105+79+87+246+105+102+22+14+67+85+82+75+115+26+76+125+186+23+30+62+17+20+18+8+30+84+4+62+86+118+48+63+62+72+66+105+223+107+90+124+120+66+63+247+36+33+31+74+77+25+17+10+64+2+124+60+60+67+48+38+29+83+39</f>
        <v>14644</v>
      </c>
      <c r="C29" s="9">
        <f>March!C29+B29</f>
        <v>45209</v>
      </c>
      <c r="D29" s="15">
        <f>1+1+22+1+1+1+1+1+47+3+1+1+1+1+1+1+19+1+2+10+13+42+2+3+3+3+1+1+2+1+1+1+1+2+2+14+2+40+4+4+1+24+3+2+3+2+2+12</f>
        <v>308</v>
      </c>
      <c r="E29" s="9">
        <f>March!E29+D29</f>
        <v>1193</v>
      </c>
      <c r="F29" s="17">
        <f>3+22+55</f>
        <v>80</v>
      </c>
      <c r="G29" s="9">
        <f>March!G29+F29</f>
        <v>315</v>
      </c>
      <c r="H29" s="19"/>
      <c r="I29" s="9">
        <f>March!I29+H29</f>
        <v>0</v>
      </c>
      <c r="J29" s="24">
        <f>3+2+1+2</f>
        <v>8</v>
      </c>
      <c r="K29" s="9">
        <f>March!K29+J29</f>
        <v>33</v>
      </c>
    </row>
    <row r="30" spans="1:11" s="5" customFormat="1" ht="18" customHeight="1">
      <c r="A30" s="9" t="s">
        <v>32</v>
      </c>
      <c r="B30" s="13">
        <f>37+9+206+17+8+2+16+38+77+64+7+10+14+47+1019+496+61+92+16+309+143+25+1+1+22+6+80+81+309</f>
        <v>3213</v>
      </c>
      <c r="C30" s="9">
        <f>March!C30+B30</f>
        <v>25502</v>
      </c>
      <c r="D30" s="15">
        <f>31+1+1+153+1+214+20+5+8+3+5+1+8</f>
        <v>451</v>
      </c>
      <c r="E30" s="9">
        <f>March!E30+D30</f>
        <v>2000</v>
      </c>
      <c r="F30" s="17">
        <f>28+50+10+45+14</f>
        <v>147</v>
      </c>
      <c r="G30" s="9">
        <f>March!G30+F30</f>
        <v>229</v>
      </c>
      <c r="H30" s="19"/>
      <c r="I30" s="9">
        <f>March!I30+H30</f>
        <v>0</v>
      </c>
      <c r="J30" s="24"/>
      <c r="K30" s="9">
        <f>March!K30+J30</f>
        <v>0</v>
      </c>
    </row>
    <row r="31" spans="1:11" s="5" customFormat="1" ht="18" customHeight="1">
      <c r="A31" s="9" t="s">
        <v>33</v>
      </c>
      <c r="B31" s="13">
        <f>82+102+77+62+139+58+107+37+73+124+72+290+213+140+67+94+205+182+58+24+163+210+72+235+130+65+31+63+119+85+149+170+26+137+73</f>
        <v>3934</v>
      </c>
      <c r="C31" s="9">
        <f>March!C31+B31</f>
        <v>25182</v>
      </c>
      <c r="D31" s="15">
        <f>1+1+5+1+2+1+4+1+2+3+1+5+1+1+161+1+2+1+5+3+1+2+1+1+1+7+1+1+1+2+1+1+80+1+1+1+2+1+2+1+1+1+1+90+2+3+1+1+1+6+17+7+1+1+1+86+4+54+8+7+2+4+64+17+20+37+56+1+10+40+11+6+10+7+3+3+5+4</f>
        <v>904</v>
      </c>
      <c r="E31" s="9">
        <f>March!E31+D31</f>
        <v>4240</v>
      </c>
      <c r="F31" s="17">
        <f>50+1+1+96</f>
        <v>148</v>
      </c>
      <c r="G31" s="9">
        <f>March!G31+F31</f>
        <v>1100</v>
      </c>
      <c r="H31" s="19"/>
      <c r="I31" s="9">
        <f>March!I31+H31</f>
        <v>0</v>
      </c>
      <c r="J31" s="24"/>
      <c r="K31" s="9">
        <f>March!K31+J31</f>
        <v>0</v>
      </c>
    </row>
    <row r="32" spans="1:11" s="5" customFormat="1" ht="18" customHeight="1">
      <c r="A32" s="9" t="s">
        <v>34</v>
      </c>
      <c r="B32" s="13"/>
      <c r="C32" s="9">
        <f>March!C32+B32</f>
        <v>184</v>
      </c>
      <c r="D32" s="15"/>
      <c r="E32" s="9">
        <f>March!E32+D32</f>
        <v>1</v>
      </c>
      <c r="F32" s="17"/>
      <c r="G32" s="9">
        <f>March!G32+F32</f>
        <v>0</v>
      </c>
      <c r="H32" s="19"/>
      <c r="I32" s="9">
        <f>March!I32+H32</f>
        <v>0</v>
      </c>
      <c r="J32" s="24"/>
      <c r="K32" s="9">
        <f>March!K32+J32</f>
        <v>0</v>
      </c>
    </row>
    <row r="33" spans="1:11" s="5" customFormat="1" ht="18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  <c r="J33" s="24"/>
      <c r="K33" s="9">
        <f>March!K33+J33</f>
        <v>0</v>
      </c>
    </row>
    <row r="34" spans="1:11" s="5" customFormat="1" ht="18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  <c r="J34" s="24"/>
      <c r="K34" s="9">
        <f>March!K34+J34</f>
        <v>0</v>
      </c>
    </row>
    <row r="35" spans="1:11" s="5" customFormat="1" ht="18" customHeight="1">
      <c r="A35" s="9" t="s">
        <v>37</v>
      </c>
      <c r="B35" s="13">
        <v>100</v>
      </c>
      <c r="C35" s="9">
        <f>March!C35+B35</f>
        <v>1686</v>
      </c>
      <c r="D35" s="15"/>
      <c r="E35" s="9">
        <f>March!E35+D35</f>
        <v>1</v>
      </c>
      <c r="F35" s="17">
        <f>125+120+120+120+125+200</f>
        <v>810</v>
      </c>
      <c r="G35" s="9">
        <f>March!G35+F35</f>
        <v>2523</v>
      </c>
      <c r="H35" s="19"/>
      <c r="I35" s="9">
        <f>March!I35+H35</f>
        <v>0</v>
      </c>
      <c r="J35" s="24"/>
      <c r="K35" s="9">
        <f>March!K35+J35</f>
        <v>0</v>
      </c>
    </row>
    <row r="36" spans="1:11" s="5" customFormat="1" ht="18" customHeight="1">
      <c r="A36" s="9" t="s">
        <v>38</v>
      </c>
      <c r="B36" s="13">
        <f>6+70</f>
        <v>76</v>
      </c>
      <c r="C36" s="9">
        <f>March!C36+B36</f>
        <v>112</v>
      </c>
      <c r="D36" s="15"/>
      <c r="E36" s="9">
        <f>March!E36+D36</f>
        <v>69</v>
      </c>
      <c r="F36" s="17">
        <f>38+1+5+90+37</f>
        <v>171</v>
      </c>
      <c r="G36" s="9">
        <f>March!G36+F36</f>
        <v>592</v>
      </c>
      <c r="H36" s="19"/>
      <c r="I36" s="9">
        <f>March!I36+H36</f>
        <v>0</v>
      </c>
      <c r="J36" s="24"/>
      <c r="K36" s="9">
        <f>March!K36+J36</f>
        <v>0</v>
      </c>
    </row>
    <row r="37" spans="1:11" s="5" customFormat="1" ht="18" customHeight="1">
      <c r="A37" s="9" t="s">
        <v>39</v>
      </c>
      <c r="B37" s="13"/>
      <c r="C37" s="9">
        <f>March!C37+B37</f>
        <v>0</v>
      </c>
      <c r="D37" s="15"/>
      <c r="E37" s="9">
        <f>March!E37+D37</f>
        <v>0</v>
      </c>
      <c r="F37" s="17"/>
      <c r="G37" s="9">
        <f>March!G37+F37</f>
        <v>0</v>
      </c>
      <c r="H37" s="19"/>
      <c r="I37" s="9">
        <f>March!I37+H37</f>
        <v>0</v>
      </c>
      <c r="J37" s="24"/>
      <c r="K37" s="9">
        <f>March!K37+J37</f>
        <v>0</v>
      </c>
    </row>
    <row r="38" spans="1:11" s="5" customFormat="1" ht="18" customHeight="1">
      <c r="A38" s="9" t="s">
        <v>40</v>
      </c>
      <c r="B38" s="13">
        <f>34+78+75+80+132+55+17+256+80+101+80+54+58+2+81+104+260+2+72+4+65+21+188+127+77+86+250+200+47+150+70+73+60+62+120+70+48+150+65+70+79+71+245+227+83+53</f>
        <v>4382</v>
      </c>
      <c r="C38" s="9">
        <f>March!C38+B38</f>
        <v>47569</v>
      </c>
      <c r="D38" s="15">
        <f>20+2+1+1+1+2+1+1+227</f>
        <v>256</v>
      </c>
      <c r="E38" s="9">
        <f>March!E38+D38</f>
        <v>869</v>
      </c>
      <c r="F38" s="17">
        <f>2</f>
        <v>2</v>
      </c>
      <c r="G38" s="9">
        <f>March!G38+F38</f>
        <v>2</v>
      </c>
      <c r="H38" s="19"/>
      <c r="I38" s="9">
        <f>March!I38+H38</f>
        <v>0</v>
      </c>
      <c r="J38" s="24"/>
      <c r="K38" s="9">
        <f>March!K38+J38</f>
        <v>0</v>
      </c>
    </row>
    <row r="39" spans="1:11" s="5" customFormat="1" ht="18" customHeight="1">
      <c r="A39" s="9" t="s">
        <v>41</v>
      </c>
      <c r="B39" s="13">
        <f>100</f>
        <v>100</v>
      </c>
      <c r="C39" s="9">
        <f>March!C39+B39</f>
        <v>100</v>
      </c>
      <c r="D39" s="15"/>
      <c r="E39" s="9">
        <f>March!E39+D39</f>
        <v>15</v>
      </c>
      <c r="F39" s="17">
        <f>24+24+23+21+24+24+100+134+1+1</f>
        <v>376</v>
      </c>
      <c r="G39" s="9">
        <f>March!G39+F39</f>
        <v>1834</v>
      </c>
      <c r="H39" s="19"/>
      <c r="I39" s="9">
        <f>March!I39+H39</f>
        <v>0</v>
      </c>
      <c r="J39" s="24"/>
      <c r="K39" s="9">
        <f>March!K39+J39</f>
        <v>0</v>
      </c>
    </row>
    <row r="40" spans="1:11" s="5" customFormat="1" ht="18" customHeight="1">
      <c r="A40" s="9" t="s">
        <v>42</v>
      </c>
      <c r="B40" s="13">
        <f>214+51+28+710+124+106+72+57+58+74+62+181+182+245+125+124</f>
        <v>2413</v>
      </c>
      <c r="C40" s="9">
        <f>March!C40+B40</f>
        <v>4461</v>
      </c>
      <c r="D40" s="15">
        <f>1+2+6+1+1</f>
        <v>11</v>
      </c>
      <c r="E40" s="9">
        <f>March!E40+D40</f>
        <v>222</v>
      </c>
      <c r="F40" s="17">
        <f>1+3+2</f>
        <v>6</v>
      </c>
      <c r="G40" s="9">
        <f>March!G40+F40</f>
        <v>6</v>
      </c>
      <c r="H40" s="19"/>
      <c r="I40" s="9">
        <f>March!I40+H40</f>
        <v>0</v>
      </c>
      <c r="J40" s="24"/>
      <c r="K40" s="9">
        <f>March!K40+J40</f>
        <v>0</v>
      </c>
    </row>
    <row r="41" spans="1:11" s="5" customFormat="1" ht="18" customHeight="1">
      <c r="A41" s="9" t="s">
        <v>43</v>
      </c>
      <c r="B41" s="13">
        <f>22+20+7</f>
        <v>49</v>
      </c>
      <c r="C41" s="9">
        <f>March!C41+B41</f>
        <v>407</v>
      </c>
      <c r="D41" s="15"/>
      <c r="E41" s="9">
        <f>March!E41+D41</f>
        <v>6</v>
      </c>
      <c r="F41" s="17">
        <f>115</f>
        <v>115</v>
      </c>
      <c r="G41" s="9">
        <f>March!G41+F41</f>
        <v>491</v>
      </c>
      <c r="H41" s="19"/>
      <c r="I41" s="9">
        <f>March!I41+H41</f>
        <v>0</v>
      </c>
      <c r="J41" s="24"/>
      <c r="K41" s="9">
        <f>March!K41+J41</f>
        <v>0</v>
      </c>
    </row>
    <row r="42" spans="1:11" s="5" customFormat="1" ht="18" customHeight="1">
      <c r="A42" s="9" t="s">
        <v>44</v>
      </c>
      <c r="B42" s="13"/>
      <c r="C42" s="9">
        <f>March!C42+B42</f>
        <v>428</v>
      </c>
      <c r="D42" s="15"/>
      <c r="E42" s="9">
        <f>March!E42+D42</f>
        <v>32</v>
      </c>
      <c r="F42" s="17">
        <f>14</f>
        <v>14</v>
      </c>
      <c r="G42" s="9">
        <f>March!G42+F42</f>
        <v>257</v>
      </c>
      <c r="H42" s="19"/>
      <c r="I42" s="9">
        <f>March!I42+H42</f>
        <v>0</v>
      </c>
      <c r="J42" s="24"/>
      <c r="K42" s="9">
        <f>March!K42+J42</f>
        <v>0</v>
      </c>
    </row>
    <row r="43" spans="1:11" s="5" customFormat="1" ht="18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  <c r="J43" s="24"/>
      <c r="K43" s="9">
        <f>March!K43+J43</f>
        <v>0</v>
      </c>
    </row>
    <row r="44" spans="1:11" s="5" customFormat="1" ht="18" customHeight="1">
      <c r="A44" s="9" t="s">
        <v>46</v>
      </c>
      <c r="B44" s="13">
        <f>128+246+156+105+228+98+121+148</f>
        <v>1230</v>
      </c>
      <c r="C44" s="9">
        <f>March!C44+B44</f>
        <v>2182</v>
      </c>
      <c r="D44" s="15"/>
      <c r="E44" s="9">
        <f>March!E44+D44</f>
        <v>0</v>
      </c>
      <c r="F44" s="17"/>
      <c r="G44" s="9">
        <f>March!G44+F44</f>
        <v>0</v>
      </c>
      <c r="H44" s="19"/>
      <c r="I44" s="9">
        <f>March!I44+H44</f>
        <v>0</v>
      </c>
      <c r="J44" s="24"/>
      <c r="K44" s="9">
        <f>March!K44+J44</f>
        <v>0</v>
      </c>
    </row>
    <row r="45" spans="1:11" s="5" customFormat="1" ht="18" customHeight="1">
      <c r="A45" s="9" t="s">
        <v>47</v>
      </c>
      <c r="B45" s="13">
        <f>48+60+56+30+31+16+56+130+129+33+52+77+60+68+85+63+95+131+81+134+70+121+121+224+10+98+235+64+242+28+151+209+83+180+34+14+73+65+34+17+31+34+87+120+195+32+14+41+12+193+51+57+72+40+17+96+66+142+71+60+57+80+249+2+124+142+126+51+148+60+26+38+21+70+123+34+79+140+48+37+61+305+36+93+6+46+167+129+78+245+10+6+15+12+19+152+164+22+53+2+96+2+106+5+38+25+16+129+2+229+74+66+20+103+8+16+50+21+140+17+2+53+23+60+248+6+12+28+53+114+103+58+61+14+116+140+55+59+59+52+139+74+190+209+120+57+22+64+30+110+2+41+2+9+12+127+91+80+14+71+137+166+69+74+76+340+209+101+84+87+415+20+58+122+66+66+34+29+57+36+16+44+68+36+3+20+8+42+52+115+153+57+75+67+479+57+79+87+289+305+71+13+433+43+126+177+322+122+130+69+232+129+13+95+910</f>
        <v>19341</v>
      </c>
      <c r="C45" s="9">
        <f>March!C45+B45</f>
        <v>132984</v>
      </c>
      <c r="D45" s="15">
        <f>1+1+1+2+2+50+3+3+1+5+3+1+26+54+1+1+1+2+3+80+3+7+1+8+4+1+1+5+2+1+1+2+2+2+2+1+4+1+1+1+1+2+2+1+4+2+21+1+1+1+2+37</f>
        <v>366</v>
      </c>
      <c r="E45" s="9">
        <f>March!E45+D45</f>
        <v>3819</v>
      </c>
      <c r="F45" s="17">
        <f>2+1+9+20+45</f>
        <v>77</v>
      </c>
      <c r="G45" s="9">
        <f>March!G45+F45</f>
        <v>343</v>
      </c>
      <c r="H45" s="19"/>
      <c r="I45" s="9">
        <f>March!I45+H45</f>
        <v>0</v>
      </c>
      <c r="J45" s="24"/>
      <c r="K45" s="9">
        <f>March!K45+J45</f>
        <v>0</v>
      </c>
    </row>
    <row r="46" spans="1:11" s="5" customFormat="1" ht="18" customHeight="1">
      <c r="A46" s="9" t="s">
        <v>48</v>
      </c>
      <c r="B46" s="13">
        <f>70+64+130+63+96+108+61+203+94+113+130+89+115+140+68+67+59+234+113+98+58+50+57</f>
        <v>2280</v>
      </c>
      <c r="C46" s="9">
        <f>March!C46+B46</f>
        <v>8560</v>
      </c>
      <c r="D46" s="15"/>
      <c r="E46" s="9">
        <f>March!E46+D46</f>
        <v>53</v>
      </c>
      <c r="F46" s="17">
        <f>1+2</f>
        <v>3</v>
      </c>
      <c r="G46" s="9">
        <f>March!G46+F46</f>
        <v>803</v>
      </c>
      <c r="H46" s="19"/>
      <c r="I46" s="9">
        <f>March!I46+H46</f>
        <v>0</v>
      </c>
      <c r="J46" s="24"/>
      <c r="K46" s="9">
        <f>March!K46+J46</f>
        <v>0</v>
      </c>
    </row>
    <row r="47" spans="1:11" s="5" customFormat="1" ht="18" customHeight="1">
      <c r="A47" s="9" t="s">
        <v>49</v>
      </c>
      <c r="B47" s="13">
        <f>60+195</f>
        <v>255</v>
      </c>
      <c r="C47" s="9">
        <f>March!C47+B47</f>
        <v>1110</v>
      </c>
      <c r="D47" s="15">
        <f>6+3+1+9+50</f>
        <v>69</v>
      </c>
      <c r="E47" s="9">
        <f>March!E47+D47</f>
        <v>252</v>
      </c>
      <c r="F47" s="17">
        <f>200+200+200+250</f>
        <v>850</v>
      </c>
      <c r="G47" s="9">
        <f>March!G47+F47</f>
        <v>2977</v>
      </c>
      <c r="H47" s="19"/>
      <c r="I47" s="9">
        <f>March!I47+H47</f>
        <v>0</v>
      </c>
      <c r="J47" s="24"/>
      <c r="K47" s="9">
        <f>March!K47+J47</f>
        <v>0</v>
      </c>
    </row>
    <row r="48" spans="1:11" s="5" customFormat="1" ht="18" customHeight="1">
      <c r="A48" s="9" t="s">
        <v>50</v>
      </c>
      <c r="B48" s="13"/>
      <c r="C48" s="9">
        <f>March!C48+B48</f>
        <v>232</v>
      </c>
      <c r="D48" s="15"/>
      <c r="E48" s="9">
        <f>March!E48+D48</f>
        <v>11</v>
      </c>
      <c r="F48" s="17"/>
      <c r="G48" s="9">
        <f>March!G48+F48</f>
        <v>351</v>
      </c>
      <c r="H48" s="19"/>
      <c r="I48" s="9">
        <f>March!I48+H48</f>
        <v>0</v>
      </c>
      <c r="J48" s="24"/>
      <c r="K48" s="9">
        <f>March!K48+J48</f>
        <v>0</v>
      </c>
    </row>
    <row r="49" spans="1:11" s="5" customFormat="1" ht="18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>
        <f>1+35</f>
        <v>36</v>
      </c>
      <c r="G49" s="9">
        <f>March!G49+F49</f>
        <v>36</v>
      </c>
      <c r="H49" s="19"/>
      <c r="I49" s="9">
        <f>March!I49+H49</f>
        <v>0</v>
      </c>
      <c r="J49" s="24"/>
      <c r="K49" s="9">
        <f>March!K49+J49</f>
        <v>0</v>
      </c>
    </row>
    <row r="50" spans="1:11" s="5" customFormat="1" ht="18" customHeight="1">
      <c r="A50" s="9" t="s">
        <v>52</v>
      </c>
      <c r="B50" s="13">
        <f>73+67+110+59+81+106+235+232</f>
        <v>963</v>
      </c>
      <c r="C50" s="9">
        <f>March!C50+B50</f>
        <v>5583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  <c r="J50" s="24"/>
      <c r="K50" s="9">
        <f>March!K50+J50</f>
        <v>0</v>
      </c>
    </row>
    <row r="51" spans="1:11" s="5" customFormat="1" ht="18" customHeight="1">
      <c r="A51" s="9" t="s">
        <v>53</v>
      </c>
      <c r="B51" s="13"/>
      <c r="C51" s="9">
        <f>March!C51+B51</f>
        <v>0</v>
      </c>
      <c r="D51" s="15">
        <f>7</f>
        <v>7</v>
      </c>
      <c r="E51" s="9">
        <f>March!E51+D51</f>
        <v>7</v>
      </c>
      <c r="F51" s="17"/>
      <c r="G51" s="9">
        <f>March!G51+F51</f>
        <v>0</v>
      </c>
      <c r="H51" s="19"/>
      <c r="I51" s="9">
        <f>March!I51+H51</f>
        <v>0</v>
      </c>
      <c r="J51" s="24"/>
      <c r="K51" s="9">
        <f>March!K51+J51</f>
        <v>0</v>
      </c>
    </row>
    <row r="52" spans="1:11" s="5" customFormat="1" ht="18" customHeight="1">
      <c r="A52" s="9" t="s">
        <v>54</v>
      </c>
      <c r="B52" s="13">
        <f>2+62+61+47+16+68+50</f>
        <v>306</v>
      </c>
      <c r="C52" s="9">
        <f>March!C52+B52</f>
        <v>1179</v>
      </c>
      <c r="D52" s="15">
        <f>1</f>
        <v>1</v>
      </c>
      <c r="E52" s="9">
        <f>March!E52+D52</f>
        <v>1</v>
      </c>
      <c r="F52" s="17"/>
      <c r="G52" s="9">
        <f>March!G52+F52</f>
        <v>0</v>
      </c>
      <c r="H52" s="19"/>
      <c r="I52" s="9">
        <f>March!I52+H52</f>
        <v>0</v>
      </c>
      <c r="J52" s="24"/>
      <c r="K52" s="9">
        <f>March!K52+J52</f>
        <v>0</v>
      </c>
    </row>
    <row r="53" spans="1:11" s="5" customFormat="1" ht="18" customHeight="1">
      <c r="A53" s="9" t="s">
        <v>55</v>
      </c>
      <c r="B53" s="13">
        <f>22+14+14+7+34+83+25+31+10+75+17+43+159+7+120+128+24+75+15+25+56+5+18+13+23+11+1+29+97+8+13+112+502</f>
        <v>1816</v>
      </c>
      <c r="C53" s="9">
        <f>March!C53+B53</f>
        <v>7706</v>
      </c>
      <c r="D53" s="15">
        <f>119+1+12+2+1+1+3+1+1+10+5+1+2+3+115+10+4+32+10+1+1+2+1+2+1+2+1+1+2+2+1+152+20+15+3+1+6</f>
        <v>547</v>
      </c>
      <c r="E53" s="9">
        <f>March!E53+D53</f>
        <v>1452</v>
      </c>
      <c r="F53" s="17">
        <f>16+17+38+34+3+25+1+31+6+2+1+118+1+2+1+2+8+1+1+1+1+2+1+1+1+3+2+20+4+1+1+1+18+10+10+100+100+15+30+1+1+32+42+7+30+2+1+6+3+1+1+18+38+4+1+1+1+72+21+50+72+10+21+35+1+19+19+29+6+1+55+10+10+9+140+1+56+50+1+5+15+60+68+6+44+24+175+150+5+50+4+15+14+18+6+121+47+53+9+72+72+50+51+12+160+23+91+3+5+43+32+75+26+18+11+11+44+21+52+50+231</f>
        <v>3550</v>
      </c>
      <c r="G53" s="9">
        <f>March!G53+F53</f>
        <v>14163</v>
      </c>
      <c r="H53" s="19"/>
      <c r="I53" s="9">
        <f>March!I53+H53</f>
        <v>0</v>
      </c>
      <c r="J53" s="24"/>
      <c r="K53" s="9">
        <f>March!K53+J53</f>
        <v>0</v>
      </c>
    </row>
    <row r="54" spans="1:11" s="5" customFormat="1" ht="18" customHeight="1" thickBot="1">
      <c r="A54" s="10" t="s">
        <v>56</v>
      </c>
      <c r="B54" s="13">
        <f>71+154</f>
        <v>225</v>
      </c>
      <c r="C54" s="9">
        <f>March!C54+B54</f>
        <v>2809</v>
      </c>
      <c r="D54" s="16">
        <f>2+49+51+53+18+50+1+1+2</f>
        <v>227</v>
      </c>
      <c r="E54" s="9">
        <f>March!E54+D54</f>
        <v>854</v>
      </c>
      <c r="F54" s="17">
        <f>89</f>
        <v>89</v>
      </c>
      <c r="G54" s="9">
        <f>March!G54+F54</f>
        <v>89</v>
      </c>
      <c r="H54" s="19"/>
      <c r="I54" s="9">
        <f>March!I54+H54</f>
        <v>0</v>
      </c>
      <c r="J54" s="25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91612</v>
      </c>
      <c r="C55" s="11"/>
      <c r="D55" s="11">
        <f>SUM(D5:D54)</f>
        <v>4849</v>
      </c>
      <c r="E55" s="11"/>
      <c r="F55" s="11">
        <f>SUM(F5:F54)</f>
        <v>11048</v>
      </c>
      <c r="G55" s="11"/>
      <c r="H55" s="11">
        <f>SUM(H5:H54)</f>
        <v>0</v>
      </c>
      <c r="I55" s="11"/>
      <c r="J55" s="11">
        <f>SUM(J5:J54)</f>
        <v>8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393699</v>
      </c>
      <c r="D57" s="11"/>
      <c r="E57" s="11">
        <f>March!E57+D55</f>
        <v>19820</v>
      </c>
      <c r="F57" s="11"/>
      <c r="G57" s="11">
        <f>March!G57+F55</f>
        <v>44954</v>
      </c>
      <c r="H57" s="11"/>
      <c r="I57" s="11">
        <f>March!I57+H55</f>
        <v>34</v>
      </c>
      <c r="J57" s="11"/>
      <c r="K57" s="11">
        <f>March!K57+J55</f>
        <v>35</v>
      </c>
    </row>
    <row r="58" s="5" customFormat="1" ht="18" customHeight="1" thickTop="1">
      <c r="S58" s="4"/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1701</v>
      </c>
    </row>
    <row r="61" s="5" customFormat="1" ht="18" customHeight="1">
      <c r="S61" s="2"/>
    </row>
    <row r="62" spans="1:19" s="4" customFormat="1" ht="18" customHeight="1">
      <c r="A62" s="4" t="s">
        <v>60</v>
      </c>
      <c r="E62" s="4">
        <f>March!E62+D60</f>
        <v>2911</v>
      </c>
      <c r="G62" s="4">
        <f>March!G62+F60</f>
        <v>6199</v>
      </c>
      <c r="S62" s="2"/>
    </row>
    <row r="63" s="5" customFormat="1" ht="18" customHeight="1">
      <c r="S63" s="2"/>
    </row>
    <row r="64" s="5" customFormat="1" ht="18" customHeight="1">
      <c r="S64" s="2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A35" sqref="A3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65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April!C5+B5</f>
        <v>66</v>
      </c>
      <c r="D5" s="15">
        <f>2</f>
        <v>2</v>
      </c>
      <c r="E5" s="9">
        <f>April!E5+D5</f>
        <v>6</v>
      </c>
      <c r="F5" s="17"/>
      <c r="G5" s="9">
        <f>April!G5+F5</f>
        <v>0</v>
      </c>
      <c r="H5" s="19"/>
      <c r="I5" s="9">
        <f>April!I5+H5</f>
        <v>0</v>
      </c>
      <c r="J5" s="24"/>
      <c r="K5" s="9">
        <f>April!K5+J5</f>
        <v>0</v>
      </c>
    </row>
    <row r="6" spans="1:11" s="5" customFormat="1" ht="18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  <c r="J6" s="24"/>
      <c r="K6" s="9">
        <f>April!K6+J6</f>
        <v>0</v>
      </c>
    </row>
    <row r="7" spans="1:11" s="5" customFormat="1" ht="18" customHeight="1">
      <c r="A7" s="9" t="s">
        <v>9</v>
      </c>
      <c r="B7" s="13"/>
      <c r="C7" s="9">
        <f>April!C7+B7</f>
        <v>84</v>
      </c>
      <c r="D7" s="15"/>
      <c r="E7" s="9">
        <f>April!E7+D7</f>
        <v>125</v>
      </c>
      <c r="F7" s="17"/>
      <c r="G7" s="9">
        <f>April!G7+F7</f>
        <v>840</v>
      </c>
      <c r="H7" s="19"/>
      <c r="I7" s="9">
        <f>April!I7+H7</f>
        <v>0</v>
      </c>
      <c r="J7" s="24"/>
      <c r="K7" s="9">
        <f>April!K7+J7</f>
        <v>0</v>
      </c>
    </row>
    <row r="8" spans="1:11" s="5" customFormat="1" ht="18" customHeight="1">
      <c r="A8" s="9" t="s">
        <v>10</v>
      </c>
      <c r="B8" s="13">
        <f>1+88+60+85+284</f>
        <v>518</v>
      </c>
      <c r="C8" s="9">
        <f>April!C8+B8</f>
        <v>2145</v>
      </c>
      <c r="D8" s="15">
        <f>95</f>
        <v>95</v>
      </c>
      <c r="E8" s="9">
        <f>April!E8+D8</f>
        <v>142</v>
      </c>
      <c r="F8" s="17"/>
      <c r="G8" s="9">
        <f>April!G8+F8</f>
        <v>0</v>
      </c>
      <c r="H8" s="19"/>
      <c r="I8" s="9">
        <f>April!I8+H8</f>
        <v>0</v>
      </c>
      <c r="J8" s="24"/>
      <c r="K8" s="9">
        <f>April!K8+J8</f>
        <v>0</v>
      </c>
    </row>
    <row r="9" spans="1:11" s="5" customFormat="1" ht="18" customHeight="1">
      <c r="A9" s="9" t="s">
        <v>11</v>
      </c>
      <c r="B9" s="13">
        <f>1+201+647</f>
        <v>849</v>
      </c>
      <c r="C9" s="9">
        <f>April!C9+B9</f>
        <v>2333</v>
      </c>
      <c r="D9" s="15">
        <f>2+60</f>
        <v>62</v>
      </c>
      <c r="E9" s="9">
        <f>April!E9+D9</f>
        <v>830</v>
      </c>
      <c r="F9" s="17">
        <f>168+173+90+90+1</f>
        <v>522</v>
      </c>
      <c r="G9" s="9">
        <f>April!G9+F9</f>
        <v>2802</v>
      </c>
      <c r="H9" s="19"/>
      <c r="I9" s="9">
        <f>April!I9+H9</f>
        <v>0</v>
      </c>
      <c r="J9" s="24"/>
      <c r="K9" s="9">
        <f>April!K9+J9</f>
        <v>0</v>
      </c>
    </row>
    <row r="10" spans="1:11" s="5" customFormat="1" ht="18" customHeight="1">
      <c r="A10" s="9" t="s">
        <v>12</v>
      </c>
      <c r="B10" s="13">
        <f>94+90+94+95+108+112+109+110+95+94+120+101+43+21+92+102+84+91+114+96+104+67+37+91+86+101+103+115+86+120+86+106+114+91+84+90+89+99+90+105+110+107+87+87+74+31+76+43+30+74+39+44+45+87+87+40+43+83+19+16+6+37+37+33+108+82+87+96+98+114+32+27+106+106+85+3013</f>
        <v>9018</v>
      </c>
      <c r="C10" s="9">
        <f>April!C10+B10</f>
        <v>31196</v>
      </c>
      <c r="D10" s="15">
        <f>11</f>
        <v>11</v>
      </c>
      <c r="E10" s="9">
        <f>April!E10+D10</f>
        <v>77</v>
      </c>
      <c r="F10" s="17"/>
      <c r="G10" s="9">
        <f>April!G10+F10</f>
        <v>282</v>
      </c>
      <c r="H10" s="19"/>
      <c r="I10" s="9">
        <f>April!I10+H10</f>
        <v>34</v>
      </c>
      <c r="J10" s="24"/>
      <c r="K10" s="9">
        <f>April!K10+J10</f>
        <v>0</v>
      </c>
    </row>
    <row r="11" spans="1:11" s="5" customFormat="1" ht="18" customHeight="1">
      <c r="A11" s="9" t="s">
        <v>13</v>
      </c>
      <c r="B11" s="13"/>
      <c r="C11" s="9">
        <f>April!C11+B11</f>
        <v>2259</v>
      </c>
      <c r="D11" s="15">
        <f>11+1+1</f>
        <v>13</v>
      </c>
      <c r="E11" s="9">
        <f>April!E11+D11</f>
        <v>103</v>
      </c>
      <c r="F11" s="17"/>
      <c r="G11" s="9">
        <f>April!G11+F11</f>
        <v>681</v>
      </c>
      <c r="H11" s="19"/>
      <c r="I11" s="9">
        <f>April!I11+H11</f>
        <v>0</v>
      </c>
      <c r="J11" s="24"/>
      <c r="K11" s="9">
        <f>April!K11+J11</f>
        <v>2</v>
      </c>
    </row>
    <row r="12" spans="1:11" s="5" customFormat="1" ht="18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  <c r="J12" s="24"/>
      <c r="K12" s="9">
        <f>April!K12+J12</f>
        <v>0</v>
      </c>
    </row>
    <row r="13" spans="1:11" s="5" customFormat="1" ht="18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J13" s="24"/>
      <c r="K13" s="9">
        <f>April!K13+J13</f>
        <v>0</v>
      </c>
    </row>
    <row r="14" spans="1:11" s="5" customFormat="1" ht="18" customHeight="1">
      <c r="A14" s="9" t="s">
        <v>16</v>
      </c>
      <c r="B14" s="13">
        <f>49+76</f>
        <v>125</v>
      </c>
      <c r="C14" s="9">
        <f>April!C14+B14</f>
        <v>232</v>
      </c>
      <c r="D14" s="15"/>
      <c r="E14" s="9">
        <f>April!E14+D14</f>
        <v>0</v>
      </c>
      <c r="F14" s="17">
        <f>25</f>
        <v>25</v>
      </c>
      <c r="G14" s="9">
        <f>April!G14+F14</f>
        <v>27</v>
      </c>
      <c r="H14" s="19"/>
      <c r="I14" s="9">
        <f>April!I14+H14</f>
        <v>0</v>
      </c>
      <c r="J14" s="24"/>
      <c r="K14" s="9">
        <f>April!K14+J14</f>
        <v>0</v>
      </c>
    </row>
    <row r="15" spans="1:11" s="5" customFormat="1" ht="18" customHeight="1">
      <c r="A15" s="9" t="s">
        <v>17</v>
      </c>
      <c r="B15" s="13">
        <f>70+105+101</f>
        <v>276</v>
      </c>
      <c r="C15" s="9">
        <f>April!C15+B15</f>
        <v>1172</v>
      </c>
      <c r="D15" s="15">
        <f>2</f>
        <v>2</v>
      </c>
      <c r="E15" s="9">
        <f>April!E15+D15</f>
        <v>7</v>
      </c>
      <c r="F15" s="17"/>
      <c r="G15" s="9">
        <f>April!G15+F15</f>
        <v>102</v>
      </c>
      <c r="H15" s="19"/>
      <c r="I15" s="9">
        <f>April!I15+H15</f>
        <v>0</v>
      </c>
      <c r="J15" s="24"/>
      <c r="K15" s="9">
        <f>April!K15+J15</f>
        <v>0</v>
      </c>
    </row>
    <row r="16" spans="1:11" s="5" customFormat="1" ht="18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  <c r="J16" s="24"/>
      <c r="K16" s="9">
        <f>April!K16+J16</f>
        <v>0</v>
      </c>
    </row>
    <row r="17" spans="1:11" s="5" customFormat="1" ht="18" customHeight="1">
      <c r="A17" s="9" t="s">
        <v>19</v>
      </c>
      <c r="B17" s="13">
        <f>45+35+50</f>
        <v>130</v>
      </c>
      <c r="C17" s="9">
        <f>April!C17+B17</f>
        <v>1881</v>
      </c>
      <c r="D17" s="15"/>
      <c r="E17" s="9">
        <f>April!E17+D17</f>
        <v>179</v>
      </c>
      <c r="F17" s="17">
        <f>74+130+128+220+150</f>
        <v>702</v>
      </c>
      <c r="G17" s="9">
        <f>April!G17+F17</f>
        <v>843</v>
      </c>
      <c r="H17" s="19"/>
      <c r="I17" s="9">
        <f>April!I17+H17</f>
        <v>0</v>
      </c>
      <c r="J17" s="24"/>
      <c r="K17" s="9">
        <f>April!K17+J17</f>
        <v>0</v>
      </c>
    </row>
    <row r="18" spans="1:11" s="5" customFormat="1" ht="18" customHeight="1">
      <c r="A18" s="9" t="s">
        <v>20</v>
      </c>
      <c r="B18" s="13">
        <f>1+10+1+3+119+80+70+70+70+70</f>
        <v>494</v>
      </c>
      <c r="C18" s="9">
        <f>April!C18+B18</f>
        <v>2692</v>
      </c>
      <c r="D18" s="15">
        <f>1+1+1+1+1+1</f>
        <v>6</v>
      </c>
      <c r="E18" s="9">
        <f>April!E18+D18</f>
        <v>315</v>
      </c>
      <c r="F18" s="17">
        <f>21+21+21+21+21+21</f>
        <v>126</v>
      </c>
      <c r="G18" s="9">
        <f>April!G18+F18</f>
        <v>578</v>
      </c>
      <c r="H18" s="19"/>
      <c r="I18" s="9">
        <f>April!I18+H18</f>
        <v>0</v>
      </c>
      <c r="J18" s="24"/>
      <c r="K18" s="9">
        <f>April!K18+J18</f>
        <v>0</v>
      </c>
    </row>
    <row r="19" spans="1:11" s="5" customFormat="1" ht="18" customHeight="1">
      <c r="A19" s="9" t="s">
        <v>21</v>
      </c>
      <c r="B19" s="13">
        <f>110+360</f>
        <v>470</v>
      </c>
      <c r="C19" s="9">
        <f>April!C19+B19</f>
        <v>3853</v>
      </c>
      <c r="D19" s="15">
        <f>2+120+20+2+110</f>
        <v>254</v>
      </c>
      <c r="E19" s="9">
        <f>April!E19+D19</f>
        <v>917</v>
      </c>
      <c r="F19" s="17">
        <f>150+150+150+100+16+150+150+150+19+15+200</f>
        <v>1250</v>
      </c>
      <c r="G19" s="9">
        <f>April!G19+F19</f>
        <v>4981</v>
      </c>
      <c r="H19" s="19"/>
      <c r="I19" s="9">
        <f>April!I19+H19</f>
        <v>0</v>
      </c>
      <c r="J19" s="24"/>
      <c r="K19" s="9">
        <f>April!K19+J19</f>
        <v>0</v>
      </c>
    </row>
    <row r="20" spans="1:11" s="5" customFormat="1" ht="18" customHeight="1">
      <c r="A20" s="9" t="s">
        <v>22</v>
      </c>
      <c r="B20" s="13">
        <f>138+60+60+114+218+120+41+56+45+53+59+133+62+61+126</f>
        <v>1346</v>
      </c>
      <c r="C20" s="9">
        <f>April!C20+B20</f>
        <v>11447</v>
      </c>
      <c r="D20" s="15">
        <f>2+6+9+1+1+1+1+1+1+1+1+1+2+2+2+1+2+3+1+1+3+4</f>
        <v>47</v>
      </c>
      <c r="E20" s="9">
        <f>April!E20+D20</f>
        <v>274</v>
      </c>
      <c r="F20" s="17"/>
      <c r="G20" s="9">
        <f>April!G20+F20</f>
        <v>594</v>
      </c>
      <c r="H20" s="19"/>
      <c r="I20" s="9">
        <f>April!I20+H20</f>
        <v>0</v>
      </c>
      <c r="J20" s="24"/>
      <c r="K20" s="9">
        <f>April!K20+J20</f>
        <v>0</v>
      </c>
    </row>
    <row r="21" spans="1:11" s="5" customFormat="1" ht="18" customHeight="1">
      <c r="A21" s="9" t="s">
        <v>23</v>
      </c>
      <c r="B21" s="13">
        <f>70+92+200+61+93+93+89+140+82+91+114+74+77+70+166+87+72+66+80+85+75+61+75+107+59+90+113+116+118+111+107+89+60+51+69+131+62+90+140+121+111+58+66+212+399+178+69+260+160+63+58+170+195+174+227+57+110+59+79+73+59+203+289+116+51+102+56+70+124+129+67+240+110+195+190+108+195+71+63+64+119+61+57</f>
        <v>9264</v>
      </c>
      <c r="C21" s="9">
        <f>April!C21+B21</f>
        <v>32868</v>
      </c>
      <c r="D21" s="15">
        <f>8+10</f>
        <v>18</v>
      </c>
      <c r="E21" s="9">
        <f>April!E21+D21</f>
        <v>99</v>
      </c>
      <c r="F21" s="17">
        <f>92+62</f>
        <v>154</v>
      </c>
      <c r="G21" s="9">
        <f>April!G21+F21</f>
        <v>1769</v>
      </c>
      <c r="H21" s="19"/>
      <c r="I21" s="9">
        <f>April!I21+H21</f>
        <v>0</v>
      </c>
      <c r="J21" s="24"/>
      <c r="K21" s="9">
        <f>April!K21+J21</f>
        <v>0</v>
      </c>
    </row>
    <row r="22" spans="1:11" s="5" customFormat="1" ht="18" customHeight="1">
      <c r="A22" s="9" t="s">
        <v>24</v>
      </c>
      <c r="B22" s="13"/>
      <c r="C22" s="9">
        <f>April!C22+B22</f>
        <v>0</v>
      </c>
      <c r="D22" s="15"/>
      <c r="E22" s="9">
        <f>April!E22+D22</f>
        <v>1</v>
      </c>
      <c r="F22" s="17"/>
      <c r="G22" s="9">
        <f>April!G22+F22</f>
        <v>0</v>
      </c>
      <c r="H22" s="19"/>
      <c r="I22" s="9">
        <f>April!I22+H22</f>
        <v>0</v>
      </c>
      <c r="J22" s="24"/>
      <c r="K22" s="9">
        <f>April!K22+J22</f>
        <v>0</v>
      </c>
    </row>
    <row r="23" spans="1:11" s="5" customFormat="1" ht="18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  <c r="J23" s="24"/>
      <c r="K23" s="9">
        <f>April!K23+J23</f>
        <v>0</v>
      </c>
    </row>
    <row r="24" spans="1:11" s="5" customFormat="1" ht="18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1</v>
      </c>
      <c r="H24" s="19"/>
      <c r="I24" s="9">
        <f>April!I24+H24</f>
        <v>0</v>
      </c>
      <c r="J24" s="24"/>
      <c r="K24" s="9">
        <f>April!K24+J24</f>
        <v>0</v>
      </c>
    </row>
    <row r="25" spans="1:11" s="5" customFormat="1" ht="18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  <c r="J25" s="24"/>
      <c r="K25" s="9">
        <f>April!K25+J25</f>
        <v>0</v>
      </c>
    </row>
    <row r="26" spans="1:11" s="5" customFormat="1" ht="18" customHeight="1">
      <c r="A26" s="9" t="s">
        <v>28</v>
      </c>
      <c r="B26" s="13">
        <f>40+21+164</f>
        <v>225</v>
      </c>
      <c r="C26" s="9">
        <f>April!C26+B26</f>
        <v>855</v>
      </c>
      <c r="D26" s="15">
        <f>2+40</f>
        <v>42</v>
      </c>
      <c r="E26" s="9">
        <f>April!E26+D26</f>
        <v>319</v>
      </c>
      <c r="F26" s="17">
        <f>2+130+130+65+65+200+200+100</f>
        <v>892</v>
      </c>
      <c r="G26" s="9">
        <f>April!G26+F26</f>
        <v>5411</v>
      </c>
      <c r="H26" s="19"/>
      <c r="I26" s="9">
        <f>April!I26+H26</f>
        <v>0</v>
      </c>
      <c r="J26" s="24"/>
      <c r="K26" s="9">
        <f>April!K26+J26</f>
        <v>0</v>
      </c>
    </row>
    <row r="27" spans="1:11" s="5" customFormat="1" ht="18" customHeight="1">
      <c r="A27" s="9" t="s">
        <v>29</v>
      </c>
      <c r="B27" s="13">
        <f>6+15+57+184+54+16+26+17+12+9+639+6+7+19+5+20+2+1+10+5+15+12+5+22+16+78+7+5+10+10+77+89+10+30+30+10+32+23+10+19+5+7+74</f>
        <v>1706</v>
      </c>
      <c r="C27" s="9">
        <f>April!C27+B27</f>
        <v>11436</v>
      </c>
      <c r="D27" s="15">
        <f>1+1+12+1+1+1+1+5+1+7+1+2+4+7+6+4+1+5+19+1+1+1+1+1+1+1+43+5+8+2+5+4+9+3+1+2+6+88+46+8+38+12+13+30+1+2+1</f>
        <v>414</v>
      </c>
      <c r="E27" s="9">
        <f>April!E27+D27</f>
        <v>2292</v>
      </c>
      <c r="F27" s="17">
        <f>2+37+35+32+6+37+31+32+21+4+1+1+18+34+5+5+5+24+2+13+7+36+30+48+23+13+62+13+13+19+5+13+74+35+105+20+69+33+29+21+2+1+1+1+1+1+1+1+6+25+18+39+61+11+7+5+18+2+20+12+1+18+3</f>
        <v>1268</v>
      </c>
      <c r="G27" s="9">
        <f>April!G27+F27</f>
        <v>4660</v>
      </c>
      <c r="H27" s="19"/>
      <c r="I27" s="9">
        <f>April!I27+H27</f>
        <v>0</v>
      </c>
      <c r="J27" s="24"/>
      <c r="K27" s="9">
        <f>April!K27+J27</f>
        <v>0</v>
      </c>
    </row>
    <row r="28" spans="1:11" s="5" customFormat="1" ht="18" customHeight="1">
      <c r="A28" s="9" t="s">
        <v>30</v>
      </c>
      <c r="B28" s="13">
        <f>76+102+75</f>
        <v>253</v>
      </c>
      <c r="C28" s="9">
        <f>April!C28+B28</f>
        <v>669</v>
      </c>
      <c r="D28" s="15"/>
      <c r="E28" s="9">
        <f>April!E28+D28</f>
        <v>2</v>
      </c>
      <c r="F28" s="17"/>
      <c r="G28" s="9">
        <f>April!G28+F28</f>
        <v>211</v>
      </c>
      <c r="H28" s="19"/>
      <c r="I28" s="9">
        <f>April!I28+H28</f>
        <v>0</v>
      </c>
      <c r="J28" s="24"/>
      <c r="K28" s="9">
        <f>April!K28+J28</f>
        <v>0</v>
      </c>
    </row>
    <row r="29" spans="1:11" s="5" customFormat="1" ht="18" customHeight="1">
      <c r="A29" s="9" t="s">
        <v>31</v>
      </c>
      <c r="B29" s="13">
        <f>90+20+34+69+92+61+17+101+174+52+152+92+40+88+68+110+63+120+112+62+43+1+65+86+86+60+60+76+56+55+26+71+49+100+121+103+98+110+117+115+75+38+115+105+151+175+63+106+61+10+85+49+106+88+10+88+62+78+33+56+277+130+80+84+11+56+19+76+62+62+45+35+55+55+55+65+84+104+120+65+71+96+70+105+43+68+100+104+76+57+70+64+107+148+60+60+85+56+25+6+78+40+197+153+109+28+30+49+65+56+98+104+201+120+392+82+290+325+94+89+14+64+185+108+117+114+17+79+124+65+62+10+62+35+18+20+62+5+18+63+10+63+14+7+52+38+65+12+124+18+38+14+86+90+82+94+77+85+89+86+53+16+12+6+6+17+37+22+70+54+58+43+34+75+30+95+30+97</f>
        <v>13421</v>
      </c>
      <c r="C29" s="9">
        <f>April!C29+B29</f>
        <v>58630</v>
      </c>
      <c r="D29" s="15">
        <f>1+1+12+6+30+14+3+3+1+1+10+33+8+9+1+18+10+2+12+10+16+16+1+1+1+4+1+1+1+1+11+3+7+2+12+6+5+3+28+1+48+48</f>
        <v>402</v>
      </c>
      <c r="E29" s="9">
        <f>April!E29+D29</f>
        <v>1595</v>
      </c>
      <c r="F29" s="17">
        <f>14+102+50+25+14+140+140+25+140+140</f>
        <v>790</v>
      </c>
      <c r="G29" s="9">
        <f>April!G29+F29</f>
        <v>1105</v>
      </c>
      <c r="H29" s="19"/>
      <c r="I29" s="9">
        <f>April!I29+H29</f>
        <v>0</v>
      </c>
      <c r="J29" s="24"/>
      <c r="K29" s="9">
        <f>April!K29+J29</f>
        <v>33</v>
      </c>
    </row>
    <row r="30" spans="1:11" s="5" customFormat="1" ht="18" customHeight="1">
      <c r="A30" s="9" t="s">
        <v>32</v>
      </c>
      <c r="B30" s="13">
        <f>18+24+144+2+60+140+59+5+8+21+200+250+17+24+32+82+40+20+12+1004+170+7+16+3+37+14+4+2+2+214+1+23+56+56+51+10+10</f>
        <v>2838</v>
      </c>
      <c r="C30" s="9">
        <f>April!C30+B30</f>
        <v>28340</v>
      </c>
      <c r="D30" s="15">
        <f>1+216+1+174+1+214+4+1+1+158+6+1+1+2+1+1+1</f>
        <v>784</v>
      </c>
      <c r="E30" s="9">
        <f>April!E30+D30</f>
        <v>2784</v>
      </c>
      <c r="F30" s="17">
        <f>27+16+27</f>
        <v>70</v>
      </c>
      <c r="G30" s="9">
        <f>April!G30+F30</f>
        <v>299</v>
      </c>
      <c r="H30" s="19"/>
      <c r="I30" s="9">
        <f>April!I30+H30</f>
        <v>0</v>
      </c>
      <c r="J30" s="24"/>
      <c r="K30" s="9">
        <f>April!K30+J30</f>
        <v>0</v>
      </c>
    </row>
    <row r="31" spans="1:11" s="5" customFormat="1" ht="18" customHeight="1">
      <c r="A31" s="9" t="s">
        <v>33</v>
      </c>
      <c r="B31" s="13">
        <f>400+217+15+367+392+85+97+180+110+236+18+57+60+74+72+178+188+56+8+116+7+5+39+172+60+56+41+29+90+42+108+60</f>
        <v>3635</v>
      </c>
      <c r="C31" s="9">
        <f>April!C31+B31</f>
        <v>28817</v>
      </c>
      <c r="D31" s="15">
        <f>1+6+4+1+65+3+6+1+1+39+40+21+72+5+40+210+28+1+2+4+1+1+1+1+1+6+2+2+182+1+100+42+1+5+1+1+24+134+26+22+13+22+7+41+13+7+59+45+180+10+4+103+67+180+59+45+3+3+24+55+12+15+15+15+15+7+12+11+45+4+19+12+8+26+9+3</f>
        <v>2272</v>
      </c>
      <c r="E31" s="9">
        <f>April!E31+D31</f>
        <v>6512</v>
      </c>
      <c r="F31" s="17">
        <f>52+4+91+92</f>
        <v>239</v>
      </c>
      <c r="G31" s="9">
        <f>April!G31+F31</f>
        <v>1339</v>
      </c>
      <c r="H31" s="19"/>
      <c r="I31" s="9">
        <f>April!I31+H31</f>
        <v>0</v>
      </c>
      <c r="J31" s="24"/>
      <c r="K31" s="9">
        <f>April!K31+J31</f>
        <v>0</v>
      </c>
    </row>
    <row r="32" spans="1:11" s="5" customFormat="1" ht="18" customHeight="1">
      <c r="A32" s="9" t="s">
        <v>34</v>
      </c>
      <c r="B32" s="13"/>
      <c r="C32" s="9">
        <f>April!C32+B32</f>
        <v>184</v>
      </c>
      <c r="D32" s="15"/>
      <c r="E32" s="9">
        <f>April!E32+D32</f>
        <v>1</v>
      </c>
      <c r="F32" s="17"/>
      <c r="G32" s="9">
        <f>April!G32+F32</f>
        <v>0</v>
      </c>
      <c r="H32" s="19"/>
      <c r="I32" s="9">
        <f>April!I32+H32</f>
        <v>0</v>
      </c>
      <c r="J32" s="24"/>
      <c r="K32" s="9">
        <f>April!K32+J32</f>
        <v>0</v>
      </c>
    </row>
    <row r="33" spans="1:11" s="5" customFormat="1" ht="18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  <c r="J33" s="24"/>
      <c r="K33" s="9">
        <f>April!K33+J33</f>
        <v>0</v>
      </c>
    </row>
    <row r="34" spans="1:11" s="5" customFormat="1" ht="18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  <c r="J34" s="24"/>
      <c r="K34" s="9">
        <f>April!K34+J34</f>
        <v>0</v>
      </c>
    </row>
    <row r="35" spans="1:11" s="5" customFormat="1" ht="18" customHeight="1">
      <c r="A35" s="9" t="s">
        <v>37</v>
      </c>
      <c r="B35" s="13">
        <f>50+288</f>
        <v>338</v>
      </c>
      <c r="C35" s="9">
        <f>April!C35+B35</f>
        <v>2024</v>
      </c>
      <c r="D35" s="15">
        <f>2</f>
        <v>2</v>
      </c>
      <c r="E35" s="9">
        <f>April!E35+D35</f>
        <v>3</v>
      </c>
      <c r="F35" s="17">
        <f>145+125+75+47+120</f>
        <v>512</v>
      </c>
      <c r="G35" s="9">
        <f>April!G35+F35</f>
        <v>3035</v>
      </c>
      <c r="H35" s="19"/>
      <c r="I35" s="9">
        <f>April!I35+H35</f>
        <v>0</v>
      </c>
      <c r="J35" s="24"/>
      <c r="K35" s="9">
        <f>April!K35+J35</f>
        <v>0</v>
      </c>
    </row>
    <row r="36" spans="1:11" s="5" customFormat="1" ht="18" customHeight="1">
      <c r="A36" s="9" t="s">
        <v>38</v>
      </c>
      <c r="B36" s="13"/>
      <c r="C36" s="9">
        <f>April!C36+B36</f>
        <v>112</v>
      </c>
      <c r="D36" s="15"/>
      <c r="E36" s="9">
        <f>April!E36+D36</f>
        <v>69</v>
      </c>
      <c r="F36" s="17">
        <f>95+115+100+80+36+95</f>
        <v>521</v>
      </c>
      <c r="G36" s="9">
        <f>April!G36+F36</f>
        <v>1113</v>
      </c>
      <c r="H36" s="19"/>
      <c r="I36" s="9">
        <f>April!I36+H36</f>
        <v>0</v>
      </c>
      <c r="J36" s="24"/>
      <c r="K36" s="9">
        <f>April!K36+J36</f>
        <v>0</v>
      </c>
    </row>
    <row r="37" spans="1:11" s="5" customFormat="1" ht="18" customHeight="1">
      <c r="A37" s="9" t="s">
        <v>39</v>
      </c>
      <c r="B37" s="13"/>
      <c r="C37" s="9">
        <f>April!C37+B37</f>
        <v>0</v>
      </c>
      <c r="D37" s="15">
        <v>1</v>
      </c>
      <c r="E37" s="9">
        <f>April!E37+D37</f>
        <v>1</v>
      </c>
      <c r="F37" s="17"/>
      <c r="G37" s="9">
        <f>April!G37+F37</f>
        <v>0</v>
      </c>
      <c r="H37" s="19"/>
      <c r="I37" s="9">
        <f>April!I37+H37</f>
        <v>0</v>
      </c>
      <c r="J37" s="24"/>
      <c r="K37" s="9">
        <f>April!K37+J37</f>
        <v>0</v>
      </c>
    </row>
    <row r="38" spans="1:11" s="5" customFormat="1" ht="18" customHeight="1">
      <c r="A38" s="9" t="s">
        <v>40</v>
      </c>
      <c r="B38" s="13">
        <f>87+40+1+69+160+84+73+69+68+147+41+124+200+50+15+400+78+286+168+67+13+10+26+97+8</f>
        <v>2381</v>
      </c>
      <c r="C38" s="9">
        <f>April!C38+B38</f>
        <v>49950</v>
      </c>
      <c r="D38" s="15">
        <f>1+5+1+1+2+1+2+3+2+1+1+3+1+2+2+1+1+1+195</f>
        <v>226</v>
      </c>
      <c r="E38" s="9">
        <f>April!E38+D38</f>
        <v>1095</v>
      </c>
      <c r="F38" s="17">
        <f>23</f>
        <v>23</v>
      </c>
      <c r="G38" s="9">
        <f>April!G38+F38</f>
        <v>25</v>
      </c>
      <c r="H38" s="19"/>
      <c r="I38" s="9">
        <f>April!I38+H38</f>
        <v>0</v>
      </c>
      <c r="J38" s="24"/>
      <c r="K38" s="9">
        <f>April!K38+J38</f>
        <v>0</v>
      </c>
    </row>
    <row r="39" spans="1:11" s="5" customFormat="1" ht="18" customHeight="1">
      <c r="A39" s="9" t="s">
        <v>41</v>
      </c>
      <c r="B39" s="13">
        <f>140+200</f>
        <v>340</v>
      </c>
      <c r="C39" s="9">
        <f>April!C39+B39</f>
        <v>440</v>
      </c>
      <c r="D39" s="15">
        <f>2</f>
        <v>2</v>
      </c>
      <c r="E39" s="9">
        <f>April!E39+D39</f>
        <v>17</v>
      </c>
      <c r="F39" s="17">
        <f>13+100+36+3+24+14+165+161+3+2+100+30</f>
        <v>651</v>
      </c>
      <c r="G39" s="9">
        <f>April!G39+F39</f>
        <v>2485</v>
      </c>
      <c r="H39" s="19"/>
      <c r="I39" s="9">
        <f>April!I39+H39</f>
        <v>0</v>
      </c>
      <c r="J39" s="24"/>
      <c r="K39" s="9">
        <f>April!K39+J39</f>
        <v>0</v>
      </c>
    </row>
    <row r="40" spans="1:11" s="5" customFormat="1" ht="18" customHeight="1">
      <c r="A40" s="9" t="s">
        <v>42</v>
      </c>
      <c r="B40" s="13">
        <f>68+63+162+59+46+135+234+206+46+34+8+64+61+58+237+120+102+120+43+59+56+114+69+12+12+61+105+54+385+80+113+63+58+56+177</f>
        <v>3340</v>
      </c>
      <c r="C40" s="9">
        <f>April!C40+B40</f>
        <v>7801</v>
      </c>
      <c r="D40" s="15">
        <f>2+1+1+45+3+1+72+1+1+1+1+1+1+1+8+145</f>
        <v>285</v>
      </c>
      <c r="E40" s="9">
        <f>April!E40+D40</f>
        <v>507</v>
      </c>
      <c r="F40" s="17"/>
      <c r="G40" s="9">
        <f>April!G40+F40</f>
        <v>6</v>
      </c>
      <c r="H40" s="19"/>
      <c r="I40" s="9">
        <f>April!I40+H40</f>
        <v>0</v>
      </c>
      <c r="J40" s="24"/>
      <c r="K40" s="9">
        <f>April!K40+J40</f>
        <v>0</v>
      </c>
    </row>
    <row r="41" spans="1:11" s="5" customFormat="1" ht="18" customHeight="1">
      <c r="A41" s="9" t="s">
        <v>43</v>
      </c>
      <c r="B41" s="13">
        <f>1</f>
        <v>1</v>
      </c>
      <c r="C41" s="9">
        <f>April!C41+B41</f>
        <v>408</v>
      </c>
      <c r="D41" s="15">
        <f>1</f>
        <v>1</v>
      </c>
      <c r="E41" s="9">
        <f>April!E41+D41</f>
        <v>7</v>
      </c>
      <c r="F41" s="17"/>
      <c r="G41" s="9">
        <f>April!G41+F41</f>
        <v>491</v>
      </c>
      <c r="H41" s="19"/>
      <c r="I41" s="9">
        <f>April!I41+H41</f>
        <v>0</v>
      </c>
      <c r="J41" s="24"/>
      <c r="K41" s="9">
        <f>April!K41+J41</f>
        <v>0</v>
      </c>
    </row>
    <row r="42" spans="1:11" s="5" customFormat="1" ht="18" customHeight="1">
      <c r="A42" s="9" t="s">
        <v>44</v>
      </c>
      <c r="B42" s="13">
        <f>70+87</f>
        <v>157</v>
      </c>
      <c r="C42" s="9">
        <f>April!C42+B42</f>
        <v>585</v>
      </c>
      <c r="D42" s="15"/>
      <c r="E42" s="9">
        <f>April!E42+D42</f>
        <v>32</v>
      </c>
      <c r="F42" s="17">
        <f>72+30</f>
        <v>102</v>
      </c>
      <c r="G42" s="9">
        <f>April!G42+F42</f>
        <v>359</v>
      </c>
      <c r="H42" s="19"/>
      <c r="I42" s="9">
        <f>April!I42+H42</f>
        <v>0</v>
      </c>
      <c r="J42" s="24"/>
      <c r="K42" s="9">
        <f>April!K42+J42</f>
        <v>0</v>
      </c>
    </row>
    <row r="43" spans="1:11" s="5" customFormat="1" ht="18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  <c r="J43" s="24"/>
      <c r="K43" s="9">
        <f>April!K43+J43</f>
        <v>0</v>
      </c>
    </row>
    <row r="44" spans="1:11" s="5" customFormat="1" ht="18" customHeight="1">
      <c r="A44" s="9" t="s">
        <v>46</v>
      </c>
      <c r="B44" s="13">
        <f>145+89+91+86+142</f>
        <v>553</v>
      </c>
      <c r="C44" s="9">
        <f>April!C44+B44</f>
        <v>2735</v>
      </c>
      <c r="D44" s="15"/>
      <c r="E44" s="9">
        <f>April!E44+D44</f>
        <v>0</v>
      </c>
      <c r="F44" s="17"/>
      <c r="G44" s="9">
        <f>April!G44+F44</f>
        <v>0</v>
      </c>
      <c r="H44" s="19"/>
      <c r="I44" s="9">
        <f>April!I44+H44</f>
        <v>0</v>
      </c>
      <c r="J44" s="24"/>
      <c r="K44" s="9">
        <f>April!K44+J44</f>
        <v>0</v>
      </c>
    </row>
    <row r="45" spans="1:11" s="5" customFormat="1" ht="18" customHeight="1">
      <c r="A45" s="9" t="s">
        <v>47</v>
      </c>
      <c r="B45" s="13">
        <f>60+133+30+59+60+67+68+88+144+186+67+180+68+93+64+135+140+27+74+62+77+59+122+2+3+68+26+66+36+109+238+7+198+77+80+255+109+119+16+13+123+58+159+70+76+68+437+63+157+166+37+45+70+34+28+101+145+23+302+40+15+90+100+74+71+130+83+450+72+70+134+12+3+79+126+186+128+54+19+60+19+73+23+19+126+5+29+30+7+8+1+137+22+4+84+28+4+6+17+112+36+39+6+33+51+81+230+43+71+10+212+1+253+65+121+34+20+146+33+7+62+146+32+11+25+7+67+76+170+57+164+31+146+17+27+40+7+158+5+85+43+49+310+203+71+7+9+7+11+3+41+19+10+79+56+213+160+185+84+66+213+164+160+60+54+54+11+67+54+54+27+61+178+55+23+58+67+15+187+214+1+70+174+174+114+184+274+340+60+51+42+32+45+160+90+206+40+37+3+5+39+11+107+30+13+11+22+125+47+114+10+4+8+3+14+16+62+53+50+122+206+67+137+139+34+311+2297</f>
        <v>20778</v>
      </c>
      <c r="C45" s="9">
        <f>April!C45+B45</f>
        <v>153762</v>
      </c>
      <c r="D45" s="15">
        <f>1+1+1+1+1+76+6+1+5+2+2+1+3+30+1+1+2+15+4+3+7+6+11+8+1+1+2+228+20+9+1+1+41+1+58+3+14+12+41+45+5+82+76+72+1+2+3+2+28+11+37+6+20+40+12+16+3+3+7+20+6+14+26+12+12+3+5+36+34+10+8+50+54+2+12+4+25+4+6+3+2+19</f>
        <v>1460</v>
      </c>
      <c r="E45" s="9">
        <f>April!E45+D45</f>
        <v>5279</v>
      </c>
      <c r="F45" s="17">
        <f>50+22+6+2+1+1+12+26</f>
        <v>120</v>
      </c>
      <c r="G45" s="9">
        <f>April!G45+F45</f>
        <v>463</v>
      </c>
      <c r="H45" s="19"/>
      <c r="I45" s="9">
        <f>April!I45+H45</f>
        <v>0</v>
      </c>
      <c r="J45" s="24"/>
      <c r="K45" s="9">
        <f>April!K45+J45</f>
        <v>0</v>
      </c>
    </row>
    <row r="46" spans="1:11" s="5" customFormat="1" ht="18" customHeight="1">
      <c r="A46" s="9" t="s">
        <v>48</v>
      </c>
      <c r="B46" s="13">
        <f>62+57+109+83+114+56+137+58+59+81+80+40+56+114+109+89+67+97+58</f>
        <v>1526</v>
      </c>
      <c r="C46" s="9">
        <f>April!C46+B46</f>
        <v>10086</v>
      </c>
      <c r="D46" s="15"/>
      <c r="E46" s="9">
        <f>April!E46+D46</f>
        <v>53</v>
      </c>
      <c r="F46" s="17"/>
      <c r="G46" s="9">
        <f>April!G46+F46</f>
        <v>803</v>
      </c>
      <c r="H46" s="19"/>
      <c r="I46" s="9">
        <f>April!I46+H46</f>
        <v>0</v>
      </c>
      <c r="J46" s="24"/>
      <c r="K46" s="9">
        <f>April!K46+J46</f>
        <v>0</v>
      </c>
    </row>
    <row r="47" spans="1:11" s="5" customFormat="1" ht="18" customHeight="1">
      <c r="A47" s="9" t="s">
        <v>49</v>
      </c>
      <c r="B47" s="13">
        <f>95+54+75+200</f>
        <v>424</v>
      </c>
      <c r="C47" s="9">
        <f>April!C47+B47</f>
        <v>1534</v>
      </c>
      <c r="D47" s="15">
        <f>5+1+1+1+4+3+1</f>
        <v>16</v>
      </c>
      <c r="E47" s="9">
        <f>April!E47+D47</f>
        <v>268</v>
      </c>
      <c r="F47" s="17">
        <f>150+234+200+129</f>
        <v>713</v>
      </c>
      <c r="G47" s="9">
        <f>April!G47+F47</f>
        <v>3690</v>
      </c>
      <c r="H47" s="19"/>
      <c r="I47" s="9">
        <f>April!I47+H47</f>
        <v>0</v>
      </c>
      <c r="J47" s="24"/>
      <c r="K47" s="9">
        <f>April!K47+J47</f>
        <v>0</v>
      </c>
    </row>
    <row r="48" spans="1:19" s="5" customFormat="1" ht="18" customHeight="1">
      <c r="A48" s="9" t="s">
        <v>50</v>
      </c>
      <c r="B48" s="13"/>
      <c r="C48" s="9">
        <f>April!C48+B48</f>
        <v>232</v>
      </c>
      <c r="D48" s="15"/>
      <c r="E48" s="9">
        <f>April!E48+D48</f>
        <v>11</v>
      </c>
      <c r="F48" s="17"/>
      <c r="G48" s="9">
        <f>April!G48+F48</f>
        <v>351</v>
      </c>
      <c r="H48" s="19"/>
      <c r="I48" s="9">
        <f>April!I48+H48</f>
        <v>0</v>
      </c>
      <c r="J48" s="24"/>
      <c r="K48" s="9">
        <f>April!K48+J48</f>
        <v>0</v>
      </c>
      <c r="S48" s="4"/>
    </row>
    <row r="49" spans="1:11" s="5" customFormat="1" ht="18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>
        <f>2+15+2+5+10+12+15+15+15+5+6+91</f>
        <v>193</v>
      </c>
      <c r="G49" s="9">
        <f>April!G49+F49</f>
        <v>229</v>
      </c>
      <c r="H49" s="19"/>
      <c r="I49" s="9">
        <f>April!I49+H49</f>
        <v>0</v>
      </c>
      <c r="J49" s="24"/>
      <c r="K49" s="9">
        <f>April!K49+J49</f>
        <v>0</v>
      </c>
    </row>
    <row r="50" spans="1:11" s="5" customFormat="1" ht="18" customHeight="1">
      <c r="A50" s="9" t="s">
        <v>52</v>
      </c>
      <c r="B50" s="13">
        <f>48+60+50+108+32+47+59+181+93+28+1338+58</f>
        <v>2102</v>
      </c>
      <c r="C50" s="9">
        <f>April!C50+B50</f>
        <v>7685</v>
      </c>
      <c r="D50" s="15">
        <f>106+19+13+5+87</f>
        <v>230</v>
      </c>
      <c r="E50" s="9">
        <f>April!E50+D50</f>
        <v>230</v>
      </c>
      <c r="F50" s="17"/>
      <c r="G50" s="9">
        <f>April!G50+F50</f>
        <v>0</v>
      </c>
      <c r="H50" s="19"/>
      <c r="I50" s="9">
        <f>April!I50+H50</f>
        <v>0</v>
      </c>
      <c r="J50" s="24"/>
      <c r="K50" s="9">
        <f>April!K50+J50</f>
        <v>0</v>
      </c>
    </row>
    <row r="51" spans="1:19" s="5" customFormat="1" ht="18" customHeight="1">
      <c r="A51" s="9" t="s">
        <v>53</v>
      </c>
      <c r="B51" s="13"/>
      <c r="C51" s="9">
        <f>April!C51+B51</f>
        <v>0</v>
      </c>
      <c r="D51" s="15"/>
      <c r="E51" s="9">
        <f>April!E51+D51</f>
        <v>7</v>
      </c>
      <c r="F51" s="17"/>
      <c r="G51" s="9">
        <f>April!G51+F51</f>
        <v>0</v>
      </c>
      <c r="H51" s="19"/>
      <c r="I51" s="9">
        <f>April!I51+H51</f>
        <v>0</v>
      </c>
      <c r="J51" s="24"/>
      <c r="K51" s="9">
        <f>April!K51+J51</f>
        <v>0</v>
      </c>
      <c r="S51" s="2"/>
    </row>
    <row r="52" spans="1:19" s="5" customFormat="1" ht="18" customHeight="1">
      <c r="A52" s="9" t="s">
        <v>54</v>
      </c>
      <c r="B52" s="13">
        <f>64+64+35+29+70+35+26+38+22+25+35+67</f>
        <v>510</v>
      </c>
      <c r="C52" s="9">
        <f>April!C52+B52</f>
        <v>1689</v>
      </c>
      <c r="D52" s="15"/>
      <c r="E52" s="9">
        <f>April!E52+D52</f>
        <v>1</v>
      </c>
      <c r="F52" s="17"/>
      <c r="G52" s="9">
        <f>April!G52+F52</f>
        <v>0</v>
      </c>
      <c r="H52" s="19"/>
      <c r="I52" s="9">
        <f>April!I52+H52</f>
        <v>0</v>
      </c>
      <c r="J52" s="24"/>
      <c r="K52" s="9">
        <f>April!K52+J52</f>
        <v>0</v>
      </c>
      <c r="S52" s="2"/>
    </row>
    <row r="53" spans="1:19" s="5" customFormat="1" ht="18" customHeight="1">
      <c r="A53" s="9" t="s">
        <v>55</v>
      </c>
      <c r="B53" s="13">
        <f>40+15+20+20+12+12+23+90+1+138+60+127+116+65+286+19+6+30+29+46+130+60+31+11+45+11+32+7+4+1+10+436</f>
        <v>1933</v>
      </c>
      <c r="C53" s="9">
        <f>April!C53+B53</f>
        <v>9639</v>
      </c>
      <c r="D53" s="15">
        <f>1+1+1+8+2+3+5</f>
        <v>21</v>
      </c>
      <c r="E53" s="9">
        <f>April!E53+D53</f>
        <v>1473</v>
      </c>
      <c r="F53" s="17">
        <f>1+5+7+2+2+1+6+93+28+18+41+38+39+36+3+5+2+2+10+36+6+31+26+38+7+1+1+1+2+1+2+1+1+5+8+36+39+26+22+1+5+20+28+20+35+6+17+1+10+29+12+52+18+4+12+16+41+14+5+6+3+51+34+72+4+40+48+36+49+26+45+4+77+27+1+5+18+9+164+116+50+120+89+5+270+156+40+137+108+310</f>
        <v>3095</v>
      </c>
      <c r="G53" s="9">
        <f>April!G53+F53</f>
        <v>17258</v>
      </c>
      <c r="H53" s="19"/>
      <c r="I53" s="9">
        <f>April!I53+H53</f>
        <v>0</v>
      </c>
      <c r="J53" s="24"/>
      <c r="K53" s="9">
        <f>April!K53+J53</f>
        <v>0</v>
      </c>
      <c r="S53" s="2"/>
    </row>
    <row r="54" spans="1:19" s="5" customFormat="1" ht="18" customHeight="1" thickBot="1">
      <c r="A54" s="10" t="s">
        <v>56</v>
      </c>
      <c r="B54" s="13"/>
      <c r="C54" s="9">
        <f>April!C54+B54</f>
        <v>2809</v>
      </c>
      <c r="D54" s="16">
        <f>3+1+1+1+3+1+1+1+1+15+59+65+5</f>
        <v>157</v>
      </c>
      <c r="E54" s="9">
        <f>April!E54+D54</f>
        <v>1011</v>
      </c>
      <c r="F54" s="17"/>
      <c r="G54" s="9">
        <f>April!G54+F54</f>
        <v>89</v>
      </c>
      <c r="H54" s="19"/>
      <c r="I54" s="9">
        <f>April!I54+H54</f>
        <v>0</v>
      </c>
      <c r="J54" s="25"/>
      <c r="K54" s="9">
        <f>April!K54+J54</f>
        <v>0</v>
      </c>
      <c r="S54" s="2"/>
    </row>
    <row r="55" spans="1:19" s="5" customFormat="1" ht="18" customHeight="1" thickBot="1" thickTop="1">
      <c r="A55" s="11" t="s">
        <v>57</v>
      </c>
      <c r="B55" s="11">
        <f>SUM(B5:B54)</f>
        <v>78951</v>
      </c>
      <c r="C55" s="11"/>
      <c r="D55" s="11">
        <f>SUM(D5:D54)</f>
        <v>6825</v>
      </c>
      <c r="E55" s="11"/>
      <c r="F55" s="11">
        <f>SUM(F5:F54)</f>
        <v>11968</v>
      </c>
      <c r="G55" s="11"/>
      <c r="H55" s="11">
        <f>SUM(H5:H54)</f>
        <v>0</v>
      </c>
      <c r="I55" s="11"/>
      <c r="J55" s="11">
        <f>SUM(J5:J54)</f>
        <v>0</v>
      </c>
      <c r="K55" s="23"/>
      <c r="S55" s="2"/>
    </row>
    <row r="56" spans="1:1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  <c r="S56" s="2"/>
    </row>
    <row r="57" spans="1:19" s="5" customFormat="1" ht="18" customHeight="1" thickBot="1" thickTop="1">
      <c r="A57" s="12" t="s">
        <v>58</v>
      </c>
      <c r="B57" s="11"/>
      <c r="C57" s="11">
        <f>April!C57+B55</f>
        <v>472650</v>
      </c>
      <c r="D57" s="11"/>
      <c r="E57" s="11">
        <f>April!E57+D55</f>
        <v>26645</v>
      </c>
      <c r="F57" s="11"/>
      <c r="G57" s="11">
        <f>April!G57+F55</f>
        <v>56922</v>
      </c>
      <c r="H57" s="11"/>
      <c r="I57" s="11">
        <f>April!I57+H55</f>
        <v>34</v>
      </c>
      <c r="J57" s="11"/>
      <c r="K57" s="11">
        <f>April!K57+J55</f>
        <v>35</v>
      </c>
      <c r="S57" s="2"/>
    </row>
    <row r="58" s="5" customFormat="1" ht="18" customHeight="1" thickTop="1">
      <c r="S58" s="2"/>
    </row>
    <row r="59" spans="1:19" s="5" customFormat="1" ht="18" customHeight="1">
      <c r="A59" s="5" t="s">
        <v>59</v>
      </c>
      <c r="S59" s="2"/>
    </row>
    <row r="60" spans="1:19" s="5" customFormat="1" ht="18" customHeight="1">
      <c r="A60" s="5" t="s">
        <v>12</v>
      </c>
      <c r="F60" s="5">
        <v>882</v>
      </c>
      <c r="S60" s="2"/>
    </row>
    <row r="61" s="5" customFormat="1" ht="18" customHeight="1">
      <c r="S61" s="2"/>
    </row>
    <row r="62" spans="1:19" s="4" customFormat="1" ht="18" customHeight="1">
      <c r="A62" s="4" t="s">
        <v>60</v>
      </c>
      <c r="E62" s="4">
        <f>April!E62+D60</f>
        <v>2911</v>
      </c>
      <c r="G62" s="4">
        <f>April!G62+F60</f>
        <v>7081</v>
      </c>
      <c r="S62" s="2"/>
    </row>
    <row r="63" s="5" customFormat="1" ht="18" customHeight="1">
      <c r="S63" s="2"/>
    </row>
    <row r="64" s="5" customFormat="1" ht="18" customHeight="1">
      <c r="S64" s="2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66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  <c r="N3" s="8"/>
      <c r="O3" s="8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f>52</f>
        <v>52</v>
      </c>
      <c r="C5" s="9">
        <f>May!C5+B5</f>
        <v>118</v>
      </c>
      <c r="D5" s="15">
        <f>1</f>
        <v>1</v>
      </c>
      <c r="E5" s="9">
        <f>May!E5+D5</f>
        <v>7</v>
      </c>
      <c r="F5" s="17"/>
      <c r="G5" s="9">
        <f>May!G5+F5</f>
        <v>0</v>
      </c>
      <c r="H5" s="19"/>
      <c r="I5" s="9">
        <f>May!I5+H5</f>
        <v>0</v>
      </c>
      <c r="J5" s="24"/>
      <c r="K5" s="9">
        <f>May!K5+J5</f>
        <v>0</v>
      </c>
    </row>
    <row r="6" spans="1:11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  <c r="J6" s="24"/>
      <c r="K6" s="9">
        <f>May!K6+J6</f>
        <v>0</v>
      </c>
    </row>
    <row r="7" spans="1:11" s="5" customFormat="1" ht="18" customHeight="1">
      <c r="A7" s="9" t="s">
        <v>9</v>
      </c>
      <c r="B7" s="13"/>
      <c r="C7" s="9">
        <f>May!C7+B7</f>
        <v>84</v>
      </c>
      <c r="D7" s="15"/>
      <c r="E7" s="9">
        <f>May!E7+D7</f>
        <v>125</v>
      </c>
      <c r="F7" s="17">
        <f>85+122+100+580+48</f>
        <v>935</v>
      </c>
      <c r="G7" s="9">
        <f>May!G7+F7</f>
        <v>1775</v>
      </c>
      <c r="H7" s="19"/>
      <c r="I7" s="9">
        <f>May!I7+H7</f>
        <v>0</v>
      </c>
      <c r="J7" s="24"/>
      <c r="K7" s="9">
        <f>May!K7+J7</f>
        <v>0</v>
      </c>
    </row>
    <row r="8" spans="1:11" s="5" customFormat="1" ht="18" customHeight="1">
      <c r="A8" s="9" t="s">
        <v>10</v>
      </c>
      <c r="B8" s="13">
        <f>87+100+8+57+40+57+110+110+71+2+56+90+63+55+92+100+118+165+450</f>
        <v>1831</v>
      </c>
      <c r="C8" s="9">
        <f>May!C8+B8</f>
        <v>3976</v>
      </c>
      <c r="D8" s="15"/>
      <c r="E8" s="9">
        <f>May!E8+D8</f>
        <v>142</v>
      </c>
      <c r="F8" s="17"/>
      <c r="G8" s="9">
        <f>May!G8+F8</f>
        <v>0</v>
      </c>
      <c r="H8" s="19"/>
      <c r="I8" s="9">
        <f>May!I8+H8</f>
        <v>0</v>
      </c>
      <c r="J8" s="24"/>
      <c r="K8" s="9">
        <f>May!K8+J8</f>
        <v>0</v>
      </c>
    </row>
    <row r="9" spans="1:11" s="5" customFormat="1" ht="18" customHeight="1">
      <c r="A9" s="9" t="s">
        <v>11</v>
      </c>
      <c r="B9" s="13">
        <v>150</v>
      </c>
      <c r="C9" s="9">
        <f>May!C9+B9</f>
        <v>2483</v>
      </c>
      <c r="D9" s="15"/>
      <c r="E9" s="9">
        <f>May!E9+D9</f>
        <v>830</v>
      </c>
      <c r="F9" s="17">
        <f>92+179+229+241+569</f>
        <v>1310</v>
      </c>
      <c r="G9" s="9">
        <f>May!G9+F9</f>
        <v>4112</v>
      </c>
      <c r="H9" s="19">
        <f>148</f>
        <v>148</v>
      </c>
      <c r="I9" s="9">
        <f>May!I9+H9</f>
        <v>148</v>
      </c>
      <c r="J9" s="24"/>
      <c r="K9" s="9">
        <f>May!K9+J9</f>
        <v>0</v>
      </c>
    </row>
    <row r="10" spans="1:11" s="5" customFormat="1" ht="18" customHeight="1">
      <c r="A10" s="9" t="s">
        <v>12</v>
      </c>
      <c r="B10" s="13">
        <f>107+4+1+105</f>
        <v>217</v>
      </c>
      <c r="C10" s="9">
        <f>May!C10+B10</f>
        <v>31413</v>
      </c>
      <c r="D10" s="15"/>
      <c r="E10" s="9">
        <f>May!E10+D10</f>
        <v>77</v>
      </c>
      <c r="F10" s="17">
        <v>7</v>
      </c>
      <c r="G10" s="9">
        <f>May!G10+F10</f>
        <v>289</v>
      </c>
      <c r="H10" s="19"/>
      <c r="I10" s="9">
        <f>May!I10+H10</f>
        <v>34</v>
      </c>
      <c r="J10" s="24"/>
      <c r="K10" s="9">
        <f>May!K10+J10</f>
        <v>0</v>
      </c>
    </row>
    <row r="11" spans="1:11" s="5" customFormat="1" ht="18" customHeight="1">
      <c r="A11" s="9" t="s">
        <v>13</v>
      </c>
      <c r="B11" s="13">
        <f>75</f>
        <v>75</v>
      </c>
      <c r="C11" s="9">
        <f>May!C11+B11</f>
        <v>2334</v>
      </c>
      <c r="D11" s="15">
        <f>2+1+118+36</f>
        <v>157</v>
      </c>
      <c r="E11" s="9">
        <f>May!E11+D11</f>
        <v>260</v>
      </c>
      <c r="F11" s="17"/>
      <c r="G11" s="9">
        <f>May!G11+F11</f>
        <v>681</v>
      </c>
      <c r="H11" s="19"/>
      <c r="I11" s="9">
        <f>May!I11+H11</f>
        <v>0</v>
      </c>
      <c r="J11" s="24"/>
      <c r="K11" s="9">
        <f>May!K11+J11</f>
        <v>2</v>
      </c>
    </row>
    <row r="12" spans="1:11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  <c r="J12" s="24"/>
      <c r="K12" s="9">
        <f>May!K12+J12</f>
        <v>0</v>
      </c>
    </row>
    <row r="13" spans="1:11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  <c r="J13" s="24"/>
      <c r="K13" s="9">
        <f>May!K13+J13</f>
        <v>0</v>
      </c>
    </row>
    <row r="14" spans="1:11" s="5" customFormat="1" ht="18" customHeight="1">
      <c r="A14" s="9" t="s">
        <v>16</v>
      </c>
      <c r="B14" s="13">
        <f>21</f>
        <v>21</v>
      </c>
      <c r="C14" s="9">
        <f>May!C14+B14</f>
        <v>253</v>
      </c>
      <c r="D14" s="15"/>
      <c r="E14" s="9">
        <f>May!E14+D14</f>
        <v>0</v>
      </c>
      <c r="F14" s="17"/>
      <c r="G14" s="9">
        <f>May!G14+F14</f>
        <v>27</v>
      </c>
      <c r="H14" s="19"/>
      <c r="I14" s="9">
        <f>May!I14+H14</f>
        <v>0</v>
      </c>
      <c r="J14" s="24"/>
      <c r="K14" s="9">
        <f>May!K14+J14</f>
        <v>0</v>
      </c>
    </row>
    <row r="15" spans="1:11" s="5" customFormat="1" ht="18" customHeight="1">
      <c r="A15" s="9" t="s">
        <v>17</v>
      </c>
      <c r="B15" s="13">
        <f>145+72</f>
        <v>217</v>
      </c>
      <c r="C15" s="9">
        <f>May!C15+B15</f>
        <v>1389</v>
      </c>
      <c r="D15" s="15">
        <f>25</f>
        <v>25</v>
      </c>
      <c r="E15" s="9">
        <f>May!E15+D15</f>
        <v>32</v>
      </c>
      <c r="F15" s="17"/>
      <c r="G15" s="9">
        <f>May!G15+F15</f>
        <v>102</v>
      </c>
      <c r="H15" s="19"/>
      <c r="I15" s="9">
        <f>May!I15+H15</f>
        <v>0</v>
      </c>
      <c r="J15" s="24"/>
      <c r="K15" s="9">
        <f>May!K15+J15</f>
        <v>0</v>
      </c>
    </row>
    <row r="16" spans="1:11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  <c r="J16" s="24"/>
      <c r="K16" s="9">
        <f>May!K16+J16</f>
        <v>0</v>
      </c>
    </row>
    <row r="17" spans="1:11" s="5" customFormat="1" ht="18" customHeight="1">
      <c r="A17" s="9" t="s">
        <v>19</v>
      </c>
      <c r="B17" s="13">
        <f>80</f>
        <v>80</v>
      </c>
      <c r="C17" s="9">
        <f>May!C17+B17</f>
        <v>1961</v>
      </c>
      <c r="D17" s="15">
        <f>45+50+47+1</f>
        <v>143</v>
      </c>
      <c r="E17" s="9">
        <f>May!E17+D17</f>
        <v>322</v>
      </c>
      <c r="F17" s="17">
        <f>128</f>
        <v>128</v>
      </c>
      <c r="G17" s="9">
        <f>May!G17+F17</f>
        <v>971</v>
      </c>
      <c r="H17" s="19"/>
      <c r="I17" s="9">
        <f>May!I17+H17</f>
        <v>0</v>
      </c>
      <c r="J17" s="24"/>
      <c r="K17" s="9">
        <f>May!K17+J17</f>
        <v>0</v>
      </c>
    </row>
    <row r="18" spans="1:11" s="5" customFormat="1" ht="18" customHeight="1">
      <c r="A18" s="9" t="s">
        <v>20</v>
      </c>
      <c r="B18" s="13">
        <f>3+1+60+4+74+4</f>
        <v>146</v>
      </c>
      <c r="C18" s="9">
        <f>May!C18+B18</f>
        <v>2838</v>
      </c>
      <c r="D18" s="15">
        <f>2+1+1+1+1+1+1+2+2+1+1+1+2+2+2+2+2+1+9</f>
        <v>35</v>
      </c>
      <c r="E18" s="9">
        <f>May!E18+D18</f>
        <v>350</v>
      </c>
      <c r="F18" s="17">
        <f>1+1+1+1+1+76</f>
        <v>81</v>
      </c>
      <c r="G18" s="9">
        <f>May!G18+F18</f>
        <v>659</v>
      </c>
      <c r="H18" s="19"/>
      <c r="I18" s="9">
        <f>May!I18+H18</f>
        <v>0</v>
      </c>
      <c r="J18" s="24"/>
      <c r="K18" s="9">
        <f>May!K18+J18</f>
        <v>0</v>
      </c>
    </row>
    <row r="19" spans="1:11" s="5" customFormat="1" ht="18" customHeight="1">
      <c r="A19" s="9" t="s">
        <v>21</v>
      </c>
      <c r="B19" s="13">
        <f>75+65+58+15+335</f>
        <v>548</v>
      </c>
      <c r="C19" s="9">
        <f>May!C19+B19</f>
        <v>4401</v>
      </c>
      <c r="D19" s="15">
        <f>1+108</f>
        <v>109</v>
      </c>
      <c r="E19" s="9">
        <f>May!E19+D19</f>
        <v>1026</v>
      </c>
      <c r="F19" s="17">
        <f>168+195+100+2+109+200+100+120+110+110+301+160+108+195+140</f>
        <v>2118</v>
      </c>
      <c r="G19" s="9">
        <f>May!G19+F19</f>
        <v>7099</v>
      </c>
      <c r="H19" s="19"/>
      <c r="I19" s="9">
        <f>May!I19+H19</f>
        <v>0</v>
      </c>
      <c r="J19" s="24"/>
      <c r="K19" s="9">
        <f>May!K19+J19</f>
        <v>0</v>
      </c>
    </row>
    <row r="20" spans="1:11" s="5" customFormat="1" ht="18" customHeight="1">
      <c r="A20" s="9" t="s">
        <v>22</v>
      </c>
      <c r="B20" s="13">
        <f>52+350+35+69+128+240+98+126+109+100+125+69+186+65+81+64+69+64+49+69+70+57+114+25+124+110+180+66+129+60+56+51+152+59+62+124+23+30+114+152+49+141+55+200+55+65+60+85+59+120+60+182+45+116+183+187+120+120+61+190+124</f>
        <v>6183</v>
      </c>
      <c r="C20" s="9">
        <f>May!C20+B20</f>
        <v>17630</v>
      </c>
      <c r="D20" s="15">
        <f>7+31+1+10+9+1+1+1+1+1+4+2+2+2+13+10+15+1+71+1+1+3+1+14+68+10+9+2+5</f>
        <v>297</v>
      </c>
      <c r="E20" s="9">
        <f>May!E20+D20</f>
        <v>571</v>
      </c>
      <c r="F20" s="17">
        <f>161+15+178</f>
        <v>354</v>
      </c>
      <c r="G20" s="9">
        <f>May!G20+F20</f>
        <v>948</v>
      </c>
      <c r="H20" s="19"/>
      <c r="I20" s="9">
        <f>May!I20+H20</f>
        <v>0</v>
      </c>
      <c r="J20" s="24">
        <f>10+13</f>
        <v>23</v>
      </c>
      <c r="K20" s="9">
        <f>May!K20+J20</f>
        <v>23</v>
      </c>
    </row>
    <row r="21" spans="1:11" s="5" customFormat="1" ht="18" customHeight="1">
      <c r="A21" s="9" t="s">
        <v>23</v>
      </c>
      <c r="B21" s="13">
        <f>57+112+58+58+72+65+189+96+118+58+74+77+173+23+29+109+58+102+90+116+74+55+65+85+52+150+144+5+60+91+76+74+235+117+130+72+176+60+107+71+60+71+180+160+61+130+7+30+35+126+116+74+55+90+102+58+109+23+29+173+77+74+58+54+66+130+75+103+186+66+186+55+69+107+124+59+360+69+175+53+59+175+76+54+60+53+17+67+308+51+63+91+72+67+75+64+82+66+52+158+55+68+58+53+72+168+128+82+64+130+63</f>
        <v>10119</v>
      </c>
      <c r="C21" s="9">
        <f>May!C21+B21</f>
        <v>42987</v>
      </c>
      <c r="D21" s="15"/>
      <c r="E21" s="9">
        <f>May!E21+D21</f>
        <v>99</v>
      </c>
      <c r="F21" s="17">
        <f>126+69+64+61</f>
        <v>320</v>
      </c>
      <c r="G21" s="9">
        <f>May!G21+F21</f>
        <v>2089</v>
      </c>
      <c r="H21" s="19"/>
      <c r="I21" s="9">
        <f>May!I21+H21</f>
        <v>0</v>
      </c>
      <c r="J21" s="24"/>
      <c r="K21" s="9">
        <f>May!K21+J21</f>
        <v>0</v>
      </c>
    </row>
    <row r="22" spans="1:11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1</v>
      </c>
      <c r="F22" s="17"/>
      <c r="G22" s="9">
        <f>May!G22+F22</f>
        <v>0</v>
      </c>
      <c r="H22" s="19"/>
      <c r="I22" s="9">
        <f>May!I22+H22</f>
        <v>0</v>
      </c>
      <c r="J22" s="24"/>
      <c r="K22" s="9">
        <f>May!K22+J22</f>
        <v>0</v>
      </c>
    </row>
    <row r="23" spans="1:11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  <c r="J23" s="24"/>
      <c r="K23" s="9">
        <f>May!K23+J23</f>
        <v>0</v>
      </c>
    </row>
    <row r="24" spans="1:11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>
        <f>1</f>
        <v>1</v>
      </c>
      <c r="G24" s="9">
        <f>May!G24+F24</f>
        <v>2</v>
      </c>
      <c r="H24" s="19"/>
      <c r="I24" s="9">
        <f>May!I24+H24</f>
        <v>0</v>
      </c>
      <c r="J24" s="24"/>
      <c r="K24" s="9">
        <f>May!K24+J24</f>
        <v>0</v>
      </c>
    </row>
    <row r="25" spans="1:11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  <c r="J25" s="24"/>
      <c r="K25" s="9">
        <f>May!K25+J25</f>
        <v>0</v>
      </c>
    </row>
    <row r="26" spans="1:11" s="5" customFormat="1" ht="18" customHeight="1">
      <c r="A26" s="9" t="s">
        <v>28</v>
      </c>
      <c r="B26" s="13"/>
      <c r="C26" s="9">
        <f>May!C26+B26</f>
        <v>855</v>
      </c>
      <c r="D26" s="15">
        <f>8+14+4+18+10</f>
        <v>54</v>
      </c>
      <c r="E26" s="9">
        <f>May!E26+D26</f>
        <v>373</v>
      </c>
      <c r="F26" s="17">
        <f>95+203+202+41+200+200+100+400+200+112+52+4+119+173+167+179+102+226+110</f>
        <v>2885</v>
      </c>
      <c r="G26" s="9">
        <f>May!G26+F26</f>
        <v>8296</v>
      </c>
      <c r="H26" s="19"/>
      <c r="I26" s="9">
        <f>May!I26+H26</f>
        <v>0</v>
      </c>
      <c r="J26" s="24"/>
      <c r="K26" s="9">
        <f>May!K26+J26</f>
        <v>0</v>
      </c>
    </row>
    <row r="27" spans="1:11" s="5" customFormat="1" ht="18" customHeight="1">
      <c r="A27" s="9" t="s">
        <v>29</v>
      </c>
      <c r="B27" s="13">
        <f>7+7+67+69+61+82+225+79+62+70+110+87+33+150+218+316+61+5+6+6+2+7+1+8+245</f>
        <v>1984</v>
      </c>
      <c r="C27" s="9">
        <f>May!C27+B27</f>
        <v>13420</v>
      </c>
      <c r="D27" s="15">
        <f>14+46+1+2+1+1+1+5+1+8+1+1+2+2+40+1+270+3+5+4+6+3+23+14+5+26+5+6+5+7+6+1+2+1+1+1+1+1+1+1+1+1+1+1+1+1+1+1+1+1+1+1+1+1+1+5+1+1+2+2+1+11+1+34+2+1+1+2+70+31+70+1+3+1+15+31+2+6+20+16+1+19</f>
        <v>890</v>
      </c>
      <c r="E27" s="9">
        <f>May!E27+D27</f>
        <v>3182</v>
      </c>
      <c r="F27" s="17">
        <f>4+2+13+11+7+21+7+3+17+12+11+1+4+2+23+23+65+51+7+30+100+86+10+15+4+9+4+4+1+17+13+5+20+2+9+32+1+38+24+33+17+1+51+3+15+10+11</f>
        <v>849</v>
      </c>
      <c r="G27" s="9">
        <f>May!G27+F27</f>
        <v>5509</v>
      </c>
      <c r="H27" s="19"/>
      <c r="I27" s="9">
        <f>May!I27+H27</f>
        <v>0</v>
      </c>
      <c r="J27" s="24"/>
      <c r="K27" s="9">
        <f>May!K27+J27</f>
        <v>0</v>
      </c>
    </row>
    <row r="28" spans="1:11" s="5" customFormat="1" ht="18" customHeight="1">
      <c r="A28" s="9" t="s">
        <v>30</v>
      </c>
      <c r="B28" s="13">
        <f>71+84+67</f>
        <v>222</v>
      </c>
      <c r="C28" s="9">
        <f>May!C28+B28</f>
        <v>891</v>
      </c>
      <c r="D28" s="15"/>
      <c r="E28" s="9">
        <f>May!E28+D28</f>
        <v>2</v>
      </c>
      <c r="F28" s="17"/>
      <c r="G28" s="9">
        <f>May!G28+F28</f>
        <v>211</v>
      </c>
      <c r="H28" s="19"/>
      <c r="I28" s="9">
        <f>May!I28+H28</f>
        <v>0</v>
      </c>
      <c r="J28" s="24"/>
      <c r="K28" s="9">
        <f>May!K28+J28</f>
        <v>0</v>
      </c>
    </row>
    <row r="29" spans="1:11" s="5" customFormat="1" ht="18" customHeight="1">
      <c r="A29" s="9" t="s">
        <v>31</v>
      </c>
      <c r="B29" s="13">
        <f>57+60+91+66+118+180+120+165+54+84+81+88+81+77+106+50+24+70+75+84+61+90+112+31+76+72+85+127+34+32+50+88+118+101+68+11+41+50+24+118+80+64+17+63+90+79+64+85+122+97+105+167+75+106+28+79+97+18+83+74+90+111+80+9+54+112+18+114+101+98+90+82+84+40+63+110+100+89+58+74+115+124+115+72+125+118+165+79+91+17+112+93+55+55+19+75+2+88+18+121+76+95+86+96+73+107+84+101+102+65+123+61+115+120+114+120+117+108+110+79+79+79+46+29+107+100+93+200+68+57+123+91+82+94+28+150+33+60+99+63+98+111+120+102+76+80+41+57+101+85+84+111+71+95+78+27+22+86+102+100+75+44+76+80+180+74+230+95+142+96+100+144+177+214+85+97+80+14+76+52+80+114+60+60+22+23+42+35+19+34+7+8+117+20+35+37+120+70+62+100+27+70+2+25+104+81+27+69+71+37+16+95+169+59+90+9+109+120+65+155+68+76+33+83+55+62+139+122+116+36+200+82+11+17+19+14+97+117+47+83+40+32+25+63+90+101+57+33</f>
        <v>19743</v>
      </c>
      <c r="C29" s="9">
        <f>May!C29+B29</f>
        <v>78373</v>
      </c>
      <c r="D29" s="15">
        <f>20+1+1+1+30+2+41+12+12+7+4+141+1+41+16+22+1+3+7+5+1+1+1+1+2+2+1+1+1+2+3+2+1+1+1+25+10+5+45+218+1+2+5+3+1+3+1+1+1+7+4+2+16+16+5+5+16+190+7+16+18+49+2</f>
        <v>1063</v>
      </c>
      <c r="E29" s="9">
        <f>May!E29+D29</f>
        <v>2658</v>
      </c>
      <c r="F29" s="17">
        <f>41+37</f>
        <v>78</v>
      </c>
      <c r="G29" s="9">
        <f>May!G29+F29</f>
        <v>1183</v>
      </c>
      <c r="H29" s="19"/>
      <c r="I29" s="9">
        <f>May!I29+H29</f>
        <v>0</v>
      </c>
      <c r="J29" s="24">
        <f>3+10</f>
        <v>13</v>
      </c>
      <c r="K29" s="9">
        <f>May!K29+J29</f>
        <v>46</v>
      </c>
    </row>
    <row r="30" spans="1:11" s="5" customFormat="1" ht="18" customHeight="1">
      <c r="A30" s="9" t="s">
        <v>32</v>
      </c>
      <c r="B30" s="13">
        <f>57+37+7+14+14+31+2+2+3+1+4+9+62+8+7+15+93+112+101+85+44</f>
        <v>708</v>
      </c>
      <c r="C30" s="9">
        <f>May!C30+B30</f>
        <v>29048</v>
      </c>
      <c r="D30" s="15">
        <f>164+13+161+16+170+9+39+8+142+80+30+46+7+108+1+55+53+39</f>
        <v>1141</v>
      </c>
      <c r="E30" s="9">
        <f>May!E30+D30</f>
        <v>3925</v>
      </c>
      <c r="F30" s="17"/>
      <c r="G30" s="9">
        <f>May!G30+F30</f>
        <v>299</v>
      </c>
      <c r="H30" s="19"/>
      <c r="I30" s="9">
        <f>May!I30+H30</f>
        <v>0</v>
      </c>
      <c r="J30" s="24"/>
      <c r="K30" s="9">
        <f>May!K30+J30</f>
        <v>0</v>
      </c>
    </row>
    <row r="31" spans="1:11" s="5" customFormat="1" ht="18" customHeight="1">
      <c r="A31" s="9" t="s">
        <v>33</v>
      </c>
      <c r="B31" s="13">
        <f>119+219+209+303+75+83+21+165+35+56+80+70+175+191+3+311+129+70+57+101+127+113+330+133+120+103+91+116+116+29+3+5+4+25+95+95+131+228+228+213+54+191+74+106+128+85</f>
        <v>5415</v>
      </c>
      <c r="C31" s="9">
        <f>May!C31+B31</f>
        <v>34232</v>
      </c>
      <c r="D31" s="15">
        <f>59+3+52+1+5+1+4+2+27+1+1+36+5+4+1+36+7+1+1+1+3+3+78+1+1+8+10+57+11+15+1+8+62+60+9+25+30+88+3+48+10+30+17+2+3+4+12+66+45+94+44+52+1+10+6+10+2+54+6+1+35+35+5+176+84+50+12+79+2+1+6+37+1+1+3</f>
        <v>1765</v>
      </c>
      <c r="E31" s="9">
        <f>May!E31+D31</f>
        <v>8277</v>
      </c>
      <c r="F31" s="17">
        <f>220+240+110+45+70+60+51</f>
        <v>796</v>
      </c>
      <c r="G31" s="9">
        <f>May!G31+F31</f>
        <v>2135</v>
      </c>
      <c r="H31" s="19"/>
      <c r="I31" s="9">
        <f>May!I31+H31</f>
        <v>0</v>
      </c>
      <c r="J31" s="24"/>
      <c r="K31" s="9">
        <f>May!K31+J31</f>
        <v>0</v>
      </c>
    </row>
    <row r="32" spans="1:11" s="5" customFormat="1" ht="18" customHeight="1">
      <c r="A32" s="9" t="s">
        <v>34</v>
      </c>
      <c r="B32" s="13"/>
      <c r="C32" s="9">
        <f>May!C32+B32</f>
        <v>184</v>
      </c>
      <c r="D32" s="15"/>
      <c r="E32" s="9">
        <f>May!E32+D32</f>
        <v>1</v>
      </c>
      <c r="F32" s="17"/>
      <c r="G32" s="9">
        <f>May!G32+F32</f>
        <v>0</v>
      </c>
      <c r="H32" s="19"/>
      <c r="I32" s="9">
        <f>May!I32+H32</f>
        <v>0</v>
      </c>
      <c r="J32" s="24"/>
      <c r="K32" s="9">
        <f>May!K32+J32</f>
        <v>0</v>
      </c>
    </row>
    <row r="33" spans="1:11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  <c r="J33" s="24"/>
      <c r="K33" s="9">
        <f>May!K33+J33</f>
        <v>0</v>
      </c>
    </row>
    <row r="34" spans="1:11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  <c r="J34" s="24"/>
      <c r="K34" s="9">
        <f>May!K34+J34</f>
        <v>0</v>
      </c>
    </row>
    <row r="35" spans="1:11" s="5" customFormat="1" ht="18" customHeight="1">
      <c r="A35" s="9" t="s">
        <v>37</v>
      </c>
      <c r="B35" s="13"/>
      <c r="C35" s="9">
        <f>May!C35+B35</f>
        <v>2024</v>
      </c>
      <c r="D35" s="15">
        <f>15+15+10</f>
        <v>40</v>
      </c>
      <c r="E35" s="9">
        <f>May!E35+D35</f>
        <v>43</v>
      </c>
      <c r="F35" s="17">
        <f>120+100+140+19+157</f>
        <v>536</v>
      </c>
      <c r="G35" s="9">
        <f>May!G35+F35</f>
        <v>3571</v>
      </c>
      <c r="H35" s="19"/>
      <c r="I35" s="9">
        <f>May!I35+H35</f>
        <v>0</v>
      </c>
      <c r="J35" s="24"/>
      <c r="K35" s="9">
        <f>May!K35+J35</f>
        <v>0</v>
      </c>
    </row>
    <row r="36" spans="1:11" s="5" customFormat="1" ht="18" customHeight="1">
      <c r="A36" s="9" t="s">
        <v>38</v>
      </c>
      <c r="B36" s="13">
        <f>10+7+52</f>
        <v>69</v>
      </c>
      <c r="C36" s="9">
        <f>May!C36+B36</f>
        <v>181</v>
      </c>
      <c r="D36" s="15"/>
      <c r="E36" s="9">
        <f>May!E36+D36</f>
        <v>69</v>
      </c>
      <c r="F36" s="17">
        <f>1+2+1+1+1+39+2</f>
        <v>47</v>
      </c>
      <c r="G36" s="9">
        <f>May!G36+F36</f>
        <v>1160</v>
      </c>
      <c r="H36" s="19"/>
      <c r="I36" s="9">
        <f>May!I36+H36</f>
        <v>0</v>
      </c>
      <c r="J36" s="24"/>
      <c r="K36" s="9">
        <f>May!K36+J36</f>
        <v>0</v>
      </c>
    </row>
    <row r="37" spans="1:11" s="5" customFormat="1" ht="18" customHeight="1">
      <c r="A37" s="9" t="s">
        <v>39</v>
      </c>
      <c r="B37" s="13"/>
      <c r="C37" s="9">
        <f>May!C37+B37</f>
        <v>0</v>
      </c>
      <c r="D37" s="15">
        <f>4</f>
        <v>4</v>
      </c>
      <c r="E37" s="9">
        <f>May!E37+D37</f>
        <v>5</v>
      </c>
      <c r="F37" s="17"/>
      <c r="G37" s="9">
        <f>May!G37+F37</f>
        <v>0</v>
      </c>
      <c r="H37" s="19"/>
      <c r="I37" s="9">
        <f>May!I37+H37</f>
        <v>0</v>
      </c>
      <c r="J37" s="24"/>
      <c r="K37" s="9">
        <f>May!K37+J37</f>
        <v>0</v>
      </c>
    </row>
    <row r="38" spans="1:11" s="5" customFormat="1" ht="18" customHeight="1">
      <c r="A38" s="9" t="s">
        <v>40</v>
      </c>
      <c r="B38" s="13">
        <f>86+148+280+29+50+66+540+57+80+107+223+38+400</f>
        <v>2104</v>
      </c>
      <c r="C38" s="9">
        <f>May!C38+B38</f>
        <v>52054</v>
      </c>
      <c r="D38" s="15">
        <f>13+29+31+1+2+29+37+41+1+1+1+1+6</f>
        <v>193</v>
      </c>
      <c r="E38" s="9">
        <f>May!E38+D38</f>
        <v>1288</v>
      </c>
      <c r="F38" s="17">
        <f>13+91</f>
        <v>104</v>
      </c>
      <c r="G38" s="9">
        <f>May!G38+F38</f>
        <v>129</v>
      </c>
      <c r="H38" s="19"/>
      <c r="I38" s="9">
        <f>May!I38+H38</f>
        <v>0</v>
      </c>
      <c r="J38" s="24"/>
      <c r="K38" s="9">
        <f>May!K38+J38</f>
        <v>0</v>
      </c>
    </row>
    <row r="39" spans="1:11" s="5" customFormat="1" ht="18" customHeight="1">
      <c r="A39" s="9" t="s">
        <v>41</v>
      </c>
      <c r="B39" s="13">
        <f>71+110+72+19+100+100</f>
        <v>472</v>
      </c>
      <c r="C39" s="9">
        <f>May!C39+B39</f>
        <v>912</v>
      </c>
      <c r="D39" s="15">
        <f>1+1</f>
        <v>2</v>
      </c>
      <c r="E39" s="9">
        <f>May!E39+D39</f>
        <v>19</v>
      </c>
      <c r="F39" s="17">
        <f>200+2+100+100+24+14+24+24+24+62+98+1+25+100+161+1</f>
        <v>960</v>
      </c>
      <c r="G39" s="9">
        <f>May!G39+F39</f>
        <v>3445</v>
      </c>
      <c r="H39" s="19"/>
      <c r="I39" s="9">
        <f>May!I39+H39</f>
        <v>0</v>
      </c>
      <c r="J39" s="24"/>
      <c r="K39" s="9">
        <f>May!K39+J39</f>
        <v>0</v>
      </c>
    </row>
    <row r="40" spans="1:11" s="5" customFormat="1" ht="18" customHeight="1">
      <c r="A40" s="9" t="s">
        <v>42</v>
      </c>
      <c r="B40" s="13">
        <f>64+55+54+25+116+58+62+62+170+109+91+91+57+220+59+61+74+60</f>
        <v>1488</v>
      </c>
      <c r="C40" s="9">
        <f>May!C40+B40</f>
        <v>9289</v>
      </c>
      <c r="D40" s="15">
        <f>3+2+9+3+1+378+109</f>
        <v>505</v>
      </c>
      <c r="E40" s="9">
        <f>May!E40+D40</f>
        <v>1012</v>
      </c>
      <c r="F40" s="17">
        <f>2</f>
        <v>2</v>
      </c>
      <c r="G40" s="9">
        <f>May!G40+F40</f>
        <v>8</v>
      </c>
      <c r="H40" s="19"/>
      <c r="I40" s="9">
        <f>May!I40+H40</f>
        <v>0</v>
      </c>
      <c r="J40" s="24"/>
      <c r="K40" s="9">
        <f>May!K40+J40</f>
        <v>0</v>
      </c>
    </row>
    <row r="41" spans="1:11" s="5" customFormat="1" ht="18" customHeight="1">
      <c r="A41" s="9" t="s">
        <v>43</v>
      </c>
      <c r="B41" s="13">
        <f>106+75</f>
        <v>181</v>
      </c>
      <c r="C41" s="9">
        <f>May!C41+B41</f>
        <v>589</v>
      </c>
      <c r="D41" s="15">
        <f>5</f>
        <v>5</v>
      </c>
      <c r="E41" s="9">
        <f>May!E41+D41</f>
        <v>12</v>
      </c>
      <c r="F41" s="17"/>
      <c r="G41" s="9">
        <f>May!G41+F41</f>
        <v>491</v>
      </c>
      <c r="H41" s="19"/>
      <c r="I41" s="9">
        <f>May!I41+H41</f>
        <v>0</v>
      </c>
      <c r="J41" s="24"/>
      <c r="K41" s="9">
        <f>May!K41+J41</f>
        <v>0</v>
      </c>
    </row>
    <row r="42" spans="1:11" s="5" customFormat="1" ht="18" customHeight="1">
      <c r="A42" s="9" t="s">
        <v>44</v>
      </c>
      <c r="B42" s="13"/>
      <c r="C42" s="9">
        <f>May!C42+B42</f>
        <v>585</v>
      </c>
      <c r="D42" s="15">
        <f>1+7</f>
        <v>8</v>
      </c>
      <c r="E42" s="9">
        <f>May!E42+D42</f>
        <v>40</v>
      </c>
      <c r="F42" s="17">
        <f>3+4+45+55+5+75</f>
        <v>187</v>
      </c>
      <c r="G42" s="9">
        <f>May!G42+F42</f>
        <v>546</v>
      </c>
      <c r="H42" s="19"/>
      <c r="I42" s="9">
        <f>May!I42+H42</f>
        <v>0</v>
      </c>
      <c r="J42" s="24"/>
      <c r="K42" s="9">
        <f>May!K42+J42</f>
        <v>0</v>
      </c>
    </row>
    <row r="43" spans="1:11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  <c r="J43" s="24"/>
      <c r="K43" s="9">
        <f>May!K43+J43</f>
        <v>0</v>
      </c>
    </row>
    <row r="44" spans="1:11" s="5" customFormat="1" ht="18" customHeight="1">
      <c r="A44" s="9" t="s">
        <v>46</v>
      </c>
      <c r="B44" s="13">
        <f>94+88+94+101+148</f>
        <v>525</v>
      </c>
      <c r="C44" s="9">
        <f>May!C44+B44</f>
        <v>3260</v>
      </c>
      <c r="D44" s="15"/>
      <c r="E44" s="9">
        <f>May!E44+D44</f>
        <v>0</v>
      </c>
      <c r="F44" s="17"/>
      <c r="G44" s="9">
        <f>May!G44+F44</f>
        <v>0</v>
      </c>
      <c r="H44" s="19"/>
      <c r="I44" s="9">
        <f>May!I44+H44</f>
        <v>0</v>
      </c>
      <c r="J44" s="24"/>
      <c r="K44" s="9">
        <f>May!K44+J44</f>
        <v>0</v>
      </c>
    </row>
    <row r="45" spans="1:11" s="5" customFormat="1" ht="18" customHeight="1">
      <c r="A45" s="9" t="s">
        <v>47</v>
      </c>
      <c r="B45" s="13">
        <f>4+120+5+22+134+106+7+75+19+1+147+33+95+13+132+38+23+33+19+85+69+6+70+194+392+200+235+201+68+151+176+15+90+87+66+277+273+70+92+61+22+124+66+124+74+98+98+113+165+55+292+150+350+57+919+67+53+261+115+244+18+175+29+30+18+49+17+32+125+87+43+23+8+35+15+6+14+28+30+27+24+32+164+25+26+4+51+4+1+8+16+95+12+25+20+26+44+25+51+20+90+84+211+51+8+173+72+13+14+94+80+350+95+103+57+17+3+170+7+75+284+80+238+510+117+92+80+69+80+55+25+22+26+23+109+81+99+80+183+11+91+178+112+51+31+80+65+79+100+79+122+247+124+201+160+74+9+30+20+59+111+101+21+45+20+57+72+39+81+90+80+52+197+77+74+3+15+2+10+41+6+49+14+35+17+38+13+55+66+20+33+12+33+23+32+18+43+90+142+97+84+3+64+13+81+42+12+12+108+2+36+37+2+12+22+118+11+6+78+21+15+9+18+28+5+13+145+17+212+18+40+13+77+227+98+144+64+71+88+30+73+64+1+80+8+61+12+18+35+97+79+31+94+46+21+73+94+48+66+90+667+210+89+60+140+91+49+99+95+103+4+18+80+109+92+53+97+84+97+27+27+66+11+30+16+96+7+89+13+95+137+12+28+73+95+83+52+95+23+6+90+186+79+16+6+126+55</f>
        <v>23863</v>
      </c>
      <c r="C45" s="9">
        <f>May!C45+B45</f>
        <v>177625</v>
      </c>
      <c r="D45" s="15">
        <f>4+1+18+12+4+35+8+3+18+5+4+28+4+30+11+1+10+2+5+1+9+12+2+47+5+8+29+62+17+18+30+11+1+1+40+15+3+43+1+1+1+1+2+1+15+6+5+2+2+4+3+1+7+43+22+11+4+40+39+7+7+5+5+1+19+11+30+1+1+5+9+125+2+1+12+6+5+16+10+20+1+17+1+1+7+15+25+3+28+8+3+1+4+9+4+3+3+6+8+8+7+1+15+13+25+3+8+4+10+2+2+1+1+15+15+30+44+13+14+6+52+9+1+41+1+1+42+128+43+197</f>
        <v>1965</v>
      </c>
      <c r="E45" s="9">
        <f>May!E45+D45</f>
        <v>7244</v>
      </c>
      <c r="F45" s="17">
        <f>1+51+4</f>
        <v>56</v>
      </c>
      <c r="G45" s="9">
        <f>May!G45+F45</f>
        <v>519</v>
      </c>
      <c r="H45" s="19">
        <f>1</f>
        <v>1</v>
      </c>
      <c r="I45" s="9">
        <f>May!I45+H45</f>
        <v>1</v>
      </c>
      <c r="J45" s="24"/>
      <c r="K45" s="9">
        <f>May!K45+J45</f>
        <v>0</v>
      </c>
    </row>
    <row r="46" spans="1:11" s="5" customFormat="1" ht="18" customHeight="1">
      <c r="A46" s="9" t="s">
        <v>48</v>
      </c>
      <c r="B46" s="13">
        <f>100+36+13+57+116+64+50+13+63+147+89+137+74+83+95+107+89+63+97+87+122+90+55+94+82+97+92+108+110+64+100+60+50+70+55+70</f>
        <v>2899</v>
      </c>
      <c r="C46" s="9">
        <f>May!C46+B46</f>
        <v>12985</v>
      </c>
      <c r="D46" s="15">
        <f>1+11+11+11+11+11+11+11+8</f>
        <v>86</v>
      </c>
      <c r="E46" s="9">
        <f>May!E46+D46</f>
        <v>139</v>
      </c>
      <c r="F46" s="17">
        <f>90+127+110+76+76+74</f>
        <v>553</v>
      </c>
      <c r="G46" s="9">
        <f>May!G46+F46</f>
        <v>1356</v>
      </c>
      <c r="H46" s="19"/>
      <c r="I46" s="9">
        <f>May!I46+H46</f>
        <v>0</v>
      </c>
      <c r="J46" s="24"/>
      <c r="K46" s="9">
        <f>May!K46+J46</f>
        <v>0</v>
      </c>
    </row>
    <row r="47" spans="1:11" s="5" customFormat="1" ht="18" customHeight="1">
      <c r="A47" s="9" t="s">
        <v>49</v>
      </c>
      <c r="B47" s="13">
        <f>70+110+35+110+169+115+87+73+75+36+422</f>
        <v>1302</v>
      </c>
      <c r="C47" s="9">
        <f>May!C47+B47</f>
        <v>2836</v>
      </c>
      <c r="D47" s="15">
        <f>1+35+3</f>
        <v>39</v>
      </c>
      <c r="E47" s="9">
        <f>May!E47+D47</f>
        <v>307</v>
      </c>
      <c r="F47" s="17">
        <f>200+200+70+150+200+144</f>
        <v>964</v>
      </c>
      <c r="G47" s="9">
        <f>May!G47+F47</f>
        <v>4654</v>
      </c>
      <c r="H47" s="19"/>
      <c r="I47" s="9">
        <f>May!I47+H47</f>
        <v>0</v>
      </c>
      <c r="J47" s="24"/>
      <c r="K47" s="9">
        <f>May!K47+J47</f>
        <v>0</v>
      </c>
    </row>
    <row r="48" spans="1:11" s="5" customFormat="1" ht="18" customHeight="1">
      <c r="A48" s="9" t="s">
        <v>50</v>
      </c>
      <c r="B48" s="13"/>
      <c r="C48" s="9">
        <f>May!C48+B48</f>
        <v>232</v>
      </c>
      <c r="D48" s="15">
        <f>1</f>
        <v>1</v>
      </c>
      <c r="E48" s="9">
        <f>May!E48+D48</f>
        <v>12</v>
      </c>
      <c r="F48" s="17"/>
      <c r="G48" s="9">
        <f>May!G48+F48</f>
        <v>351</v>
      </c>
      <c r="H48" s="19"/>
      <c r="I48" s="9">
        <f>May!I48+H48</f>
        <v>0</v>
      </c>
      <c r="J48" s="24"/>
      <c r="K48" s="9">
        <f>May!K48+J48</f>
        <v>0</v>
      </c>
    </row>
    <row r="49" spans="1:11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>
        <f>9</f>
        <v>9</v>
      </c>
      <c r="G49" s="9">
        <f>May!G49+F49</f>
        <v>238</v>
      </c>
      <c r="H49" s="19"/>
      <c r="I49" s="9">
        <f>May!I49+H49</f>
        <v>0</v>
      </c>
      <c r="J49" s="24"/>
      <c r="K49" s="9">
        <f>May!K49+J49</f>
        <v>0</v>
      </c>
    </row>
    <row r="50" spans="1:11" s="5" customFormat="1" ht="18" customHeight="1">
      <c r="A50" s="9" t="s">
        <v>52</v>
      </c>
      <c r="B50" s="13">
        <f>41+106+67+26+3+11+16</f>
        <v>270</v>
      </c>
      <c r="C50" s="9">
        <f>May!C50+B50</f>
        <v>7955</v>
      </c>
      <c r="D50" s="15"/>
      <c r="E50" s="9">
        <f>May!E50+D50</f>
        <v>230</v>
      </c>
      <c r="F50" s="17"/>
      <c r="G50" s="9">
        <f>May!G50+F50</f>
        <v>0</v>
      </c>
      <c r="H50" s="19"/>
      <c r="I50" s="9">
        <f>May!I50+H50</f>
        <v>0</v>
      </c>
      <c r="J50" s="24"/>
      <c r="K50" s="9">
        <f>May!K50+J50</f>
        <v>0</v>
      </c>
    </row>
    <row r="51" spans="1:11" s="5" customFormat="1" ht="18" customHeight="1">
      <c r="A51" s="9" t="s">
        <v>53</v>
      </c>
      <c r="B51" s="13"/>
      <c r="C51" s="9">
        <f>May!C51+B51</f>
        <v>0</v>
      </c>
      <c r="D51" s="15"/>
      <c r="E51" s="9">
        <f>May!E51+D51</f>
        <v>7</v>
      </c>
      <c r="F51" s="17"/>
      <c r="G51" s="9">
        <f>May!G51+F51</f>
        <v>0</v>
      </c>
      <c r="H51" s="19"/>
      <c r="I51" s="9">
        <f>May!I51+H51</f>
        <v>0</v>
      </c>
      <c r="J51" s="24"/>
      <c r="K51" s="9">
        <f>May!K51+J51</f>
        <v>0</v>
      </c>
    </row>
    <row r="52" spans="1:11" s="5" customFormat="1" ht="18" customHeight="1">
      <c r="A52" s="9" t="s">
        <v>54</v>
      </c>
      <c r="B52" s="13">
        <f>71+71+59</f>
        <v>201</v>
      </c>
      <c r="C52" s="9">
        <f>May!C52+B52</f>
        <v>1890</v>
      </c>
      <c r="D52" s="15"/>
      <c r="E52" s="9">
        <f>May!E52+D52</f>
        <v>1</v>
      </c>
      <c r="F52" s="17"/>
      <c r="G52" s="9">
        <f>May!G52+F52</f>
        <v>0</v>
      </c>
      <c r="H52" s="19"/>
      <c r="I52" s="9">
        <f>May!I52+H52</f>
        <v>0</v>
      </c>
      <c r="J52" s="24"/>
      <c r="K52" s="9">
        <f>May!K52+J52</f>
        <v>0</v>
      </c>
    </row>
    <row r="53" spans="1:11" s="5" customFormat="1" ht="18" customHeight="1">
      <c r="A53" s="9" t="s">
        <v>55</v>
      </c>
      <c r="B53" s="13">
        <f>89+16+1+1+1+1+9+19+179+107+13+26+45+54+28+74+7+5+7+104+2+2+1360</f>
        <v>2150</v>
      </c>
      <c r="C53" s="9">
        <f>May!C53+B53</f>
        <v>11789</v>
      </c>
      <c r="D53" s="15">
        <f>3+2+4+56+9+16+16+1+2+1+12+1+1+2+1+8+50+8+14+46+16</f>
        <v>269</v>
      </c>
      <c r="E53" s="9">
        <f>May!E53+D53</f>
        <v>1742</v>
      </c>
      <c r="F53" s="17">
        <f>7+5+12+79+8+22+38+2+23+22+1+17+124+23+45+31+35+62+31+28+57+48+28+2+7+2+7+1+20+95+34+30+50+7+39+24+6+81+5+3+2+1+37+18+108+24+16+73+1+1+1+1+3+10+115+55+70+85+50+25+47+120+63+4+3+4+37+4+6+12+120+6+18+28+28+10+77+3+3+1+45+22+124+88+1+10+1+3+14+19+38+1+5+6+2+3+206</f>
        <v>3039</v>
      </c>
      <c r="G53" s="9">
        <f>May!G53+F53</f>
        <v>20297</v>
      </c>
      <c r="H53" s="19"/>
      <c r="I53" s="9">
        <f>May!I53+H53</f>
        <v>0</v>
      </c>
      <c r="J53" s="24"/>
      <c r="K53" s="9">
        <f>May!K53+J53</f>
        <v>0</v>
      </c>
    </row>
    <row r="54" spans="1:11" s="5" customFormat="1" ht="18" customHeight="1" thickBot="1">
      <c r="A54" s="10" t="s">
        <v>56</v>
      </c>
      <c r="B54" s="13">
        <f>70+200</f>
        <v>270</v>
      </c>
      <c r="C54" s="9">
        <f>May!C54+B54</f>
        <v>3079</v>
      </c>
      <c r="D54" s="16">
        <f>33+43+1+23+33+35+46</f>
        <v>214</v>
      </c>
      <c r="E54" s="9">
        <f>May!E54+D54</f>
        <v>1225</v>
      </c>
      <c r="F54" s="17"/>
      <c r="G54" s="9">
        <f>May!G54+F54</f>
        <v>89</v>
      </c>
      <c r="H54" s="19"/>
      <c r="I54" s="9">
        <f>May!I54+H54</f>
        <v>0</v>
      </c>
      <c r="J54" s="25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83505</v>
      </c>
      <c r="C55" s="11"/>
      <c r="D55" s="11">
        <f>SUM(D5:D54)</f>
        <v>9011</v>
      </c>
      <c r="E55" s="11"/>
      <c r="F55" s="11">
        <f>SUM(F5:F54)</f>
        <v>16319</v>
      </c>
      <c r="G55" s="11"/>
      <c r="H55" s="11">
        <f>SUM(H5:H54)</f>
        <v>149</v>
      </c>
      <c r="I55" s="11"/>
      <c r="J55" s="11">
        <f>SUM(J5:J54)</f>
        <v>36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556155</v>
      </c>
      <c r="D57" s="11"/>
      <c r="E57" s="11">
        <f>May!E57+D55</f>
        <v>35656</v>
      </c>
      <c r="F57" s="11"/>
      <c r="G57" s="11">
        <f>May!G57+F55</f>
        <v>73241</v>
      </c>
      <c r="H57" s="11"/>
      <c r="I57" s="11">
        <f>May!I57+H55</f>
        <v>183</v>
      </c>
      <c r="J57" s="11"/>
      <c r="K57" s="11">
        <f>May!K57+J55</f>
        <v>71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5366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2911</v>
      </c>
      <c r="G62" s="4">
        <f>May!G62+F60</f>
        <v>12447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67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v>337</v>
      </c>
      <c r="C5" s="9">
        <f>June!C5+B5</f>
        <v>455</v>
      </c>
      <c r="D5" s="15"/>
      <c r="E5" s="9">
        <f>June!E5+D5</f>
        <v>7</v>
      </c>
      <c r="F5" s="17"/>
      <c r="G5" s="9">
        <f>June!G5+F5</f>
        <v>0</v>
      </c>
      <c r="H5" s="19"/>
      <c r="I5" s="9">
        <f>June!I5+H5</f>
        <v>0</v>
      </c>
      <c r="J5" s="24"/>
      <c r="K5" s="9">
        <f>June!K5+J5</f>
        <v>0</v>
      </c>
    </row>
    <row r="6" spans="1:11" s="5" customFormat="1" ht="18" customHeight="1">
      <c r="A6" s="9" t="s">
        <v>8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  <c r="J6" s="24"/>
      <c r="K6" s="9">
        <f>June!K6+J6</f>
        <v>0</v>
      </c>
    </row>
    <row r="7" spans="1:11" s="5" customFormat="1" ht="18" customHeight="1">
      <c r="A7" s="9" t="s">
        <v>9</v>
      </c>
      <c r="B7" s="13"/>
      <c r="C7" s="9">
        <f>June!C7+B7</f>
        <v>84</v>
      </c>
      <c r="D7" s="15"/>
      <c r="E7" s="9">
        <f>June!E7+D7</f>
        <v>125</v>
      </c>
      <c r="F7" s="17">
        <f>59</f>
        <v>59</v>
      </c>
      <c r="G7" s="9">
        <f>June!G7+F7</f>
        <v>1834</v>
      </c>
      <c r="H7" s="19"/>
      <c r="I7" s="9">
        <f>June!I7+H7</f>
        <v>0</v>
      </c>
      <c r="J7" s="24"/>
      <c r="K7" s="9">
        <f>June!K7+J7</f>
        <v>0</v>
      </c>
    </row>
    <row r="8" spans="1:11" s="5" customFormat="1" ht="18" customHeight="1">
      <c r="A8" s="9" t="s">
        <v>10</v>
      </c>
      <c r="B8" s="13">
        <f>83+58+97+84+350+350+85+92+65+120+65+77</f>
        <v>1526</v>
      </c>
      <c r="C8" s="9">
        <f>June!C8+B8</f>
        <v>5502</v>
      </c>
      <c r="D8" s="15"/>
      <c r="E8" s="9">
        <f>June!E8+D8</f>
        <v>142</v>
      </c>
      <c r="F8" s="17"/>
      <c r="G8" s="9">
        <f>June!G8+F8</f>
        <v>0</v>
      </c>
      <c r="H8" s="19"/>
      <c r="I8" s="9">
        <f>June!I8+H8</f>
        <v>0</v>
      </c>
      <c r="J8" s="24"/>
      <c r="K8" s="9">
        <f>June!K8+J8</f>
        <v>0</v>
      </c>
    </row>
    <row r="9" spans="1:11" s="5" customFormat="1" ht="18" customHeight="1">
      <c r="A9" s="9" t="s">
        <v>11</v>
      </c>
      <c r="B9" s="13">
        <f>150+60</f>
        <v>210</v>
      </c>
      <c r="C9" s="9">
        <f>June!C9+B9</f>
        <v>2693</v>
      </c>
      <c r="D9" s="15">
        <f>2+2+2</f>
        <v>6</v>
      </c>
      <c r="E9" s="9">
        <f>June!E9+D9</f>
        <v>836</v>
      </c>
      <c r="F9" s="17">
        <f>90+316+273+1+425</f>
        <v>1105</v>
      </c>
      <c r="G9" s="9">
        <f>June!G9+F9</f>
        <v>5217</v>
      </c>
      <c r="H9" s="19"/>
      <c r="I9" s="9">
        <f>June!I9+H9</f>
        <v>148</v>
      </c>
      <c r="J9" s="24"/>
      <c r="K9" s="9">
        <f>June!K9+J9</f>
        <v>0</v>
      </c>
    </row>
    <row r="10" spans="1:11" s="5" customFormat="1" ht="18" customHeight="1">
      <c r="A10" s="9" t="s">
        <v>12</v>
      </c>
      <c r="B10" s="13"/>
      <c r="C10" s="9">
        <f>June!C10+B10</f>
        <v>31413</v>
      </c>
      <c r="D10" s="15">
        <f>3</f>
        <v>3</v>
      </c>
      <c r="E10" s="9">
        <f>June!E10+D10</f>
        <v>80</v>
      </c>
      <c r="F10" s="17">
        <v>3</v>
      </c>
      <c r="G10" s="9">
        <f>June!G10+F10</f>
        <v>292</v>
      </c>
      <c r="H10" s="19"/>
      <c r="I10" s="9">
        <f>June!I10+H10</f>
        <v>34</v>
      </c>
      <c r="J10" s="24"/>
      <c r="K10" s="9">
        <f>June!K10+J10</f>
        <v>0</v>
      </c>
    </row>
    <row r="11" spans="1:11" s="5" customFormat="1" ht="18" customHeight="1">
      <c r="A11" s="9" t="s">
        <v>13</v>
      </c>
      <c r="B11" s="13"/>
      <c r="C11" s="9">
        <f>June!C11+B11</f>
        <v>2334</v>
      </c>
      <c r="D11" s="15">
        <f>1+1+2+1+122+1+1</f>
        <v>129</v>
      </c>
      <c r="E11" s="9">
        <f>June!E11+D11</f>
        <v>389</v>
      </c>
      <c r="F11" s="17">
        <f>1+2+1+2+712</f>
        <v>718</v>
      </c>
      <c r="G11" s="9">
        <f>June!G11+F11</f>
        <v>1399</v>
      </c>
      <c r="H11" s="19"/>
      <c r="I11" s="9">
        <f>June!I11+H11</f>
        <v>0</v>
      </c>
      <c r="J11" s="24"/>
      <c r="K11" s="9">
        <f>June!K11+J11</f>
        <v>2</v>
      </c>
    </row>
    <row r="12" spans="1:11" s="5" customFormat="1" ht="18" customHeight="1">
      <c r="A12" s="9" t="s">
        <v>14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  <c r="J12" s="24"/>
      <c r="K12" s="9">
        <f>June!K12+J12</f>
        <v>0</v>
      </c>
    </row>
    <row r="13" spans="1:11" s="5" customFormat="1" ht="18" customHeight="1">
      <c r="A13" s="9" t="s">
        <v>15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  <c r="J13" s="24"/>
      <c r="K13" s="9">
        <f>June!K13+J13</f>
        <v>0</v>
      </c>
    </row>
    <row r="14" spans="1:11" s="5" customFormat="1" ht="18" customHeight="1">
      <c r="A14" s="9" t="s">
        <v>16</v>
      </c>
      <c r="B14" s="13"/>
      <c r="C14" s="9">
        <f>June!C14+B14</f>
        <v>253</v>
      </c>
      <c r="D14" s="15"/>
      <c r="E14" s="9">
        <f>June!E14+D14</f>
        <v>0</v>
      </c>
      <c r="F14" s="17">
        <f>30</f>
        <v>30</v>
      </c>
      <c r="G14" s="9">
        <f>June!G14+F14</f>
        <v>57</v>
      </c>
      <c r="H14" s="19"/>
      <c r="I14" s="9">
        <f>June!I14+H14</f>
        <v>0</v>
      </c>
      <c r="J14" s="24"/>
      <c r="K14" s="9">
        <f>June!K14+J14</f>
        <v>0</v>
      </c>
    </row>
    <row r="15" spans="1:11" s="5" customFormat="1" ht="18" customHeight="1">
      <c r="A15" s="9" t="s">
        <v>17</v>
      </c>
      <c r="B15" s="13">
        <f>69+68+112+69+2+93+56+19+58</f>
        <v>546</v>
      </c>
      <c r="C15" s="9">
        <f>June!C15+B15</f>
        <v>1935</v>
      </c>
      <c r="D15" s="15">
        <f>1</f>
        <v>1</v>
      </c>
      <c r="E15" s="9">
        <f>June!E15+D15</f>
        <v>33</v>
      </c>
      <c r="F15" s="17"/>
      <c r="G15" s="9">
        <f>June!G15+F15</f>
        <v>102</v>
      </c>
      <c r="H15" s="19"/>
      <c r="I15" s="9">
        <f>June!I15+H15</f>
        <v>0</v>
      </c>
      <c r="J15" s="24"/>
      <c r="K15" s="9">
        <f>June!K15+J15</f>
        <v>0</v>
      </c>
    </row>
    <row r="16" spans="1:11" s="5" customFormat="1" ht="18" customHeight="1">
      <c r="A16" s="9" t="s">
        <v>18</v>
      </c>
      <c r="B16" s="13">
        <f>113</f>
        <v>113</v>
      </c>
      <c r="C16" s="9">
        <f>June!C16+B16</f>
        <v>113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  <c r="J16" s="24"/>
      <c r="K16" s="9">
        <f>June!K16+J16</f>
        <v>0</v>
      </c>
    </row>
    <row r="17" spans="1:11" s="5" customFormat="1" ht="18" customHeight="1">
      <c r="A17" s="9" t="s">
        <v>19</v>
      </c>
      <c r="B17" s="13"/>
      <c r="C17" s="9">
        <f>June!C17+B17</f>
        <v>1961</v>
      </c>
      <c r="D17" s="15"/>
      <c r="E17" s="9">
        <f>June!E17+D17</f>
        <v>322</v>
      </c>
      <c r="F17" s="17">
        <f>1+1+74</f>
        <v>76</v>
      </c>
      <c r="G17" s="9">
        <f>June!G17+F17</f>
        <v>1047</v>
      </c>
      <c r="H17" s="19"/>
      <c r="I17" s="9">
        <f>June!I17+H17</f>
        <v>0</v>
      </c>
      <c r="J17" s="24"/>
      <c r="K17" s="9">
        <f>June!K17+J17</f>
        <v>0</v>
      </c>
    </row>
    <row r="18" spans="1:11" s="5" customFormat="1" ht="18" customHeight="1">
      <c r="A18" s="9" t="s">
        <v>20</v>
      </c>
      <c r="B18" s="13">
        <f>60+97+70+70+70+70+70+70</f>
        <v>577</v>
      </c>
      <c r="C18" s="9">
        <f>June!C18+B18</f>
        <v>3415</v>
      </c>
      <c r="D18" s="15">
        <f>1+2+2+1+1+6</f>
        <v>13</v>
      </c>
      <c r="E18" s="9">
        <f>June!E18+D18</f>
        <v>363</v>
      </c>
      <c r="F18" s="17">
        <f>2+8+1+1+114+7+2</f>
        <v>135</v>
      </c>
      <c r="G18" s="9">
        <f>June!G18+F18</f>
        <v>794</v>
      </c>
      <c r="H18" s="19"/>
      <c r="I18" s="9">
        <f>June!I18+H18</f>
        <v>0</v>
      </c>
      <c r="J18" s="24"/>
      <c r="K18" s="9">
        <f>June!K18+J18</f>
        <v>0</v>
      </c>
    </row>
    <row r="19" spans="1:11" s="5" customFormat="1" ht="18" customHeight="1">
      <c r="A19" s="9" t="s">
        <v>21</v>
      </c>
      <c r="B19" s="13">
        <v>675</v>
      </c>
      <c r="C19" s="9">
        <f>June!C19+B19</f>
        <v>5076</v>
      </c>
      <c r="D19" s="15">
        <f>1+2+1+1</f>
        <v>5</v>
      </c>
      <c r="E19" s="9">
        <f>June!E19+D19</f>
        <v>1031</v>
      </c>
      <c r="F19" s="17">
        <f>200+105</f>
        <v>305</v>
      </c>
      <c r="G19" s="9">
        <f>June!G19+F19</f>
        <v>7404</v>
      </c>
      <c r="H19" s="19"/>
      <c r="I19" s="9">
        <f>June!I19+H19</f>
        <v>0</v>
      </c>
      <c r="J19" s="24"/>
      <c r="K19" s="9">
        <f>June!K19+J19</f>
        <v>0</v>
      </c>
    </row>
    <row r="20" spans="1:11" s="5" customFormat="1" ht="18" customHeight="1">
      <c r="A20" s="9" t="s">
        <v>22</v>
      </c>
      <c r="B20" s="13">
        <f>91+29+35+165+64+53+58+110+165+71+71+162+190+95+93+146+63</f>
        <v>1661</v>
      </c>
      <c r="C20" s="9">
        <f>June!C20+B20</f>
        <v>19291</v>
      </c>
      <c r="D20" s="15">
        <f>5+1+9+1+1+4</f>
        <v>21</v>
      </c>
      <c r="E20" s="9">
        <f>June!E20+D20</f>
        <v>592</v>
      </c>
      <c r="F20" s="17">
        <f>2+258+52+37+135</f>
        <v>484</v>
      </c>
      <c r="G20" s="9">
        <f>June!G20+F20</f>
        <v>1432</v>
      </c>
      <c r="H20" s="19"/>
      <c r="I20" s="9">
        <f>June!I20+H20</f>
        <v>0</v>
      </c>
      <c r="J20" s="24"/>
      <c r="K20" s="9">
        <f>June!K20+J20</f>
        <v>23</v>
      </c>
    </row>
    <row r="21" spans="1:11" s="5" customFormat="1" ht="18" customHeight="1">
      <c r="A21" s="9" t="s">
        <v>23</v>
      </c>
      <c r="B21" s="13">
        <f>77+77+83+58+96+68+71+87+56+80+79+58+61+70+70+74+60+150+75+120+105+61+192+222+74+126+76+120+136+160+62+70+55+61+135+121+133+62+55+58+60+370+125+127+69+48+15+84+355+70+233+60+565+77+151+179+166+86+54+74+62+61+52+64+120+222+136+120+76</f>
        <v>7535</v>
      </c>
      <c r="C21" s="9">
        <f>June!C21+B21</f>
        <v>50522</v>
      </c>
      <c r="D21" s="15">
        <f>29+10+3</f>
        <v>42</v>
      </c>
      <c r="E21" s="9">
        <f>June!E21+D21</f>
        <v>141</v>
      </c>
      <c r="F21" s="17">
        <f>94+93+67+61+122+66+69+150+94</f>
        <v>816</v>
      </c>
      <c r="G21" s="9">
        <f>June!G21+F21</f>
        <v>2905</v>
      </c>
      <c r="H21" s="19"/>
      <c r="I21" s="9">
        <f>June!I21+H21</f>
        <v>0</v>
      </c>
      <c r="J21" s="24"/>
      <c r="K21" s="9">
        <f>June!K21+J21</f>
        <v>0</v>
      </c>
    </row>
    <row r="22" spans="1:11" s="5" customFormat="1" ht="18" customHeight="1">
      <c r="A22" s="9" t="s">
        <v>24</v>
      </c>
      <c r="B22" s="13"/>
      <c r="C22" s="9">
        <f>June!C22+B22</f>
        <v>0</v>
      </c>
      <c r="D22" s="15"/>
      <c r="E22" s="9">
        <f>June!E22+D22</f>
        <v>1</v>
      </c>
      <c r="F22" s="17"/>
      <c r="G22" s="9">
        <f>June!G22+F22</f>
        <v>0</v>
      </c>
      <c r="H22" s="19"/>
      <c r="I22" s="9">
        <f>June!I22+H22</f>
        <v>0</v>
      </c>
      <c r="J22" s="24"/>
      <c r="K22" s="9">
        <f>June!K22+J22</f>
        <v>0</v>
      </c>
    </row>
    <row r="23" spans="1:11" s="5" customFormat="1" ht="18" customHeight="1">
      <c r="A23" s="9" t="s">
        <v>25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  <c r="J23" s="24"/>
      <c r="K23" s="9">
        <f>June!K23+J23</f>
        <v>0</v>
      </c>
    </row>
    <row r="24" spans="1:11" s="5" customFormat="1" ht="18" customHeight="1">
      <c r="A24" s="9" t="s">
        <v>26</v>
      </c>
      <c r="B24" s="13"/>
      <c r="C24" s="9">
        <f>June!C24+B24</f>
        <v>0</v>
      </c>
      <c r="D24" s="15">
        <f>3</f>
        <v>3</v>
      </c>
      <c r="E24" s="9">
        <f>June!E24+D24</f>
        <v>4</v>
      </c>
      <c r="F24" s="17"/>
      <c r="G24" s="9">
        <f>June!G24+F24</f>
        <v>2</v>
      </c>
      <c r="H24" s="19"/>
      <c r="I24" s="9">
        <f>June!I24+H24</f>
        <v>0</v>
      </c>
      <c r="J24" s="24"/>
      <c r="K24" s="9">
        <f>June!K24+J24</f>
        <v>0</v>
      </c>
    </row>
    <row r="25" spans="1:11" s="5" customFormat="1" ht="18" customHeight="1">
      <c r="A25" s="9" t="s">
        <v>27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  <c r="J25" s="24"/>
      <c r="K25" s="9">
        <f>June!K25+J25</f>
        <v>0</v>
      </c>
    </row>
    <row r="26" spans="1:11" s="5" customFormat="1" ht="18" customHeight="1">
      <c r="A26" s="9" t="s">
        <v>28</v>
      </c>
      <c r="B26" s="13">
        <v>724</v>
      </c>
      <c r="C26" s="9">
        <f>June!C26+B26</f>
        <v>1579</v>
      </c>
      <c r="D26" s="15"/>
      <c r="E26" s="9">
        <f>June!E26+D26</f>
        <v>373</v>
      </c>
      <c r="F26" s="17">
        <f>200+75+40+100+107+58</f>
        <v>580</v>
      </c>
      <c r="G26" s="9">
        <f>June!G26+F26</f>
        <v>8876</v>
      </c>
      <c r="H26" s="19"/>
      <c r="I26" s="9">
        <f>June!I26+H26</f>
        <v>0</v>
      </c>
      <c r="J26" s="24"/>
      <c r="K26" s="9">
        <f>June!K26+J26</f>
        <v>0</v>
      </c>
    </row>
    <row r="27" spans="1:11" s="5" customFormat="1" ht="18" customHeight="1">
      <c r="A27" s="9" t="s">
        <v>29</v>
      </c>
      <c r="B27" s="13">
        <f>2+6+8+4+10+3+168+54+35+75+44+23+36+103+49</f>
        <v>620</v>
      </c>
      <c r="C27" s="9">
        <f>June!C27+B27</f>
        <v>14040</v>
      </c>
      <c r="D27" s="15">
        <f>1+1+72+5+28+4+2+2+5+1+12+1+3+5+6+7+6+18+10+1+47+1+3+4+4+3+6+12+2+3+16+4+4+2+7+1+1+2+26+3+6+20+3+16+41+9</f>
        <v>436</v>
      </c>
      <c r="E27" s="9">
        <f>June!E27+D27</f>
        <v>3618</v>
      </c>
      <c r="F27" s="17">
        <f>6+14+22+3+8+40+1+18+20+3+2+15+16+2+1+1+12+8+52+17+17+5+5+1+5+21+10+4+18+1+20+2+6+19+22+57+23+110+4+32+6+10+6+53+29+51+47+1+6+4+28+3+10+5+82+1+17+7+2+14+14+11+3+26+7+4+17+2+30+7</f>
        <v>1146</v>
      </c>
      <c r="G27" s="9">
        <f>June!G27+F27</f>
        <v>6655</v>
      </c>
      <c r="H27" s="19"/>
      <c r="I27" s="9">
        <f>June!I27+H27</f>
        <v>0</v>
      </c>
      <c r="J27" s="24"/>
      <c r="K27" s="9">
        <f>June!K27+J27</f>
        <v>0</v>
      </c>
    </row>
    <row r="28" spans="1:11" s="5" customFormat="1" ht="18" customHeight="1">
      <c r="A28" s="9" t="s">
        <v>30</v>
      </c>
      <c r="B28" s="13">
        <f>110</f>
        <v>110</v>
      </c>
      <c r="C28" s="9">
        <f>June!C28+B28</f>
        <v>1001</v>
      </c>
      <c r="D28" s="15"/>
      <c r="E28" s="9">
        <f>June!E28+D28</f>
        <v>2</v>
      </c>
      <c r="F28" s="17"/>
      <c r="G28" s="9">
        <f>June!G28+F28</f>
        <v>211</v>
      </c>
      <c r="H28" s="19"/>
      <c r="I28" s="9">
        <f>June!I28+H28</f>
        <v>0</v>
      </c>
      <c r="J28" s="24"/>
      <c r="K28" s="9">
        <f>June!K28+J28</f>
        <v>0</v>
      </c>
    </row>
    <row r="29" spans="1:11" s="5" customFormat="1" ht="18" customHeight="1">
      <c r="A29" s="9" t="s">
        <v>31</v>
      </c>
      <c r="B29" s="13">
        <f>9+45+48+33+94+29+50+110+80+60+60+26+28+18+61+183+79+34+45+105+26+122+44+90+21+148+105+96+115+120+88+120+120+67+105+88+86+63+92+91+39+122+5+105+103+32+88+130+87+104+101+31+41+35+95+42+56+114+45+85+107+56+64+70+70+56+70+84+89+107+94+79+71+65+89+71+68+55+115+111+115+121+111+55+58+46+62+81+31+96+165+71+68+65+42+184+143+17+79+246+23+205+153+111+63+242+60+67+344+73+5+110+102+44+9+43+157+121+58+129+70+15+72+73+28+12+61+78+120+114+44+47+114+66+220+60+60+60+60+44+81+84+69+24+60+1+91+75+14+63+14+104+62+26+40+80+30+18+80+90+60+75+19+62+33+10+64+14+40+34+61+51+24+145+71+37</f>
        <v>13354</v>
      </c>
      <c r="C29" s="9">
        <f>June!C29+B29</f>
        <v>91727</v>
      </c>
      <c r="D29" s="15">
        <f>22+6+75+43+45+1+1+2+2+12+2+6+10+5+2+2+1+6+22</f>
        <v>265</v>
      </c>
      <c r="E29" s="9">
        <f>June!E29+D29</f>
        <v>2923</v>
      </c>
      <c r="F29" s="17">
        <f>90+140</f>
        <v>230</v>
      </c>
      <c r="G29" s="9">
        <f>June!G29+F29</f>
        <v>1413</v>
      </c>
      <c r="H29" s="19"/>
      <c r="I29" s="9">
        <f>June!I29+H29</f>
        <v>0</v>
      </c>
      <c r="J29" s="24">
        <f>3</f>
        <v>3</v>
      </c>
      <c r="K29" s="9">
        <f>June!K29+J29</f>
        <v>49</v>
      </c>
    </row>
    <row r="30" spans="1:11" s="5" customFormat="1" ht="18" customHeight="1">
      <c r="A30" s="9" t="s">
        <v>32</v>
      </c>
      <c r="B30" s="13">
        <f>324+5+10+78+42+12+121</f>
        <v>592</v>
      </c>
      <c r="C30" s="9">
        <f>June!C30+B30</f>
        <v>29640</v>
      </c>
      <c r="D30" s="15">
        <f>14+11</f>
        <v>25</v>
      </c>
      <c r="E30" s="9">
        <f>June!E30+D30</f>
        <v>3950</v>
      </c>
      <c r="F30" s="17">
        <f>74</f>
        <v>74</v>
      </c>
      <c r="G30" s="9">
        <f>June!G30+F30</f>
        <v>373</v>
      </c>
      <c r="H30" s="19"/>
      <c r="I30" s="9">
        <f>June!I30+H30</f>
        <v>0</v>
      </c>
      <c r="J30" s="24"/>
      <c r="K30" s="9">
        <f>June!K30+J30</f>
        <v>0</v>
      </c>
    </row>
    <row r="31" spans="1:11" s="5" customFormat="1" ht="18" customHeight="1">
      <c r="A31" s="9" t="s">
        <v>33</v>
      </c>
      <c r="B31" s="13">
        <f>157+60+228+19+2+148+80+63+60+174+182+208+199+124+14+40+240+67+69+67+129+37+75+150+64+179+83+86+66+67+165+40+116+58+68+136+44+230+46+67+186+54+64+131+82+150+146+248+3</f>
        <v>5171</v>
      </c>
      <c r="C31" s="9">
        <f>June!C31+B31</f>
        <v>39403</v>
      </c>
      <c r="D31" s="15">
        <f>2+4+1+79+16+7+3+5+6+6+1+77+1+2+2+4+6+2+1+1+15</f>
        <v>241</v>
      </c>
      <c r="E31" s="9">
        <f>June!E31+D31</f>
        <v>8518</v>
      </c>
      <c r="F31" s="17">
        <f>42+40+109+111+70+60+78+111+5+80+80+4+52+1+44</f>
        <v>887</v>
      </c>
      <c r="G31" s="9">
        <f>June!G31+F31</f>
        <v>3022</v>
      </c>
      <c r="H31" s="19"/>
      <c r="I31" s="9">
        <f>June!I31+H31</f>
        <v>0</v>
      </c>
      <c r="J31" s="24"/>
      <c r="K31" s="9">
        <f>June!K31+J31</f>
        <v>0</v>
      </c>
    </row>
    <row r="32" spans="1:11" s="5" customFormat="1" ht="18" customHeight="1">
      <c r="A32" s="9" t="s">
        <v>34</v>
      </c>
      <c r="B32" s="13"/>
      <c r="C32" s="9">
        <f>June!C32+B32</f>
        <v>184</v>
      </c>
      <c r="D32" s="15"/>
      <c r="E32" s="9">
        <f>June!E32+D32</f>
        <v>1</v>
      </c>
      <c r="F32" s="17"/>
      <c r="G32" s="9">
        <f>June!G32+F32</f>
        <v>0</v>
      </c>
      <c r="H32" s="19"/>
      <c r="I32" s="9">
        <f>June!I32+H32</f>
        <v>0</v>
      </c>
      <c r="J32" s="24"/>
      <c r="K32" s="9">
        <f>June!K32+J32</f>
        <v>0</v>
      </c>
    </row>
    <row r="33" spans="1:11" s="5" customFormat="1" ht="18" customHeight="1">
      <c r="A33" s="9" t="s">
        <v>35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  <c r="J33" s="24"/>
      <c r="K33" s="9">
        <f>June!K33+J33</f>
        <v>0</v>
      </c>
    </row>
    <row r="34" spans="1:11" s="5" customFormat="1" ht="18" customHeight="1">
      <c r="A34" s="9" t="s">
        <v>36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  <c r="J34" s="24"/>
      <c r="K34" s="9">
        <f>June!K34+J34</f>
        <v>0</v>
      </c>
    </row>
    <row r="35" spans="1:11" s="5" customFormat="1" ht="18" customHeight="1">
      <c r="A35" s="9" t="s">
        <v>37</v>
      </c>
      <c r="B35" s="13"/>
      <c r="C35" s="9">
        <f>June!C35+B35</f>
        <v>2024</v>
      </c>
      <c r="D35" s="15">
        <f>13+71</f>
        <v>84</v>
      </c>
      <c r="E35" s="9">
        <f>June!E35+D35</f>
        <v>127</v>
      </c>
      <c r="F35" s="17">
        <f>187</f>
        <v>187</v>
      </c>
      <c r="G35" s="9">
        <f>June!G35+F35</f>
        <v>3758</v>
      </c>
      <c r="H35" s="19"/>
      <c r="I35" s="9">
        <f>June!I35+H35</f>
        <v>0</v>
      </c>
      <c r="J35" s="24"/>
      <c r="K35" s="9">
        <f>June!K35+J35</f>
        <v>0</v>
      </c>
    </row>
    <row r="36" spans="1:11" s="5" customFormat="1" ht="18" customHeight="1">
      <c r="A36" s="9" t="s">
        <v>38</v>
      </c>
      <c r="B36" s="13"/>
      <c r="C36" s="9">
        <f>June!C36+B36</f>
        <v>181</v>
      </c>
      <c r="D36" s="15">
        <f>15+90</f>
        <v>105</v>
      </c>
      <c r="E36" s="9">
        <f>June!E36+D36</f>
        <v>174</v>
      </c>
      <c r="F36" s="17">
        <f>115+1+100+1+97+38</f>
        <v>352</v>
      </c>
      <c r="G36" s="9">
        <f>June!G36+F36</f>
        <v>1512</v>
      </c>
      <c r="H36" s="19"/>
      <c r="I36" s="9">
        <f>June!I36+H36</f>
        <v>0</v>
      </c>
      <c r="J36" s="24"/>
      <c r="K36" s="9">
        <f>June!K36+J36</f>
        <v>0</v>
      </c>
    </row>
    <row r="37" spans="1:11" s="5" customFormat="1" ht="18" customHeight="1">
      <c r="A37" s="9" t="s">
        <v>39</v>
      </c>
      <c r="B37" s="13"/>
      <c r="C37" s="9">
        <f>June!C37+B37</f>
        <v>0</v>
      </c>
      <c r="D37" s="15"/>
      <c r="E37" s="9">
        <f>June!E37+D37</f>
        <v>5</v>
      </c>
      <c r="F37" s="17"/>
      <c r="G37" s="9">
        <f>June!G37+F37</f>
        <v>0</v>
      </c>
      <c r="H37" s="19"/>
      <c r="I37" s="9">
        <f>June!I37+H37</f>
        <v>0</v>
      </c>
      <c r="J37" s="24"/>
      <c r="K37" s="9">
        <f>June!K37+J37</f>
        <v>0</v>
      </c>
    </row>
    <row r="38" spans="1:11" s="5" customFormat="1" ht="18" customHeight="1">
      <c r="A38" s="9" t="s">
        <v>40</v>
      </c>
      <c r="B38" s="13">
        <f>71+188+53+131+321</f>
        <v>764</v>
      </c>
      <c r="C38" s="9">
        <f>June!C38+B38</f>
        <v>52818</v>
      </c>
      <c r="D38" s="15">
        <f>1+1+15+13+43+40+1+12+16+20+44+45+18</f>
        <v>269</v>
      </c>
      <c r="E38" s="9">
        <f>June!E38+D38</f>
        <v>1557</v>
      </c>
      <c r="F38" s="17"/>
      <c r="G38" s="9">
        <f>June!G38+F38</f>
        <v>129</v>
      </c>
      <c r="H38" s="19"/>
      <c r="I38" s="9">
        <f>June!I38+H38</f>
        <v>0</v>
      </c>
      <c r="J38" s="24"/>
      <c r="K38" s="9">
        <f>June!K38+J38</f>
        <v>0</v>
      </c>
    </row>
    <row r="39" spans="1:11" s="5" customFormat="1" ht="18" customHeight="1">
      <c r="A39" s="9" t="s">
        <v>41</v>
      </c>
      <c r="B39" s="13">
        <f>2+349</f>
        <v>351</v>
      </c>
      <c r="C39" s="9">
        <f>June!C39+B39</f>
        <v>1263</v>
      </c>
      <c r="D39" s="15">
        <f>1+3</f>
        <v>4</v>
      </c>
      <c r="E39" s="9">
        <f>June!E39+D39</f>
        <v>23</v>
      </c>
      <c r="F39" s="17">
        <f>22+17+24+24+24+24+23+100+200+19+24+24+10+100+151+200+13+150</f>
        <v>1149</v>
      </c>
      <c r="G39" s="9">
        <f>June!G39+F39</f>
        <v>4594</v>
      </c>
      <c r="H39" s="19"/>
      <c r="I39" s="9">
        <f>June!I39+H39</f>
        <v>0</v>
      </c>
      <c r="J39" s="24"/>
      <c r="K39" s="9">
        <f>June!K39+J39</f>
        <v>0</v>
      </c>
    </row>
    <row r="40" spans="1:11" s="5" customFormat="1" ht="18" customHeight="1">
      <c r="A40" s="9" t="s">
        <v>42</v>
      </c>
      <c r="B40" s="13">
        <f>240+120+64+80+34+80+134+134+285</f>
        <v>1171</v>
      </c>
      <c r="C40" s="9">
        <f>June!C40+B40</f>
        <v>10460</v>
      </c>
      <c r="D40" s="15">
        <f>1+10+10</f>
        <v>21</v>
      </c>
      <c r="E40" s="9">
        <f>June!E40+D40</f>
        <v>1033</v>
      </c>
      <c r="F40" s="17"/>
      <c r="G40" s="9">
        <f>June!G40+F40</f>
        <v>8</v>
      </c>
      <c r="H40" s="19"/>
      <c r="I40" s="9">
        <f>June!I40+H40</f>
        <v>0</v>
      </c>
      <c r="J40" s="24"/>
      <c r="K40" s="9">
        <f>June!K40+J40</f>
        <v>0</v>
      </c>
    </row>
    <row r="41" spans="1:11" s="5" customFormat="1" ht="18" customHeight="1">
      <c r="A41" s="9" t="s">
        <v>43</v>
      </c>
      <c r="B41" s="13"/>
      <c r="C41" s="9">
        <f>June!C41+B41</f>
        <v>589</v>
      </c>
      <c r="D41" s="15">
        <f>3</f>
        <v>3</v>
      </c>
      <c r="E41" s="9">
        <f>June!E41+D41</f>
        <v>15</v>
      </c>
      <c r="F41" s="17"/>
      <c r="G41" s="9">
        <f>June!G41+F41</f>
        <v>491</v>
      </c>
      <c r="H41" s="19"/>
      <c r="I41" s="9">
        <f>June!I41+H41</f>
        <v>0</v>
      </c>
      <c r="J41" s="24"/>
      <c r="K41" s="9">
        <f>June!K41+J41</f>
        <v>0</v>
      </c>
    </row>
    <row r="42" spans="1:11" s="5" customFormat="1" ht="18" customHeight="1">
      <c r="A42" s="9" t="s">
        <v>44</v>
      </c>
      <c r="B42" s="13"/>
      <c r="C42" s="9">
        <f>June!C42+B42</f>
        <v>585</v>
      </c>
      <c r="D42" s="15">
        <f>2</f>
        <v>2</v>
      </c>
      <c r="E42" s="9">
        <f>June!E42+D42</f>
        <v>42</v>
      </c>
      <c r="F42" s="17">
        <f>1+30+40+65</f>
        <v>136</v>
      </c>
      <c r="G42" s="9">
        <f>June!G42+F42</f>
        <v>682</v>
      </c>
      <c r="H42" s="19"/>
      <c r="I42" s="9">
        <f>June!I42+H42</f>
        <v>0</v>
      </c>
      <c r="J42" s="24"/>
      <c r="K42" s="9">
        <f>June!K42+J42</f>
        <v>0</v>
      </c>
    </row>
    <row r="43" spans="1:11" s="5" customFormat="1" ht="18" customHeight="1">
      <c r="A43" s="9" t="s">
        <v>45</v>
      </c>
      <c r="B43" s="13"/>
      <c r="C43" s="9">
        <f>June!C43+B43</f>
        <v>0</v>
      </c>
      <c r="D43" s="15">
        <f>4</f>
        <v>4</v>
      </c>
      <c r="E43" s="9">
        <f>June!E43+D43</f>
        <v>4</v>
      </c>
      <c r="F43" s="17"/>
      <c r="G43" s="9">
        <f>June!G43+F43</f>
        <v>0</v>
      </c>
      <c r="H43" s="19"/>
      <c r="I43" s="9">
        <f>June!I43+H43</f>
        <v>0</v>
      </c>
      <c r="J43" s="24"/>
      <c r="K43" s="9">
        <f>June!K43+J43</f>
        <v>0</v>
      </c>
    </row>
    <row r="44" spans="1:11" s="5" customFormat="1" ht="18" customHeight="1">
      <c r="A44" s="9" t="s">
        <v>46</v>
      </c>
      <c r="B44" s="13">
        <f>97+110+164</f>
        <v>371</v>
      </c>
      <c r="C44" s="9">
        <f>June!C44+B44</f>
        <v>3631</v>
      </c>
      <c r="D44" s="15">
        <v>2</v>
      </c>
      <c r="E44" s="9">
        <f>June!E44+D44</f>
        <v>2</v>
      </c>
      <c r="F44" s="17"/>
      <c r="G44" s="9">
        <f>June!G44+F44</f>
        <v>0</v>
      </c>
      <c r="H44" s="19"/>
      <c r="I44" s="9">
        <f>June!I44+H44</f>
        <v>0</v>
      </c>
      <c r="J44" s="24"/>
      <c r="K44" s="9">
        <f>June!K44+J44</f>
        <v>0</v>
      </c>
    </row>
    <row r="45" spans="1:11" s="5" customFormat="1" ht="18" customHeight="1">
      <c r="A45" s="9" t="s">
        <v>47</v>
      </c>
      <c r="B45" s="13">
        <f>32+108+284+60+124+86+65+110+82+233+146+72+7+112+70+33+41+14+58+67+26+318+271+284+420+500+399+1+2+4+103+52+64+31+27+49+7+3+17+66+39+70+64+141+60+55+14+41+5+5+12+57+100+116+140+59+54+130+70+43+10+72+67+67+82+493+64+103+57+78+4+112+39+108+93+14+20+5+2+52+104+50+57+132+8+11+26+8+18+37+14+18+70+15+173+13+82+396+1+98+2+4+175+49+86+109+15+225+188+10+30+6+24+18+2+217</f>
        <v>9756</v>
      </c>
      <c r="C45" s="9">
        <f>June!C45+B45</f>
        <v>187381</v>
      </c>
      <c r="D45" s="15">
        <f>37+40+52+21+31+2+1+4+46+43+1+37+2+4+41+5+1+43+4+46+1+3+35+8+10+10+41+6+46+8+3+8+21+2+20+4+13+11+5+1+4+1+4+10</f>
        <v>736</v>
      </c>
      <c r="E45" s="9">
        <f>June!E45+D45</f>
        <v>7980</v>
      </c>
      <c r="F45" s="17">
        <f>1+1</f>
        <v>2</v>
      </c>
      <c r="G45" s="9">
        <f>June!G45+F45</f>
        <v>521</v>
      </c>
      <c r="H45" s="19"/>
      <c r="I45" s="9">
        <f>June!I45+H45</f>
        <v>1</v>
      </c>
      <c r="J45" s="24"/>
      <c r="K45" s="9">
        <f>June!K45+J45</f>
        <v>0</v>
      </c>
    </row>
    <row r="46" spans="1:11" s="5" customFormat="1" ht="18" customHeight="1">
      <c r="A46" s="9" t="s">
        <v>48</v>
      </c>
      <c r="B46" s="13">
        <f>54+55+85+94+125+168+95+57+85+62+58+58+58+58+91+85+121+101+94+95+66+145+55+52+116+76+68+68+71</f>
        <v>2416</v>
      </c>
      <c r="C46" s="9">
        <f>June!C46+B46</f>
        <v>15401</v>
      </c>
      <c r="D46" s="15">
        <f>11+11+11+9</f>
        <v>42</v>
      </c>
      <c r="E46" s="9">
        <f>June!E46+D46</f>
        <v>181</v>
      </c>
      <c r="F46" s="17"/>
      <c r="G46" s="9">
        <f>June!G46+F46</f>
        <v>1356</v>
      </c>
      <c r="H46" s="19"/>
      <c r="I46" s="9">
        <f>June!I46+H46</f>
        <v>0</v>
      </c>
      <c r="J46" s="24"/>
      <c r="K46" s="9">
        <f>June!K46+J46</f>
        <v>0</v>
      </c>
    </row>
    <row r="47" spans="1:11" s="5" customFormat="1" ht="18" customHeight="1">
      <c r="A47" s="9" t="s">
        <v>49</v>
      </c>
      <c r="B47" s="13">
        <f>200+64+75+140+141</f>
        <v>620</v>
      </c>
      <c r="C47" s="9">
        <f>June!C47+B47</f>
        <v>3456</v>
      </c>
      <c r="D47" s="15">
        <f>1+7+17+1</f>
        <v>26</v>
      </c>
      <c r="E47" s="9">
        <f>June!E47+D47</f>
        <v>333</v>
      </c>
      <c r="F47" s="17">
        <f>200+67</f>
        <v>267</v>
      </c>
      <c r="G47" s="9">
        <f>June!G47+F47</f>
        <v>4921</v>
      </c>
      <c r="H47" s="19"/>
      <c r="I47" s="9">
        <f>June!I47+H47</f>
        <v>0</v>
      </c>
      <c r="J47" s="24"/>
      <c r="K47" s="9">
        <f>June!K47+J47</f>
        <v>0</v>
      </c>
    </row>
    <row r="48" spans="1:11" s="5" customFormat="1" ht="18" customHeight="1">
      <c r="A48" s="9" t="s">
        <v>50</v>
      </c>
      <c r="B48" s="13"/>
      <c r="C48" s="9">
        <f>June!C48+B48</f>
        <v>232</v>
      </c>
      <c r="D48" s="15">
        <f>1</f>
        <v>1</v>
      </c>
      <c r="E48" s="9">
        <f>June!E48+D48</f>
        <v>13</v>
      </c>
      <c r="F48" s="17"/>
      <c r="G48" s="9">
        <f>June!G48+F48</f>
        <v>351</v>
      </c>
      <c r="H48" s="19"/>
      <c r="I48" s="9">
        <f>June!I48+H48</f>
        <v>0</v>
      </c>
      <c r="J48" s="24"/>
      <c r="K48" s="9">
        <f>June!K48+J48</f>
        <v>0</v>
      </c>
    </row>
    <row r="49" spans="1:11" s="5" customFormat="1" ht="18" customHeight="1">
      <c r="A49" s="9" t="s">
        <v>51</v>
      </c>
      <c r="B49" s="13"/>
      <c r="C49" s="9">
        <f>June!C49+B49</f>
        <v>0</v>
      </c>
      <c r="D49" s="15"/>
      <c r="E49" s="9">
        <f>June!E49+D49</f>
        <v>0</v>
      </c>
      <c r="F49" s="17">
        <f>11+13+20+1+1+13+15+15+1+15+48</f>
        <v>153</v>
      </c>
      <c r="G49" s="9">
        <f>June!G49+F49</f>
        <v>391</v>
      </c>
      <c r="H49" s="19"/>
      <c r="I49" s="9">
        <f>June!I49+H49</f>
        <v>0</v>
      </c>
      <c r="J49" s="24"/>
      <c r="K49" s="9">
        <f>June!K49+J49</f>
        <v>0</v>
      </c>
    </row>
    <row r="50" spans="1:11" s="5" customFormat="1" ht="18" customHeight="1">
      <c r="A50" s="9" t="s">
        <v>52</v>
      </c>
      <c r="B50" s="13">
        <f>70+52+124+78+201+111+52+66+58+112+60+57+348+235+348+52+78+64+70+136+94+475</f>
        <v>2941</v>
      </c>
      <c r="C50" s="9">
        <f>June!C50+B50</f>
        <v>10896</v>
      </c>
      <c r="D50" s="15"/>
      <c r="E50" s="9">
        <f>June!E50+D50</f>
        <v>230</v>
      </c>
      <c r="F50" s="17"/>
      <c r="G50" s="9">
        <f>June!G50+F50</f>
        <v>0</v>
      </c>
      <c r="H50" s="19"/>
      <c r="I50" s="9">
        <f>June!I50+H50</f>
        <v>0</v>
      </c>
      <c r="J50" s="24"/>
      <c r="K50" s="9">
        <f>June!K50+J50</f>
        <v>0</v>
      </c>
    </row>
    <row r="51" spans="1:11" s="5" customFormat="1" ht="18" customHeight="1">
      <c r="A51" s="9" t="s">
        <v>53</v>
      </c>
      <c r="B51" s="13"/>
      <c r="C51" s="9">
        <f>June!C51+B51</f>
        <v>0</v>
      </c>
      <c r="D51" s="15"/>
      <c r="E51" s="9">
        <f>June!E51+D51</f>
        <v>7</v>
      </c>
      <c r="F51" s="17"/>
      <c r="G51" s="9">
        <f>June!G51+F51</f>
        <v>0</v>
      </c>
      <c r="H51" s="19"/>
      <c r="I51" s="9">
        <f>June!I51+H51</f>
        <v>0</v>
      </c>
      <c r="J51" s="24"/>
      <c r="K51" s="9">
        <f>June!K51+J51</f>
        <v>0</v>
      </c>
    </row>
    <row r="52" spans="1:11" s="5" customFormat="1" ht="18" customHeight="1">
      <c r="A52" s="9" t="s">
        <v>54</v>
      </c>
      <c r="B52" s="13">
        <f>60+76+57+71+80+80+80</f>
        <v>504</v>
      </c>
      <c r="C52" s="9">
        <f>June!C52+B52</f>
        <v>2394</v>
      </c>
      <c r="D52" s="15"/>
      <c r="E52" s="9">
        <f>June!E52+D52</f>
        <v>1</v>
      </c>
      <c r="F52" s="17"/>
      <c r="G52" s="9">
        <f>June!G52+F52</f>
        <v>0</v>
      </c>
      <c r="H52" s="19"/>
      <c r="I52" s="9">
        <f>June!I52+H52</f>
        <v>0</v>
      </c>
      <c r="J52" s="24"/>
      <c r="K52" s="9">
        <f>June!K52+J52</f>
        <v>0</v>
      </c>
    </row>
    <row r="53" spans="1:11" s="5" customFormat="1" ht="18" customHeight="1">
      <c r="A53" s="9" t="s">
        <v>55</v>
      </c>
      <c r="B53" s="13">
        <f>14+11+14+18+20+24+18+1+3+21+12+14+29+38+1+21+21+6+28+19+28+20+17+38+23+12+698+495</f>
        <v>1664</v>
      </c>
      <c r="C53" s="9">
        <f>June!C53+B53</f>
        <v>13453</v>
      </c>
      <c r="D53" s="15">
        <f>20+44+16+50+3+1+14+5+25+2+15+1+2+4+1+44+12+2+1+19+1+28+6</f>
        <v>316</v>
      </c>
      <c r="E53" s="9">
        <f>June!E53+D53</f>
        <v>2058</v>
      </c>
      <c r="F53" s="17">
        <f>1+21+5+1+1+1+25+10+28+2+80+4+1+1+1+7+12+38+13+13+40+2+1+25+1+120+30+100+1+30+5+100+30+28+35+11+1+80+180+180+50+7+72+80+49+231+70+35+250+39+30+36+1+36+36+38+18+50+1+3+20+31+40+13+15+10+1+12+2+38+4+37+42+17+40+35+53+68+12+36+17+39+90+56+8+134+186</f>
        <v>3453</v>
      </c>
      <c r="G53" s="9">
        <f>June!G53+F53</f>
        <v>23750</v>
      </c>
      <c r="H53" s="19"/>
      <c r="I53" s="9">
        <f>June!I53+H53</f>
        <v>0</v>
      </c>
      <c r="J53" s="24"/>
      <c r="K53" s="9">
        <f>June!K53+J53</f>
        <v>0</v>
      </c>
    </row>
    <row r="54" spans="1:11" s="5" customFormat="1" ht="18" customHeight="1" thickBot="1">
      <c r="A54" s="10" t="s">
        <v>56</v>
      </c>
      <c r="B54" s="13">
        <f>60</f>
        <v>60</v>
      </c>
      <c r="C54" s="9">
        <f>June!C54+B54</f>
        <v>3139</v>
      </c>
      <c r="D54" s="16">
        <f>6+27+49+37</f>
        <v>119</v>
      </c>
      <c r="E54" s="9">
        <f>June!E54+D54</f>
        <v>1344</v>
      </c>
      <c r="F54" s="17"/>
      <c r="G54" s="9">
        <f>June!G54+F54</f>
        <v>89</v>
      </c>
      <c r="H54" s="19"/>
      <c r="I54" s="9">
        <f>June!I54+H54</f>
        <v>0</v>
      </c>
      <c r="J54" s="25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54369</v>
      </c>
      <c r="C55" s="11"/>
      <c r="D55" s="11">
        <f>SUM(D5:D54)</f>
        <v>2924</v>
      </c>
      <c r="E55" s="11"/>
      <c r="F55" s="11">
        <f>SUM(F5:F54)</f>
        <v>12347</v>
      </c>
      <c r="G55" s="11"/>
      <c r="H55" s="11">
        <f>SUM(H5:H54)</f>
        <v>0</v>
      </c>
      <c r="I55" s="11"/>
      <c r="J55" s="11">
        <f>SUM(J5:J54)</f>
        <v>3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610524</v>
      </c>
      <c r="D57" s="11"/>
      <c r="E57" s="11">
        <f>June!E57+D55</f>
        <v>38580</v>
      </c>
      <c r="F57" s="11"/>
      <c r="G57" s="11">
        <f>June!G57+F55</f>
        <v>85588</v>
      </c>
      <c r="H57" s="11"/>
      <c r="I57" s="11">
        <f>June!I57+H55</f>
        <v>183</v>
      </c>
      <c r="J57" s="11"/>
      <c r="K57" s="11">
        <f>June!K57+J55</f>
        <v>74</v>
      </c>
    </row>
    <row r="58" s="5" customFormat="1" ht="18" customHeight="1" thickTop="1"/>
    <row r="59" s="5" customFormat="1" ht="18" customHeight="1">
      <c r="A59" s="5" t="s">
        <v>59</v>
      </c>
    </row>
    <row r="60" spans="1:7" s="5" customFormat="1" ht="18" customHeight="1">
      <c r="A60" s="5" t="s">
        <v>12</v>
      </c>
      <c r="D60" s="5">
        <v>129</v>
      </c>
      <c r="G60" s="5">
        <v>3420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3040</v>
      </c>
      <c r="G62" s="4">
        <f>June!G62+F60</f>
        <v>12447</v>
      </c>
    </row>
    <row r="63" s="5" customFormat="1" ht="18" customHeight="1"/>
    <row r="64" s="5" customFormat="1" ht="18" customHeight="1"/>
    <row r="65" ht="18" customHeight="1">
      <c r="D65" s="37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30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68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f>75+75+72+65</f>
        <v>287</v>
      </c>
      <c r="C5" s="9">
        <f>July!C5+B5</f>
        <v>742</v>
      </c>
      <c r="D5" s="15"/>
      <c r="E5" s="9">
        <f>July!E5+D5</f>
        <v>7</v>
      </c>
      <c r="F5" s="17"/>
      <c r="G5" s="9">
        <f>July!G5+F5</f>
        <v>0</v>
      </c>
      <c r="H5" s="19"/>
      <c r="I5" s="9">
        <f>July!I5+H5</f>
        <v>0</v>
      </c>
      <c r="J5" s="24"/>
      <c r="K5" s="9">
        <f>July!K5+J5</f>
        <v>0</v>
      </c>
    </row>
    <row r="6" spans="1:11" s="5" customFormat="1" ht="18" customHeight="1">
      <c r="A6" s="9" t="s">
        <v>8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  <c r="J6" s="24"/>
      <c r="K6" s="9">
        <f>July!K6+J6</f>
        <v>0</v>
      </c>
    </row>
    <row r="7" spans="1:11" s="5" customFormat="1" ht="18" customHeight="1">
      <c r="A7" s="9" t="s">
        <v>9</v>
      </c>
      <c r="B7" s="13"/>
      <c r="C7" s="9">
        <f>July!C7+B7</f>
        <v>84</v>
      </c>
      <c r="D7" s="15"/>
      <c r="E7" s="9">
        <f>July!E7+D7</f>
        <v>125</v>
      </c>
      <c r="F7" s="17">
        <f>1+84</f>
        <v>85</v>
      </c>
      <c r="G7" s="9">
        <f>July!G7+F7</f>
        <v>1919</v>
      </c>
      <c r="H7" s="19"/>
      <c r="I7" s="9">
        <f>July!I7+H7</f>
        <v>0</v>
      </c>
      <c r="J7" s="24"/>
      <c r="K7" s="9">
        <f>July!K7+J7</f>
        <v>0</v>
      </c>
    </row>
    <row r="8" spans="1:11" s="5" customFormat="1" ht="18" customHeight="1">
      <c r="A8" s="9" t="s">
        <v>10</v>
      </c>
      <c r="B8" s="13">
        <f>67+50+65+81</f>
        <v>263</v>
      </c>
      <c r="C8" s="9">
        <f>July!C8+B8</f>
        <v>5765</v>
      </c>
      <c r="D8" s="15">
        <f>1+29+1</f>
        <v>31</v>
      </c>
      <c r="E8" s="9">
        <f>July!E8+D8</f>
        <v>173</v>
      </c>
      <c r="F8" s="17"/>
      <c r="G8" s="9">
        <f>July!G8+F8</f>
        <v>0</v>
      </c>
      <c r="H8" s="19"/>
      <c r="I8" s="9">
        <f>July!I8+H8</f>
        <v>0</v>
      </c>
      <c r="J8" s="24"/>
      <c r="K8" s="9">
        <f>July!K8+J8</f>
        <v>0</v>
      </c>
    </row>
    <row r="9" spans="1:11" s="5" customFormat="1" ht="18" customHeight="1">
      <c r="A9" s="9" t="s">
        <v>11</v>
      </c>
      <c r="B9" s="13">
        <f>435+110</f>
        <v>545</v>
      </c>
      <c r="C9" s="9">
        <f>July!C9+B9</f>
        <v>3238</v>
      </c>
      <c r="D9" s="15"/>
      <c r="E9" s="9">
        <f>July!E9+D9</f>
        <v>836</v>
      </c>
      <c r="F9" s="17">
        <f>90+95+2+515</f>
        <v>702</v>
      </c>
      <c r="G9" s="9">
        <f>July!G9+F9</f>
        <v>5919</v>
      </c>
      <c r="H9" s="19"/>
      <c r="I9" s="9">
        <f>July!I9+H9</f>
        <v>148</v>
      </c>
      <c r="J9" s="24"/>
      <c r="K9" s="9">
        <f>July!K9+J9</f>
        <v>0</v>
      </c>
    </row>
    <row r="10" spans="1:11" s="5" customFormat="1" ht="18" customHeight="1">
      <c r="A10" s="9" t="s">
        <v>12</v>
      </c>
      <c r="B10" s="13">
        <v>184</v>
      </c>
      <c r="C10" s="9">
        <f>July!C10+B10</f>
        <v>31597</v>
      </c>
      <c r="D10" s="15">
        <v>14</v>
      </c>
      <c r="E10" s="9">
        <f>July!E10+D10</f>
        <v>94</v>
      </c>
      <c r="F10" s="17"/>
      <c r="G10" s="9">
        <f>July!G10+F10</f>
        <v>292</v>
      </c>
      <c r="H10" s="19"/>
      <c r="I10" s="9">
        <f>July!I10+H10</f>
        <v>34</v>
      </c>
      <c r="J10" s="24"/>
      <c r="K10" s="9">
        <f>July!K10+J10</f>
        <v>0</v>
      </c>
    </row>
    <row r="11" spans="1:11" s="5" customFormat="1" ht="18" customHeight="1">
      <c r="A11" s="9" t="s">
        <v>13</v>
      </c>
      <c r="B11" s="13"/>
      <c r="C11" s="9">
        <f>July!C11+B11</f>
        <v>2334</v>
      </c>
      <c r="D11" s="15">
        <f>1+5</f>
        <v>6</v>
      </c>
      <c r="E11" s="9">
        <f>July!E11+D11</f>
        <v>395</v>
      </c>
      <c r="F11" s="17">
        <f>95+712</f>
        <v>807</v>
      </c>
      <c r="G11" s="9">
        <f>July!G11+F11</f>
        <v>2206</v>
      </c>
      <c r="H11" s="19"/>
      <c r="I11" s="9">
        <f>July!I11+H11</f>
        <v>0</v>
      </c>
      <c r="J11" s="24"/>
      <c r="K11" s="9">
        <f>July!K11+J11</f>
        <v>2</v>
      </c>
    </row>
    <row r="12" spans="1:11" s="5" customFormat="1" ht="18" customHeight="1">
      <c r="A12" s="9" t="s">
        <v>14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  <c r="J12" s="24"/>
      <c r="K12" s="9">
        <f>July!K12+J12</f>
        <v>0</v>
      </c>
    </row>
    <row r="13" spans="1:11" s="5" customFormat="1" ht="18" customHeight="1">
      <c r="A13" s="9" t="s">
        <v>15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  <c r="J13" s="24"/>
      <c r="K13" s="9">
        <f>July!K13+J13</f>
        <v>0</v>
      </c>
    </row>
    <row r="14" spans="1:11" s="5" customFormat="1" ht="18" customHeight="1">
      <c r="A14" s="9" t="s">
        <v>16</v>
      </c>
      <c r="B14" s="13">
        <f>32+69+431+80</f>
        <v>612</v>
      </c>
      <c r="C14" s="9">
        <f>July!C14+B14</f>
        <v>865</v>
      </c>
      <c r="D14" s="15"/>
      <c r="E14" s="9">
        <f>July!E14+D14</f>
        <v>0</v>
      </c>
      <c r="F14" s="17">
        <f>11+30</f>
        <v>41</v>
      </c>
      <c r="G14" s="9">
        <f>July!G14+F14</f>
        <v>98</v>
      </c>
      <c r="H14" s="19"/>
      <c r="I14" s="9">
        <f>July!I14+H14</f>
        <v>0</v>
      </c>
      <c r="J14" s="24"/>
      <c r="K14" s="9">
        <f>July!K14+J14</f>
        <v>0</v>
      </c>
    </row>
    <row r="15" spans="1:11" s="5" customFormat="1" ht="18" customHeight="1">
      <c r="A15" s="9" t="s">
        <v>17</v>
      </c>
      <c r="B15" s="13">
        <f>70+92+67+73+75+70+59+78</f>
        <v>584</v>
      </c>
      <c r="C15" s="9">
        <f>July!C15+B15</f>
        <v>2519</v>
      </c>
      <c r="D15" s="15"/>
      <c r="E15" s="9">
        <f>July!E15+D15</f>
        <v>33</v>
      </c>
      <c r="F15" s="17"/>
      <c r="G15" s="9">
        <f>July!G15+F15</f>
        <v>102</v>
      </c>
      <c r="H15" s="19"/>
      <c r="I15" s="9">
        <f>July!I15+H15</f>
        <v>0</v>
      </c>
      <c r="J15" s="24"/>
      <c r="K15" s="9">
        <f>July!K15+J15</f>
        <v>0</v>
      </c>
    </row>
    <row r="16" spans="1:11" s="5" customFormat="1" ht="18" customHeight="1">
      <c r="A16" s="9" t="s">
        <v>18</v>
      </c>
      <c r="B16" s="13"/>
      <c r="C16" s="9">
        <f>July!C16+B16</f>
        <v>113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  <c r="J16" s="24"/>
      <c r="K16" s="9">
        <f>July!K16+J16</f>
        <v>0</v>
      </c>
    </row>
    <row r="17" spans="1:11" s="5" customFormat="1" ht="18" customHeight="1">
      <c r="A17" s="9" t="s">
        <v>19</v>
      </c>
      <c r="B17" s="13">
        <f>70+221+195+37</f>
        <v>523</v>
      </c>
      <c r="C17" s="9">
        <f>July!C17+B17</f>
        <v>2484</v>
      </c>
      <c r="D17" s="15">
        <f>90</f>
        <v>90</v>
      </c>
      <c r="E17" s="9">
        <f>July!E17+D17</f>
        <v>412</v>
      </c>
      <c r="F17" s="17">
        <f>113+195+1</f>
        <v>309</v>
      </c>
      <c r="G17" s="9">
        <f>July!G17+F17</f>
        <v>1356</v>
      </c>
      <c r="H17" s="19"/>
      <c r="I17" s="9">
        <f>July!I17+H17</f>
        <v>0</v>
      </c>
      <c r="J17" s="24"/>
      <c r="K17" s="9">
        <f>July!K17+J17</f>
        <v>0</v>
      </c>
    </row>
    <row r="18" spans="1:11" s="5" customFormat="1" ht="18" customHeight="1">
      <c r="A18" s="9" t="s">
        <v>20</v>
      </c>
      <c r="B18" s="13">
        <f>70+63+66+180+62+59+59+80</f>
        <v>639</v>
      </c>
      <c r="C18" s="9">
        <f>July!C18+B18</f>
        <v>4054</v>
      </c>
      <c r="D18" s="15">
        <f>1+3+3+7+7+3+1+2+2</f>
        <v>29</v>
      </c>
      <c r="E18" s="9">
        <f>July!E18+D18</f>
        <v>392</v>
      </c>
      <c r="F18" s="17">
        <f>1+74</f>
        <v>75</v>
      </c>
      <c r="G18" s="9">
        <f>July!G18+F18</f>
        <v>869</v>
      </c>
      <c r="H18" s="19"/>
      <c r="I18" s="9">
        <f>July!I18+H18</f>
        <v>0</v>
      </c>
      <c r="J18" s="24"/>
      <c r="K18" s="9">
        <f>July!K18+J18</f>
        <v>0</v>
      </c>
    </row>
    <row r="19" spans="1:11" s="5" customFormat="1" ht="18" customHeight="1">
      <c r="A19" s="9" t="s">
        <v>21</v>
      </c>
      <c r="B19" s="13">
        <f>135+827</f>
        <v>962</v>
      </c>
      <c r="C19" s="9">
        <f>July!C19+B19</f>
        <v>6038</v>
      </c>
      <c r="D19" s="15">
        <f>1+1+2+6+3</f>
        <v>13</v>
      </c>
      <c r="E19" s="9">
        <f>July!E19+D19</f>
        <v>1044</v>
      </c>
      <c r="F19" s="17">
        <f>150+190+150+100+36+132+100+100+100+59+3+7+50+95</f>
        <v>1272</v>
      </c>
      <c r="G19" s="9">
        <f>July!G19+F19</f>
        <v>8676</v>
      </c>
      <c r="H19" s="19"/>
      <c r="I19" s="9">
        <f>July!I19+H19</f>
        <v>0</v>
      </c>
      <c r="J19" s="24"/>
      <c r="K19" s="9">
        <f>July!K19+J19</f>
        <v>0</v>
      </c>
    </row>
    <row r="20" spans="1:11" s="5" customFormat="1" ht="18" customHeight="1">
      <c r="A20" s="9" t="s">
        <v>22</v>
      </c>
      <c r="B20" s="13">
        <f>190+346+171+355+240+68+232+189+218+390+600+126+204+61+72+214+256+69+144+210+140+140+47+70+32+160+180+240+204+123+225+184+63+223+500+113+113+65+69+79+52+66+119+85+179+130+235+117+75+39+64+65+328+20</f>
        <v>8899</v>
      </c>
      <c r="C20" s="9">
        <f>July!C20+B20</f>
        <v>28190</v>
      </c>
      <c r="D20" s="15">
        <f>7+9+2+43+5+348+2+2+4+5</f>
        <v>427</v>
      </c>
      <c r="E20" s="9">
        <f>July!E20+D20</f>
        <v>1019</v>
      </c>
      <c r="F20" s="17"/>
      <c r="G20" s="9">
        <f>July!G20+F20</f>
        <v>1432</v>
      </c>
      <c r="H20" s="19"/>
      <c r="I20" s="9">
        <f>July!I20+H20</f>
        <v>0</v>
      </c>
      <c r="J20" s="24"/>
      <c r="K20" s="9">
        <f>July!K20+J20</f>
        <v>23</v>
      </c>
    </row>
    <row r="21" spans="1:11" s="5" customFormat="1" ht="18" customHeight="1">
      <c r="A21" s="9" t="s">
        <v>23</v>
      </c>
      <c r="B21" s="13">
        <f>51+76+60+110+82+112+69+70+120+64+140+94+132+200+128+45+25+130+108+130+220+250+123+61+120+213+68+55+66+67+160+118+70+69+15+82+75+43+57+170+75+76+69+70+184+114+108+85+54+123+126+128+45+25+88+67+187+132+117+360+160+440+272+73+338</f>
        <v>7564</v>
      </c>
      <c r="C21" s="9">
        <f>July!C21+B21</f>
        <v>58086</v>
      </c>
      <c r="D21" s="15">
        <f>1</f>
        <v>1</v>
      </c>
      <c r="E21" s="9">
        <f>July!E21+D21</f>
        <v>142</v>
      </c>
      <c r="F21" s="17">
        <f>6+10+9+10+10+225</f>
        <v>270</v>
      </c>
      <c r="G21" s="9">
        <f>July!G21+F21</f>
        <v>3175</v>
      </c>
      <c r="H21" s="19"/>
      <c r="I21" s="9">
        <f>July!I21+H21</f>
        <v>0</v>
      </c>
      <c r="J21" s="24"/>
      <c r="K21" s="9">
        <f>July!K21+J21</f>
        <v>0</v>
      </c>
    </row>
    <row r="22" spans="1:11" s="5" customFormat="1" ht="18" customHeight="1">
      <c r="A22" s="9" t="s">
        <v>24</v>
      </c>
      <c r="B22" s="13"/>
      <c r="C22" s="9">
        <f>July!C22+B22</f>
        <v>0</v>
      </c>
      <c r="D22" s="15"/>
      <c r="E22" s="9">
        <f>July!E22+D22</f>
        <v>1</v>
      </c>
      <c r="F22" s="17"/>
      <c r="G22" s="9">
        <f>July!G22+F22</f>
        <v>0</v>
      </c>
      <c r="H22" s="19"/>
      <c r="I22" s="9">
        <f>July!I22+H22</f>
        <v>0</v>
      </c>
      <c r="J22" s="24"/>
      <c r="K22" s="9">
        <f>July!K22+J22</f>
        <v>0</v>
      </c>
    </row>
    <row r="23" spans="1:11" s="5" customFormat="1" ht="18" customHeight="1">
      <c r="A23" s="9" t="s">
        <v>25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0</v>
      </c>
      <c r="H23" s="19"/>
      <c r="I23" s="9">
        <f>July!I23+H23</f>
        <v>0</v>
      </c>
      <c r="J23" s="24"/>
      <c r="K23" s="9">
        <f>July!K23+J23</f>
        <v>0</v>
      </c>
    </row>
    <row r="24" spans="1:11" s="5" customFormat="1" ht="18" customHeight="1">
      <c r="A24" s="9" t="s">
        <v>26</v>
      </c>
      <c r="B24" s="13"/>
      <c r="C24" s="9">
        <f>July!C24+B24</f>
        <v>0</v>
      </c>
      <c r="D24" s="15"/>
      <c r="E24" s="9">
        <f>July!E24+D24</f>
        <v>4</v>
      </c>
      <c r="F24" s="17"/>
      <c r="G24" s="9">
        <f>July!G24+F24</f>
        <v>2</v>
      </c>
      <c r="H24" s="19"/>
      <c r="I24" s="9">
        <f>July!I24+H24</f>
        <v>0</v>
      </c>
      <c r="J24" s="24"/>
      <c r="K24" s="9">
        <f>July!K24+J24</f>
        <v>0</v>
      </c>
    </row>
    <row r="25" spans="1:11" s="5" customFormat="1" ht="18" customHeight="1">
      <c r="A25" s="9" t="s">
        <v>27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  <c r="J25" s="24"/>
      <c r="K25" s="9">
        <f>July!K25+J25</f>
        <v>0</v>
      </c>
    </row>
    <row r="26" spans="1:11" s="5" customFormat="1" ht="18" customHeight="1">
      <c r="A26" s="9" t="s">
        <v>28</v>
      </c>
      <c r="B26" s="13">
        <v>636</v>
      </c>
      <c r="C26" s="9">
        <f>July!C26+B26</f>
        <v>2215</v>
      </c>
      <c r="D26" s="15">
        <f>1</f>
        <v>1</v>
      </c>
      <c r="E26" s="9">
        <f>July!E26+D26</f>
        <v>374</v>
      </c>
      <c r="F26" s="17">
        <f>70+120+200+200+40+190+155+132+97+200+170+120+170+162+96</f>
        <v>2122</v>
      </c>
      <c r="G26" s="9">
        <f>July!G26+F26</f>
        <v>10998</v>
      </c>
      <c r="H26" s="19"/>
      <c r="I26" s="9">
        <f>July!I26+H26</f>
        <v>0</v>
      </c>
      <c r="J26" s="24"/>
      <c r="K26" s="9">
        <f>July!K26+J26</f>
        <v>0</v>
      </c>
    </row>
    <row r="27" spans="1:11" s="5" customFormat="1" ht="18" customHeight="1">
      <c r="A27" s="9" t="s">
        <v>29</v>
      </c>
      <c r="B27" s="13">
        <f>8+1+1+125</f>
        <v>135</v>
      </c>
      <c r="C27" s="9">
        <f>July!C27+B27</f>
        <v>14175</v>
      </c>
      <c r="D27" s="15">
        <f>3+5+10+1+3+2+35+15+4+72+1+2+4+6+3+6+3+4+8+1+2+11+3+21</f>
        <v>225</v>
      </c>
      <c r="E27" s="9">
        <f>July!E27+D27</f>
        <v>3843</v>
      </c>
      <c r="F27" s="17">
        <f>52+2+28+1+40+49</f>
        <v>172</v>
      </c>
      <c r="G27" s="9">
        <f>July!G27+F27</f>
        <v>6827</v>
      </c>
      <c r="H27" s="19"/>
      <c r="I27" s="9">
        <f>July!I27+H27</f>
        <v>0</v>
      </c>
      <c r="J27" s="24"/>
      <c r="K27" s="9">
        <f>July!K27+J27</f>
        <v>0</v>
      </c>
    </row>
    <row r="28" spans="1:11" s="5" customFormat="1" ht="18" customHeight="1">
      <c r="A28" s="9" t="s">
        <v>30</v>
      </c>
      <c r="B28" s="13">
        <f>75</f>
        <v>75</v>
      </c>
      <c r="C28" s="9">
        <f>July!C28+B28</f>
        <v>1076</v>
      </c>
      <c r="D28" s="15"/>
      <c r="E28" s="9">
        <f>July!E28+D28</f>
        <v>2</v>
      </c>
      <c r="F28" s="17"/>
      <c r="G28" s="9">
        <f>July!G28+F28</f>
        <v>211</v>
      </c>
      <c r="H28" s="19"/>
      <c r="I28" s="9">
        <f>July!I28+H28</f>
        <v>0</v>
      </c>
      <c r="J28" s="24"/>
      <c r="K28" s="9">
        <f>July!K28+J28</f>
        <v>0</v>
      </c>
    </row>
    <row r="29" spans="1:11" s="5" customFormat="1" ht="18" customHeight="1">
      <c r="A29" s="9" t="s">
        <v>31</v>
      </c>
      <c r="B29" s="13">
        <f>31+126+76+21+35+80+85+13+11+50+44+124+11+184+54+27+22+62+26+12+14+5+6+7+41+99+89+66+27+72+65+105+130+63+7+58+60+30+179+90+69+53+21+62+43+183+180+83+46+88+85+78+67+56+72+90+170+85+71+75+5+70+82+80+110+54+95+126+5+85+90+85+59+132+33+180+35+200+82+42+39+109+28+345+58+76+67+60+55+50+64+49+43+78+94+74+88+44+60+83+111+9+169+2+60+55+175+64+78+45+149+84+180+120+120+120+120+69+28+22+16+35+30+18+13+125+8+57+74+74+57+93+66+65+37+101+80+81+93+70+99+85+71+74+91+13+90+103+103+90+90+82+180+74+111</f>
        <v>11527</v>
      </c>
      <c r="C29" s="9">
        <f>July!C29+B29</f>
        <v>103254</v>
      </c>
      <c r="D29" s="15">
        <f>14+30+5+5+34+5+54+1+8+11+4+7+4+6+4+2+6+4+2+2+3+5+3+5+2+2+5+4+1+38+11+13+34+2+1+1+1+2+1+1+2+2+1+2+1+1+1+1+2+2+1+5+3+4+1+1+14+12</f>
        <v>399</v>
      </c>
      <c r="E29" s="9">
        <f>July!E29+D29</f>
        <v>3322</v>
      </c>
      <c r="F29" s="17"/>
      <c r="G29" s="9">
        <f>July!G29+F29</f>
        <v>1413</v>
      </c>
      <c r="H29" s="19"/>
      <c r="I29" s="9">
        <f>July!I29+H29</f>
        <v>0</v>
      </c>
      <c r="J29" s="24"/>
      <c r="K29" s="9">
        <f>July!K29+J29</f>
        <v>49</v>
      </c>
    </row>
    <row r="30" spans="1:11" s="5" customFormat="1" ht="18" customHeight="1">
      <c r="A30" s="9" t="s">
        <v>32</v>
      </c>
      <c r="B30" s="13">
        <f>150+37+130+130+130+14+4+4+523+62+110+65+23+83+74+180+69+400+60+60+34+134</f>
        <v>2476</v>
      </c>
      <c r="C30" s="9">
        <f>July!C30+B30</f>
        <v>32116</v>
      </c>
      <c r="D30" s="15">
        <f>2</f>
        <v>2</v>
      </c>
      <c r="E30" s="9">
        <f>July!E30+D30</f>
        <v>3952</v>
      </c>
      <c r="F30" s="17">
        <f>28+20+15+29</f>
        <v>92</v>
      </c>
      <c r="G30" s="9">
        <f>July!G30+F30</f>
        <v>465</v>
      </c>
      <c r="H30" s="19"/>
      <c r="I30" s="9">
        <f>July!I30+H30</f>
        <v>0</v>
      </c>
      <c r="J30" s="24"/>
      <c r="K30" s="9">
        <f>July!K30+J30</f>
        <v>0</v>
      </c>
    </row>
    <row r="31" spans="1:11" s="5" customFormat="1" ht="18" customHeight="1">
      <c r="A31" s="9" t="s">
        <v>33</v>
      </c>
      <c r="B31" s="13">
        <f>189+62+45+119+10+65+240+64+55+110+77+137+169+70+270+75+113+220+51+123+129+127+115+119+153+371+400+125+126+72+62+60+62+56+67+244+123+48+1+49+189</f>
        <v>4962</v>
      </c>
      <c r="C31" s="9">
        <f>July!C31+B31</f>
        <v>44365</v>
      </c>
      <c r="D31" s="15">
        <f>9+23+45+24+6+1+48+50+4+4+7+5+2+1+3+8+6+3+1+16+92+1+92+55+77+8+4+6+4+1+3+7+1+1+3+40+42</f>
        <v>703</v>
      </c>
      <c r="E31" s="9">
        <f>July!E31+D31</f>
        <v>9221</v>
      </c>
      <c r="F31" s="17">
        <f>44+180+5+85+7+103</f>
        <v>424</v>
      </c>
      <c r="G31" s="9">
        <f>July!G31+F31</f>
        <v>3446</v>
      </c>
      <c r="H31" s="19"/>
      <c r="I31" s="9">
        <f>July!I31+H31</f>
        <v>0</v>
      </c>
      <c r="J31" s="24"/>
      <c r="K31" s="9">
        <f>July!K31+J31</f>
        <v>0</v>
      </c>
    </row>
    <row r="32" spans="1:11" s="5" customFormat="1" ht="18" customHeight="1">
      <c r="A32" s="9" t="s">
        <v>34</v>
      </c>
      <c r="B32" s="13"/>
      <c r="C32" s="9">
        <f>July!C32+B32</f>
        <v>184</v>
      </c>
      <c r="D32" s="15"/>
      <c r="E32" s="9">
        <f>July!E32+D32</f>
        <v>1</v>
      </c>
      <c r="F32" s="17"/>
      <c r="G32" s="9">
        <f>July!G32+F32</f>
        <v>0</v>
      </c>
      <c r="H32" s="19"/>
      <c r="I32" s="9">
        <f>July!I32+H32</f>
        <v>0</v>
      </c>
      <c r="J32" s="24"/>
      <c r="K32" s="9">
        <f>July!K32+J32</f>
        <v>0</v>
      </c>
    </row>
    <row r="33" spans="1:11" s="5" customFormat="1" ht="18" customHeight="1">
      <c r="A33" s="9" t="s">
        <v>35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  <c r="J33" s="24"/>
      <c r="K33" s="9">
        <f>July!K33+J33</f>
        <v>0</v>
      </c>
    </row>
    <row r="34" spans="1:11" s="5" customFormat="1" ht="18" customHeight="1">
      <c r="A34" s="9" t="s">
        <v>36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  <c r="J34" s="24"/>
      <c r="K34" s="9">
        <f>July!K34+J34</f>
        <v>0</v>
      </c>
    </row>
    <row r="35" spans="1:11" s="5" customFormat="1" ht="18" customHeight="1">
      <c r="A35" s="9" t="s">
        <v>37</v>
      </c>
      <c r="B35" s="13"/>
      <c r="C35" s="9">
        <f>July!C35+B35</f>
        <v>2024</v>
      </c>
      <c r="D35" s="15"/>
      <c r="E35" s="9">
        <f>July!E35+D35</f>
        <v>127</v>
      </c>
      <c r="F35" s="17">
        <f>128+40+125+115+120+230</f>
        <v>758</v>
      </c>
      <c r="G35" s="9">
        <f>July!G35+F35</f>
        <v>4516</v>
      </c>
      <c r="H35" s="19"/>
      <c r="I35" s="9">
        <f>July!I35+H35</f>
        <v>0</v>
      </c>
      <c r="J35" s="24"/>
      <c r="K35" s="9">
        <f>July!K35+J35</f>
        <v>0</v>
      </c>
    </row>
    <row r="36" spans="1:11" s="5" customFormat="1" ht="18" customHeight="1">
      <c r="A36" s="9" t="s">
        <v>38</v>
      </c>
      <c r="B36" s="13"/>
      <c r="C36" s="9">
        <f>July!C36+B36</f>
        <v>181</v>
      </c>
      <c r="D36" s="15">
        <f>1</f>
        <v>1</v>
      </c>
      <c r="E36" s="9">
        <f>July!E36+D36</f>
        <v>175</v>
      </c>
      <c r="F36" s="17">
        <f>38+1</f>
        <v>39</v>
      </c>
      <c r="G36" s="9">
        <f>July!G36+F36</f>
        <v>1551</v>
      </c>
      <c r="H36" s="19"/>
      <c r="I36" s="9">
        <f>July!I36+H36</f>
        <v>0</v>
      </c>
      <c r="J36" s="24"/>
      <c r="K36" s="9">
        <f>July!K36+J36</f>
        <v>0</v>
      </c>
    </row>
    <row r="37" spans="1:11" s="5" customFormat="1" ht="18" customHeight="1">
      <c r="A37" s="9" t="s">
        <v>39</v>
      </c>
      <c r="B37" s="13">
        <f>83+74</f>
        <v>157</v>
      </c>
      <c r="C37" s="9">
        <f>July!C37+B37</f>
        <v>157</v>
      </c>
      <c r="D37" s="15"/>
      <c r="E37" s="9">
        <f>July!E37+D37</f>
        <v>5</v>
      </c>
      <c r="F37" s="17"/>
      <c r="G37" s="9">
        <f>July!G37+F37</f>
        <v>0</v>
      </c>
      <c r="H37" s="19"/>
      <c r="I37" s="9">
        <f>July!I37+H37</f>
        <v>0</v>
      </c>
      <c r="J37" s="24"/>
      <c r="K37" s="9">
        <f>July!K37+J37</f>
        <v>0</v>
      </c>
    </row>
    <row r="38" spans="1:11" s="5" customFormat="1" ht="18" customHeight="1">
      <c r="A38" s="9" t="s">
        <v>40</v>
      </c>
      <c r="B38" s="13">
        <f>180+56+69+56+79+62+350</f>
        <v>852</v>
      </c>
      <c r="C38" s="9">
        <f>July!C38+B38</f>
        <v>53670</v>
      </c>
      <c r="D38" s="15">
        <f>10+6+28+7</f>
        <v>51</v>
      </c>
      <c r="E38" s="9">
        <f>July!E38+D38</f>
        <v>1608</v>
      </c>
      <c r="F38" s="17"/>
      <c r="G38" s="9">
        <f>July!G38+F38</f>
        <v>129</v>
      </c>
      <c r="H38" s="19"/>
      <c r="I38" s="9">
        <f>July!I38+H38</f>
        <v>0</v>
      </c>
      <c r="J38" s="24"/>
      <c r="K38" s="9">
        <f>July!K38+J38</f>
        <v>0</v>
      </c>
    </row>
    <row r="39" spans="1:11" s="5" customFormat="1" ht="18" customHeight="1">
      <c r="A39" s="9" t="s">
        <v>41</v>
      </c>
      <c r="B39" s="13">
        <v>200</v>
      </c>
      <c r="C39" s="9">
        <f>July!C39+B39</f>
        <v>1463</v>
      </c>
      <c r="D39" s="15">
        <f>1+4+1</f>
        <v>6</v>
      </c>
      <c r="E39" s="9">
        <f>July!E39+D39</f>
        <v>29</v>
      </c>
      <c r="F39" s="17">
        <f>100+100+100+155+151+20+200+134+16+1</f>
        <v>977</v>
      </c>
      <c r="G39" s="9">
        <f>July!G39+F39</f>
        <v>5571</v>
      </c>
      <c r="H39" s="19"/>
      <c r="I39" s="9">
        <f>July!I39+H39</f>
        <v>0</v>
      </c>
      <c r="J39" s="24"/>
      <c r="K39" s="9">
        <f>July!K39+J39</f>
        <v>0</v>
      </c>
    </row>
    <row r="40" spans="1:11" s="5" customFormat="1" ht="18" customHeight="1">
      <c r="A40" s="9" t="s">
        <v>42</v>
      </c>
      <c r="B40" s="13">
        <f>145+90+69+100+81+405+62+70+88+280+65+65+55+61+80+59+56+166+138+40+130+40+325+95+74+76+300+400+134+58+58+140+125+78+79+170+103+722</f>
        <v>5282</v>
      </c>
      <c r="C40" s="9">
        <f>July!C40+B40</f>
        <v>15742</v>
      </c>
      <c r="D40" s="15">
        <f>6+10+5+6+9</f>
        <v>36</v>
      </c>
      <c r="E40" s="9">
        <f>July!E40+D40</f>
        <v>1069</v>
      </c>
      <c r="F40" s="17"/>
      <c r="G40" s="9">
        <f>July!G40+F40</f>
        <v>8</v>
      </c>
      <c r="H40" s="19"/>
      <c r="I40" s="9">
        <f>July!I40+H40</f>
        <v>0</v>
      </c>
      <c r="J40" s="24"/>
      <c r="K40" s="9">
        <f>July!K40+J40</f>
        <v>0</v>
      </c>
    </row>
    <row r="41" spans="1:11" s="5" customFormat="1" ht="18" customHeight="1">
      <c r="A41" s="9" t="s">
        <v>43</v>
      </c>
      <c r="B41" s="13"/>
      <c r="C41" s="9">
        <f>July!C41+B41</f>
        <v>589</v>
      </c>
      <c r="D41" s="15"/>
      <c r="E41" s="9">
        <f>July!E41+D41</f>
        <v>15</v>
      </c>
      <c r="F41" s="17">
        <f>1</f>
        <v>1</v>
      </c>
      <c r="G41" s="9">
        <f>July!G41+F41</f>
        <v>492</v>
      </c>
      <c r="H41" s="19"/>
      <c r="I41" s="9">
        <f>July!I41+H41</f>
        <v>0</v>
      </c>
      <c r="J41" s="24"/>
      <c r="K41" s="9">
        <f>July!K41+J41</f>
        <v>0</v>
      </c>
    </row>
    <row r="42" spans="1:11" s="5" customFormat="1" ht="18" customHeight="1">
      <c r="A42" s="9" t="s">
        <v>44</v>
      </c>
      <c r="B42" s="13">
        <f>95</f>
        <v>95</v>
      </c>
      <c r="C42" s="9">
        <f>July!C42+B42</f>
        <v>680</v>
      </c>
      <c r="D42" s="15">
        <f>2</f>
        <v>2</v>
      </c>
      <c r="E42" s="9">
        <f>July!E42+D42</f>
        <v>44</v>
      </c>
      <c r="F42" s="17">
        <f>17+5+15+12+50+50+1+15+15+15+15+15+8+15+154+61+15</f>
        <v>478</v>
      </c>
      <c r="G42" s="9">
        <f>July!G42+F42</f>
        <v>1160</v>
      </c>
      <c r="H42" s="19"/>
      <c r="I42" s="9">
        <f>July!I42+H42</f>
        <v>0</v>
      </c>
      <c r="J42" s="24"/>
      <c r="K42" s="9">
        <f>July!K42+J42</f>
        <v>0</v>
      </c>
    </row>
    <row r="43" spans="1:11" s="5" customFormat="1" ht="18" customHeight="1">
      <c r="A43" s="9" t="s">
        <v>45</v>
      </c>
      <c r="B43" s="13"/>
      <c r="C43" s="9">
        <f>July!C43+B43</f>
        <v>0</v>
      </c>
      <c r="D43" s="15"/>
      <c r="E43" s="9">
        <f>July!E43+D43</f>
        <v>4</v>
      </c>
      <c r="F43" s="17"/>
      <c r="G43" s="9">
        <f>July!G43+F43</f>
        <v>0</v>
      </c>
      <c r="H43" s="19"/>
      <c r="I43" s="9">
        <f>July!I43+H43</f>
        <v>0</v>
      </c>
      <c r="J43" s="24"/>
      <c r="K43" s="9">
        <f>July!K43+J43</f>
        <v>0</v>
      </c>
    </row>
    <row r="44" spans="1:11" s="5" customFormat="1" ht="18" customHeight="1">
      <c r="A44" s="9" t="s">
        <v>46</v>
      </c>
      <c r="B44" s="13">
        <f>70+127+98+108+121+111+114+122</f>
        <v>871</v>
      </c>
      <c r="C44" s="9">
        <f>July!C44+B44</f>
        <v>4502</v>
      </c>
      <c r="D44" s="15"/>
      <c r="E44" s="9">
        <f>July!E44+D44</f>
        <v>2</v>
      </c>
      <c r="F44" s="17"/>
      <c r="G44" s="9">
        <f>July!G44+F44</f>
        <v>0</v>
      </c>
      <c r="H44" s="19"/>
      <c r="I44" s="9">
        <f>July!I44+H44</f>
        <v>0</v>
      </c>
      <c r="J44" s="24"/>
      <c r="K44" s="9">
        <f>July!K44+J44</f>
        <v>0</v>
      </c>
    </row>
    <row r="45" spans="1:11" s="5" customFormat="1" ht="18" customHeight="1">
      <c r="A45" s="9" t="s">
        <v>47</v>
      </c>
      <c r="B45" s="13">
        <f>53+119+157+62+235+475+298+473+239+17+29+430+63+70+59+41+71+63+126+526+12+54+46+78+159+3+26+6+75+10+176+161+80+62+65+87+40+50+46+47+26+67+17+15+53+25+7+129+122+69+44+165+155+73+105+88+8+104+123+150+48+127+133+40+154+23+62+67+5+54+56+18+12+89+10+84+105+27+152+81+73+54+123+85+61+48+78+81+62+600+53+78+80+43+11+18+84+6+71+58+82+60+13+9+30+66+33+66+66+33+11+65+62+15+202+10+133+7+217+143+74+60+6+1+4+16+1+19+186+21+26+71+47+144+291+71+34+19+60+55+230+134+132+31+218+60+139+126+58+73+63+6671+153</f>
        <v>20165</v>
      </c>
      <c r="C45" s="9">
        <f>July!C45+B45</f>
        <v>207546</v>
      </c>
      <c r="D45" s="15">
        <f>17+20+6+34+1+4+5+1+33+3+2+81+3</f>
        <v>210</v>
      </c>
      <c r="E45" s="9">
        <f>July!E45+D45</f>
        <v>8190</v>
      </c>
      <c r="F45" s="17">
        <f>15+12+4+52</f>
        <v>83</v>
      </c>
      <c r="G45" s="9">
        <f>July!G45+F45</f>
        <v>604</v>
      </c>
      <c r="H45" s="19"/>
      <c r="I45" s="9">
        <f>July!I45+H45</f>
        <v>1</v>
      </c>
      <c r="J45" s="24"/>
      <c r="K45" s="9">
        <f>July!K45+J45</f>
        <v>0</v>
      </c>
    </row>
    <row r="46" spans="1:11" s="5" customFormat="1" ht="18" customHeight="1">
      <c r="A46" s="9" t="s">
        <v>48</v>
      </c>
      <c r="B46" s="13">
        <f>70+104+100+83+86+123+79+80+92+79+179+50+13+132+94+61+64+99+90+54+61+448+86+140+114+73+70+70+70+63+69+77</f>
        <v>3073</v>
      </c>
      <c r="C46" s="9">
        <f>July!C46+B46</f>
        <v>18474</v>
      </c>
      <c r="D46" s="15">
        <f>11+11+9+11</f>
        <v>42</v>
      </c>
      <c r="E46" s="9">
        <f>July!E46+D46</f>
        <v>223</v>
      </c>
      <c r="F46" s="17">
        <f>167</f>
        <v>167</v>
      </c>
      <c r="G46" s="9">
        <f>July!G46+F46</f>
        <v>1523</v>
      </c>
      <c r="H46" s="19"/>
      <c r="I46" s="9">
        <f>July!I46+H46</f>
        <v>0</v>
      </c>
      <c r="J46" s="24"/>
      <c r="K46" s="9">
        <f>July!K46+J46</f>
        <v>0</v>
      </c>
    </row>
    <row r="47" spans="1:11" s="5" customFormat="1" ht="18" customHeight="1">
      <c r="A47" s="9" t="s">
        <v>49</v>
      </c>
      <c r="B47" s="13">
        <f>73+94+180+471+60+94+70+75+171+66+75+76+360+135</f>
        <v>2000</v>
      </c>
      <c r="C47" s="9">
        <f>July!C47+B47</f>
        <v>5456</v>
      </c>
      <c r="D47" s="15">
        <f>1+8+1</f>
        <v>10</v>
      </c>
      <c r="E47" s="9">
        <f>July!E47+D47</f>
        <v>343</v>
      </c>
      <c r="F47" s="17">
        <f>200+200+150+200+1</f>
        <v>751</v>
      </c>
      <c r="G47" s="9">
        <f>July!G47+F47</f>
        <v>5672</v>
      </c>
      <c r="H47" s="19"/>
      <c r="I47" s="9">
        <f>July!I47+H47</f>
        <v>0</v>
      </c>
      <c r="J47" s="24"/>
      <c r="K47" s="9">
        <f>July!K47+J47</f>
        <v>0</v>
      </c>
    </row>
    <row r="48" spans="1:11" s="5" customFormat="1" ht="18" customHeight="1">
      <c r="A48" s="9" t="s">
        <v>50</v>
      </c>
      <c r="B48" s="13"/>
      <c r="C48" s="9">
        <f>July!C48+B48</f>
        <v>232</v>
      </c>
      <c r="D48" s="15"/>
      <c r="E48" s="9">
        <f>July!E48+D48</f>
        <v>13</v>
      </c>
      <c r="F48" s="17"/>
      <c r="G48" s="9">
        <f>July!G48+F48</f>
        <v>351</v>
      </c>
      <c r="H48" s="19"/>
      <c r="I48" s="9">
        <f>July!I48+H48</f>
        <v>0</v>
      </c>
      <c r="J48" s="24"/>
      <c r="K48" s="9">
        <f>July!K48+J48</f>
        <v>0</v>
      </c>
    </row>
    <row r="49" spans="1:11" s="5" customFormat="1" ht="18" customHeight="1">
      <c r="A49" s="9" t="s">
        <v>51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391</v>
      </c>
      <c r="H49" s="19"/>
      <c r="I49" s="9">
        <f>July!I49+H49</f>
        <v>0</v>
      </c>
      <c r="J49" s="24"/>
      <c r="K49" s="9">
        <f>July!K49+J49</f>
        <v>0</v>
      </c>
    </row>
    <row r="50" spans="1:11" s="5" customFormat="1" ht="18" customHeight="1">
      <c r="A50" s="9" t="s">
        <v>52</v>
      </c>
      <c r="B50" s="13">
        <f>66+220+110+550+50+60+51+114+57+236+93+83+10+1319+220+66+80+88+60+580+560+74+74+94+110+64+52+67+52+68+61+54+21+25+54+32+36+44+80+53+210+110+79+1351</f>
        <v>7538</v>
      </c>
      <c r="C50" s="9">
        <f>July!C50+B50</f>
        <v>18434</v>
      </c>
      <c r="D50" s="15"/>
      <c r="E50" s="9">
        <f>July!E50+D50</f>
        <v>230</v>
      </c>
      <c r="F50" s="17">
        <f>54+61</f>
        <v>115</v>
      </c>
      <c r="G50" s="9">
        <f>July!G50+F50</f>
        <v>115</v>
      </c>
      <c r="H50" s="19"/>
      <c r="I50" s="9">
        <f>July!I50+H50</f>
        <v>0</v>
      </c>
      <c r="J50" s="24"/>
      <c r="K50" s="9">
        <f>July!K50+J50</f>
        <v>0</v>
      </c>
    </row>
    <row r="51" spans="1:11" s="5" customFormat="1" ht="18" customHeight="1">
      <c r="A51" s="9" t="s">
        <v>53</v>
      </c>
      <c r="B51" s="13">
        <v>197</v>
      </c>
      <c r="C51" s="9">
        <f>July!C51+B51</f>
        <v>197</v>
      </c>
      <c r="D51" s="15">
        <f>1</f>
        <v>1</v>
      </c>
      <c r="E51" s="9">
        <f>July!E51+D51</f>
        <v>8</v>
      </c>
      <c r="F51" s="17"/>
      <c r="G51" s="9">
        <f>July!G51+F51</f>
        <v>0</v>
      </c>
      <c r="H51" s="19"/>
      <c r="I51" s="9">
        <f>July!I51+H51</f>
        <v>0</v>
      </c>
      <c r="J51" s="24"/>
      <c r="K51" s="9">
        <f>July!K51+J51</f>
        <v>0</v>
      </c>
    </row>
    <row r="52" spans="1:11" s="5" customFormat="1" ht="18" customHeight="1">
      <c r="A52" s="9" t="s">
        <v>54</v>
      </c>
      <c r="B52" s="13">
        <f>60+92+60+69+61+1+54+61+63</f>
        <v>521</v>
      </c>
      <c r="C52" s="9">
        <f>July!C52+B52</f>
        <v>2915</v>
      </c>
      <c r="D52" s="15"/>
      <c r="E52" s="9">
        <f>July!E52+D52</f>
        <v>1</v>
      </c>
      <c r="F52" s="17"/>
      <c r="G52" s="9">
        <f>July!G52+F52</f>
        <v>0</v>
      </c>
      <c r="H52" s="19"/>
      <c r="I52" s="9">
        <f>July!I52+H52</f>
        <v>0</v>
      </c>
      <c r="J52" s="24"/>
      <c r="K52" s="9">
        <f>July!K52+J52</f>
        <v>0</v>
      </c>
    </row>
    <row r="53" spans="1:11" s="5" customFormat="1" ht="18" customHeight="1">
      <c r="A53" s="9" t="s">
        <v>55</v>
      </c>
      <c r="B53" s="13">
        <f>31+95+25+38+13+18+9+21+10+17+6+71+32+28+891+204</f>
        <v>1509</v>
      </c>
      <c r="C53" s="9">
        <f>July!C53+B53</f>
        <v>14962</v>
      </c>
      <c r="D53" s="15">
        <f>1+1+2+1+12+1+17+19+13+18+27+2+1+130+28+7+7+29+5+1+3+10+4+2+4+4+45+8+2+40+38+8</f>
        <v>490</v>
      </c>
      <c r="E53" s="9">
        <f>July!E53+D53</f>
        <v>2548</v>
      </c>
      <c r="F53" s="17">
        <f>4+34+39+114+144+1+59+38+4+29+18+116+40+80+60+125+13+68+1+40+12+2+48+39+24+80+11+16+12+49+21+124+60+104+136+30+150+260+12+22+15+62+1+2+1+125+18+28+50+91+39+3+20+5+38+105+76+20+4+10+113+30+40+1+35+38+88+10+1+14+18+1+4+6+1+302</f>
        <v>3654</v>
      </c>
      <c r="G53" s="9">
        <f>July!G53+F53</f>
        <v>27404</v>
      </c>
      <c r="H53" s="19"/>
      <c r="I53" s="9">
        <f>July!I53+H53</f>
        <v>0</v>
      </c>
      <c r="J53" s="24"/>
      <c r="K53" s="9">
        <f>July!K53+J53</f>
        <v>0</v>
      </c>
    </row>
    <row r="54" spans="1:11" s="5" customFormat="1" ht="18" customHeight="1" thickBot="1">
      <c r="A54" s="10" t="s">
        <v>56</v>
      </c>
      <c r="B54" s="13">
        <f>140+50+238+374</f>
        <v>802</v>
      </c>
      <c r="C54" s="9">
        <f>July!C54+B54</f>
        <v>3941</v>
      </c>
      <c r="D54" s="16">
        <f>4+2+1+5+1+1+2</f>
        <v>16</v>
      </c>
      <c r="E54" s="9">
        <f>July!E54+D54</f>
        <v>1360</v>
      </c>
      <c r="F54" s="17">
        <f>72</f>
        <v>72</v>
      </c>
      <c r="G54" s="9">
        <f>July!G54+F54</f>
        <v>161</v>
      </c>
      <c r="H54" s="19"/>
      <c r="I54" s="9">
        <f>July!I54+H54</f>
        <v>0</v>
      </c>
      <c r="J54" s="25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84135</v>
      </c>
      <c r="C55" s="11"/>
      <c r="D55" s="11">
        <f>SUM(D5:D54)</f>
        <v>2806</v>
      </c>
      <c r="E55" s="11"/>
      <c r="F55" s="11">
        <f>SUM(F5:F54)</f>
        <v>13466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July!C57+B55</f>
        <v>694659</v>
      </c>
      <c r="D57" s="11"/>
      <c r="E57" s="11">
        <f>July!E57+D55</f>
        <v>41386</v>
      </c>
      <c r="F57" s="11"/>
      <c r="G57" s="11">
        <f>July!G57+F55</f>
        <v>99054</v>
      </c>
      <c r="H57" s="11"/>
      <c r="I57" s="11">
        <f>July!I57+H55</f>
        <v>183</v>
      </c>
      <c r="J57" s="11"/>
      <c r="K57" s="11">
        <f>July!K57+J55</f>
        <v>74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3040</v>
      </c>
      <c r="G62" s="4">
        <f>July!G62+F60</f>
        <v>12447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41" activePane="bottomLeft" state="frozen"/>
      <selection pane="topLeft" activeCell="A1" sqref="A1"/>
      <selection pane="bottomLeft" activeCell="B55" sqref="B5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69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f>63+44+60+64+60+139</f>
        <v>430</v>
      </c>
      <c r="C5" s="9">
        <f>August!C5+B5</f>
        <v>1172</v>
      </c>
      <c r="D5" s="15"/>
      <c r="E5" s="9">
        <f>August!E5+D5</f>
        <v>7</v>
      </c>
      <c r="F5" s="17"/>
      <c r="G5" s="9">
        <f>August!G5+F5</f>
        <v>0</v>
      </c>
      <c r="H5" s="19"/>
      <c r="I5" s="9">
        <f>August!I5+H5</f>
        <v>0</v>
      </c>
      <c r="J5" s="24"/>
      <c r="K5" s="9">
        <f>August!K5+J5</f>
        <v>0</v>
      </c>
    </row>
    <row r="6" spans="1:11" s="5" customFormat="1" ht="18" customHeight="1">
      <c r="A6" s="9" t="s">
        <v>8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  <c r="J6" s="24"/>
      <c r="K6" s="9">
        <f>August!K6+J6</f>
        <v>0</v>
      </c>
    </row>
    <row r="7" spans="1:11" s="5" customFormat="1" ht="18" customHeight="1">
      <c r="A7" s="9" t="s">
        <v>9</v>
      </c>
      <c r="B7" s="13"/>
      <c r="C7" s="9">
        <f>August!C7+B7</f>
        <v>84</v>
      </c>
      <c r="D7" s="15"/>
      <c r="E7" s="9">
        <f>August!E7+D7</f>
        <v>125</v>
      </c>
      <c r="F7" s="17">
        <f>61+121+352+107</f>
        <v>641</v>
      </c>
      <c r="G7" s="9">
        <f>August!G7+F7</f>
        <v>2560</v>
      </c>
      <c r="H7" s="19"/>
      <c r="I7" s="9">
        <f>August!I7+H7</f>
        <v>0</v>
      </c>
      <c r="J7" s="24"/>
      <c r="K7" s="9">
        <f>August!K7+J7</f>
        <v>0</v>
      </c>
    </row>
    <row r="8" spans="1:11" s="5" customFormat="1" ht="18" customHeight="1">
      <c r="A8" s="9" t="s">
        <v>10</v>
      </c>
      <c r="B8" s="13">
        <f>65+65+65+65+78+114</f>
        <v>452</v>
      </c>
      <c r="C8" s="9">
        <f>August!C8+B8</f>
        <v>6217</v>
      </c>
      <c r="D8" s="15"/>
      <c r="E8" s="9">
        <f>August!E8+D8</f>
        <v>173</v>
      </c>
      <c r="F8" s="17"/>
      <c r="G8" s="9">
        <f>August!G8+F8</f>
        <v>0</v>
      </c>
      <c r="H8" s="19"/>
      <c r="I8" s="9">
        <f>August!I8+H8</f>
        <v>0</v>
      </c>
      <c r="J8" s="24"/>
      <c r="K8" s="9">
        <f>August!K8+J8</f>
        <v>0</v>
      </c>
    </row>
    <row r="9" spans="1:11" s="5" customFormat="1" ht="18" customHeight="1">
      <c r="A9" s="9" t="s">
        <v>11</v>
      </c>
      <c r="B9" s="13">
        <f>290+120</f>
        <v>410</v>
      </c>
      <c r="C9" s="9">
        <f>August!C9+B9</f>
        <v>3648</v>
      </c>
      <c r="D9" s="15"/>
      <c r="E9" s="9">
        <f>August!E9+D9</f>
        <v>836</v>
      </c>
      <c r="F9" s="17">
        <f>100+1</f>
        <v>101</v>
      </c>
      <c r="G9" s="9">
        <f>August!G9+F9</f>
        <v>6020</v>
      </c>
      <c r="H9" s="19"/>
      <c r="I9" s="9">
        <f>August!I9+H9</f>
        <v>148</v>
      </c>
      <c r="J9" s="24"/>
      <c r="K9" s="9">
        <f>August!K9+J9</f>
        <v>0</v>
      </c>
    </row>
    <row r="10" spans="1:11" s="5" customFormat="1" ht="18" customHeight="1">
      <c r="A10" s="9" t="s">
        <v>12</v>
      </c>
      <c r="B10" s="13">
        <f>98+19+15+33+37+38+24+11+103+86+1+3+2500+78+4+363</f>
        <v>3413</v>
      </c>
      <c r="C10" s="9">
        <f>August!C10+B10</f>
        <v>35010</v>
      </c>
      <c r="D10" s="15"/>
      <c r="E10" s="9">
        <f>August!E10+D10</f>
        <v>94</v>
      </c>
      <c r="F10" s="17">
        <v>113</v>
      </c>
      <c r="G10" s="9">
        <f>August!G10+F10</f>
        <v>405</v>
      </c>
      <c r="H10" s="19"/>
      <c r="I10" s="9">
        <f>August!I10+H10</f>
        <v>34</v>
      </c>
      <c r="J10" s="24"/>
      <c r="K10" s="9">
        <f>August!K10+J10</f>
        <v>0</v>
      </c>
    </row>
    <row r="11" spans="1:11" s="5" customFormat="1" ht="18" customHeight="1">
      <c r="A11" s="9" t="s">
        <v>13</v>
      </c>
      <c r="B11" s="13">
        <f>56+1800+159+20</f>
        <v>2035</v>
      </c>
      <c r="C11" s="9">
        <f>August!C11+B11</f>
        <v>4369</v>
      </c>
      <c r="D11" s="15">
        <f>20</f>
        <v>20</v>
      </c>
      <c r="E11" s="9">
        <f>August!E11+D11</f>
        <v>415</v>
      </c>
      <c r="F11" s="17">
        <f>65+85</f>
        <v>150</v>
      </c>
      <c r="G11" s="9">
        <f>August!G11+F11</f>
        <v>2356</v>
      </c>
      <c r="H11" s="19"/>
      <c r="I11" s="9">
        <f>August!I11+H11</f>
        <v>0</v>
      </c>
      <c r="J11" s="24"/>
      <c r="K11" s="9">
        <f>August!K11+J11</f>
        <v>2</v>
      </c>
    </row>
    <row r="12" spans="1:11" s="5" customFormat="1" ht="18" customHeight="1">
      <c r="A12" s="9" t="s">
        <v>14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  <c r="J12" s="24"/>
      <c r="K12" s="9">
        <f>August!K12+J12</f>
        <v>0</v>
      </c>
    </row>
    <row r="13" spans="1:11" s="5" customFormat="1" ht="18" customHeight="1">
      <c r="A13" s="9" t="s">
        <v>15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  <c r="J13" s="24"/>
      <c r="K13" s="9">
        <f>August!K13+J13</f>
        <v>0</v>
      </c>
    </row>
    <row r="14" spans="1:11" s="5" customFormat="1" ht="18" customHeight="1">
      <c r="A14" s="9" t="s">
        <v>16</v>
      </c>
      <c r="B14" s="13">
        <v>74</v>
      </c>
      <c r="C14" s="9">
        <f>August!C14+B14</f>
        <v>939</v>
      </c>
      <c r="D14" s="15"/>
      <c r="E14" s="9">
        <f>August!E14+D14</f>
        <v>0</v>
      </c>
      <c r="F14" s="17"/>
      <c r="G14" s="9">
        <f>August!G14+F14</f>
        <v>98</v>
      </c>
      <c r="H14" s="19"/>
      <c r="I14" s="9">
        <f>August!I14+H14</f>
        <v>0</v>
      </c>
      <c r="J14" s="24"/>
      <c r="K14" s="9">
        <f>August!K14+J14</f>
        <v>0</v>
      </c>
    </row>
    <row r="15" spans="1:11" s="5" customFormat="1" ht="18" customHeight="1">
      <c r="A15" s="9" t="s">
        <v>17</v>
      </c>
      <c r="B15" s="13">
        <f>60+104+75+75+78+70</f>
        <v>462</v>
      </c>
      <c r="C15" s="9">
        <f>August!C15+B15</f>
        <v>2981</v>
      </c>
      <c r="D15" s="15"/>
      <c r="E15" s="9">
        <f>August!E15+D15</f>
        <v>33</v>
      </c>
      <c r="F15" s="17"/>
      <c r="G15" s="9">
        <f>August!G15+F15</f>
        <v>102</v>
      </c>
      <c r="H15" s="19"/>
      <c r="I15" s="9">
        <f>August!I15+H15</f>
        <v>0</v>
      </c>
      <c r="J15" s="24"/>
      <c r="K15" s="9">
        <f>August!K15+J15</f>
        <v>0</v>
      </c>
    </row>
    <row r="16" spans="1:11" s="5" customFormat="1" ht="18" customHeight="1">
      <c r="A16" s="9" t="s">
        <v>18</v>
      </c>
      <c r="B16" s="13"/>
      <c r="C16" s="9">
        <f>August!C16+B16</f>
        <v>113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  <c r="J16" s="24"/>
      <c r="K16" s="9">
        <f>August!K16+J16</f>
        <v>0</v>
      </c>
    </row>
    <row r="17" spans="1:11" s="5" customFormat="1" ht="18" customHeight="1">
      <c r="A17" s="9" t="s">
        <v>19</v>
      </c>
      <c r="B17" s="13">
        <f>81+5+10+145+25+150+420</f>
        <v>836</v>
      </c>
      <c r="C17" s="9">
        <f>August!C17+B17</f>
        <v>3320</v>
      </c>
      <c r="D17" s="15">
        <f>106+2+10</f>
        <v>118</v>
      </c>
      <c r="E17" s="9">
        <f>August!E17+D17</f>
        <v>530</v>
      </c>
      <c r="F17" s="17">
        <f>68+65</f>
        <v>133</v>
      </c>
      <c r="G17" s="9">
        <f>August!G17+F17</f>
        <v>1489</v>
      </c>
      <c r="H17" s="19"/>
      <c r="I17" s="9">
        <f>August!I17+H17</f>
        <v>0</v>
      </c>
      <c r="J17" s="24"/>
      <c r="K17" s="9">
        <f>August!K17+J17</f>
        <v>0</v>
      </c>
    </row>
    <row r="18" spans="1:11" s="5" customFormat="1" ht="18" customHeight="1">
      <c r="A18" s="9" t="s">
        <v>20</v>
      </c>
      <c r="B18" s="13">
        <f>11+65+45+76+61+32</f>
        <v>290</v>
      </c>
      <c r="C18" s="9">
        <f>August!C18+B18</f>
        <v>4344</v>
      </c>
      <c r="D18" s="15">
        <f>69+69+69+10+10+10+9+10+1+108</f>
        <v>365</v>
      </c>
      <c r="E18" s="9">
        <f>August!E18+D18</f>
        <v>757</v>
      </c>
      <c r="F18" s="17">
        <f>6+1+3+14+14+8+2+1</f>
        <v>49</v>
      </c>
      <c r="G18" s="9">
        <f>August!G18+F18</f>
        <v>918</v>
      </c>
      <c r="H18" s="19"/>
      <c r="I18" s="9">
        <f>August!I18+H18</f>
        <v>0</v>
      </c>
      <c r="J18" s="24"/>
      <c r="K18" s="9">
        <f>August!K18+J18</f>
        <v>0</v>
      </c>
    </row>
    <row r="19" spans="1:11" s="5" customFormat="1" ht="18" customHeight="1">
      <c r="A19" s="9" t="s">
        <v>21</v>
      </c>
      <c r="B19" s="13">
        <f>127+1176</f>
        <v>1303</v>
      </c>
      <c r="C19" s="9">
        <f>August!C19+B19</f>
        <v>7341</v>
      </c>
      <c r="D19" s="15">
        <f>1+1+1+1+1+1+1</f>
        <v>7</v>
      </c>
      <c r="E19" s="9">
        <f>August!E19+D19</f>
        <v>1051</v>
      </c>
      <c r="F19" s="17">
        <f>150+7+150+61+195+195+300</f>
        <v>1058</v>
      </c>
      <c r="G19" s="9">
        <f>August!G19+F19</f>
        <v>9734</v>
      </c>
      <c r="H19" s="19"/>
      <c r="I19" s="9">
        <f>August!I19+H19</f>
        <v>0</v>
      </c>
      <c r="J19" s="24"/>
      <c r="K19" s="9">
        <f>August!K19+J19</f>
        <v>0</v>
      </c>
    </row>
    <row r="20" spans="1:11" s="5" customFormat="1" ht="18" customHeight="1">
      <c r="A20" s="9" t="s">
        <v>22</v>
      </c>
      <c r="B20" s="13">
        <f>116+89+44+119+118+65+70+27+71+59+142+44+67+46+60+117+56+297+118+70+62+60+230+74+61+181+127+126+18+58+200+65+60+239+83+380+29+48+65+310+100+65+530+60+110+399+157+60+300+67+53+119+61+63+327+94+240+36+420+140+232+60+119+61+60+120+240+120+125+210+195+60+58</f>
        <v>9332</v>
      </c>
      <c r="C20" s="9">
        <f>August!C20+B20</f>
        <v>37522</v>
      </c>
      <c r="D20" s="15">
        <f>18+29+4+7</f>
        <v>58</v>
      </c>
      <c r="E20" s="9">
        <f>August!E20+D20</f>
        <v>1077</v>
      </c>
      <c r="F20" s="17">
        <f>39+114+38+166+52</f>
        <v>409</v>
      </c>
      <c r="G20" s="9">
        <f>August!G20+F20</f>
        <v>1841</v>
      </c>
      <c r="H20" s="19"/>
      <c r="I20" s="9">
        <f>August!I20+H20</f>
        <v>0</v>
      </c>
      <c r="J20" s="24"/>
      <c r="K20" s="9">
        <f>August!K20+J20</f>
        <v>23</v>
      </c>
    </row>
    <row r="21" spans="1:11" s="5" customFormat="1" ht="18" customHeight="1">
      <c r="A21" s="9" t="s">
        <v>23</v>
      </c>
      <c r="B21" s="13">
        <f>132+160+84+116+193+95+140+193+65+70+100+75+130+148+62+174+85+67+76+79+76+62+60+238+139+132+180+51+107+69+60+211+226+150+9+45+178+51+17+114+117+49+23+118+73+35+31+33+26+117+20+62+72+49+63+209+80+60+6+58+7+168+39+41+35+86+81+44+54+12+59+58+87+68+125+153+242+226+145+60+88+99+194+92+66+71+366+95+119+192+56+473+422+270+59+65+126+235+152+150+62+70+115+83+211+66+99+108+115+68+65+17+62+88+60+104+69+57+127+127+600+75+325+123+122+129+113+65+60+258+50+30+52+57+133+86+137+183+146+45+120+60+55+82+55</f>
        <v>15834</v>
      </c>
      <c r="C21" s="9">
        <f>August!C21+B21</f>
        <v>73920</v>
      </c>
      <c r="D21" s="15">
        <f>1+35</f>
        <v>36</v>
      </c>
      <c r="E21" s="9">
        <f>August!E21+D21</f>
        <v>178</v>
      </c>
      <c r="F21" s="17">
        <f>133+6+10+10+10+10+10+10+10+10+10+10+10+10+10+10+10+10+10+10+10+10+10+10+10+10+10+10+10+10+10+10+10+10+10+10+10+10+10+10+10+10+10+10+10+10+4+481</f>
        <v>1064</v>
      </c>
      <c r="G21" s="9">
        <f>August!G21+F21</f>
        <v>4239</v>
      </c>
      <c r="H21" s="19"/>
      <c r="I21" s="9">
        <f>August!I21+H21</f>
        <v>0</v>
      </c>
      <c r="J21" s="24"/>
      <c r="K21" s="9">
        <f>August!K21+J21</f>
        <v>0</v>
      </c>
    </row>
    <row r="22" spans="1:11" s="5" customFormat="1" ht="18" customHeight="1">
      <c r="A22" s="9" t="s">
        <v>24</v>
      </c>
      <c r="B22" s="13"/>
      <c r="C22" s="9">
        <f>August!C22+B22</f>
        <v>0</v>
      </c>
      <c r="D22" s="15"/>
      <c r="E22" s="9">
        <f>August!E22+D22</f>
        <v>1</v>
      </c>
      <c r="F22" s="17"/>
      <c r="G22" s="9">
        <f>August!G22+F22</f>
        <v>0</v>
      </c>
      <c r="H22" s="19"/>
      <c r="I22" s="9">
        <f>August!I22+H22</f>
        <v>0</v>
      </c>
      <c r="J22" s="24"/>
      <c r="K22" s="9">
        <f>August!K22+J22</f>
        <v>0</v>
      </c>
    </row>
    <row r="23" spans="1:11" s="5" customFormat="1" ht="18" customHeight="1">
      <c r="A23" s="9" t="s">
        <v>25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0</v>
      </c>
      <c r="H23" s="19"/>
      <c r="I23" s="9">
        <f>August!I23+H23</f>
        <v>0</v>
      </c>
      <c r="J23" s="24"/>
      <c r="K23" s="9">
        <f>August!K23+J23</f>
        <v>0</v>
      </c>
    </row>
    <row r="24" spans="1:11" s="5" customFormat="1" ht="18" customHeight="1">
      <c r="A24" s="9" t="s">
        <v>26</v>
      </c>
      <c r="B24" s="13"/>
      <c r="C24" s="9">
        <f>August!C24+B24</f>
        <v>0</v>
      </c>
      <c r="D24" s="15"/>
      <c r="E24" s="9">
        <f>August!E24+D24</f>
        <v>4</v>
      </c>
      <c r="F24" s="17"/>
      <c r="G24" s="9">
        <f>August!G24+F24</f>
        <v>2</v>
      </c>
      <c r="H24" s="19"/>
      <c r="I24" s="9">
        <f>August!I24+H24</f>
        <v>0</v>
      </c>
      <c r="J24" s="24"/>
      <c r="K24" s="9">
        <f>August!K24+J24</f>
        <v>0</v>
      </c>
    </row>
    <row r="25" spans="1:11" s="5" customFormat="1" ht="18" customHeight="1">
      <c r="A25" s="9" t="s">
        <v>27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  <c r="J25" s="24"/>
      <c r="K25" s="9">
        <f>August!K25+J25</f>
        <v>0</v>
      </c>
    </row>
    <row r="26" spans="1:11" s="5" customFormat="1" ht="18" customHeight="1">
      <c r="A26" s="9" t="s">
        <v>28</v>
      </c>
      <c r="B26" s="13">
        <v>752</v>
      </c>
      <c r="C26" s="9">
        <f>August!C26+B26</f>
        <v>2967</v>
      </c>
      <c r="D26" s="15">
        <f>60</f>
        <v>60</v>
      </c>
      <c r="E26" s="9">
        <f>August!E26+D26</f>
        <v>434</v>
      </c>
      <c r="F26" s="17">
        <f>69+69+100+200+200+213+50+100+200+200+90</f>
        <v>1491</v>
      </c>
      <c r="G26" s="9">
        <f>August!G26+F26</f>
        <v>12489</v>
      </c>
      <c r="H26" s="19"/>
      <c r="I26" s="9">
        <f>August!I26+H26</f>
        <v>0</v>
      </c>
      <c r="J26" s="24"/>
      <c r="K26" s="9">
        <f>August!K26+J26</f>
        <v>0</v>
      </c>
    </row>
    <row r="27" spans="1:11" s="5" customFormat="1" ht="18" customHeight="1">
      <c r="A27" s="9" t="s">
        <v>29</v>
      </c>
      <c r="B27" s="13">
        <f>5+15+10+16+270+5+12+35+7+33+7+14+1+4+34+2+7+140+260+140+60+67+27</f>
        <v>1171</v>
      </c>
      <c r="C27" s="9">
        <f>August!C27+B27</f>
        <v>15346</v>
      </c>
      <c r="D27" s="15">
        <f>9+3+3+2+3+7+1+3+20+7+5+2+3+3+1+2+15+1+1+1+1+1+1+8+6+4+5+4+5+5+3+4+26+2+1+20+2+25+6+1+2+42+2+2+2+2+2+3+7+4+2+12</f>
        <v>304</v>
      </c>
      <c r="E27" s="9">
        <f>August!E27+D27</f>
        <v>4147</v>
      </c>
      <c r="F27" s="17">
        <f>19+13+9+4+9+1+4+8+15+16+16+5+42+1+5+9+1+7+22+4+28+11+7+17+8+3+12+28+3+2+25+8+1+27+48+48+4+6+9+5+7+4+1+19+3+1+1+42+5+10+11+32+2+31+28+21+20+11+7+2+1+14+20+13+25+4+1+2+22+20+6+21+13+1+12+51+48+7+7+10+51+24+11+21+29+18+10+16+3+21+24+2+2+2+1+1+1+14+9+33+53+31+40+12+20+2</f>
        <v>1517</v>
      </c>
      <c r="G27" s="9">
        <f>August!G27+F27</f>
        <v>8344</v>
      </c>
      <c r="H27" s="19"/>
      <c r="I27" s="9">
        <f>August!I27+H27</f>
        <v>0</v>
      </c>
      <c r="J27" s="24"/>
      <c r="K27" s="9">
        <f>August!K27+J27</f>
        <v>0</v>
      </c>
    </row>
    <row r="28" spans="1:11" s="5" customFormat="1" ht="18" customHeight="1">
      <c r="A28" s="9" t="s">
        <v>30</v>
      </c>
      <c r="B28" s="13">
        <f>63</f>
        <v>63</v>
      </c>
      <c r="C28" s="9">
        <f>August!C28+B28</f>
        <v>1139</v>
      </c>
      <c r="D28" s="15"/>
      <c r="E28" s="9">
        <f>August!E28+D28</f>
        <v>2</v>
      </c>
      <c r="F28" s="17">
        <f>53</f>
        <v>53</v>
      </c>
      <c r="G28" s="9">
        <f>August!G28+F28</f>
        <v>264</v>
      </c>
      <c r="H28" s="19"/>
      <c r="I28" s="9">
        <f>August!I28+H28</f>
        <v>0</v>
      </c>
      <c r="J28" s="24"/>
      <c r="K28" s="9">
        <f>August!K28+J28</f>
        <v>0</v>
      </c>
    </row>
    <row r="29" spans="1:11" s="5" customFormat="1" ht="18" customHeight="1">
      <c r="A29" s="9" t="s">
        <v>31</v>
      </c>
      <c r="B29" s="13">
        <f>60+77+31+44+74+24+57+86+63+102+75+164+95+27+70+105+58+87+72+37+32+70+91+75+23+9+38+54+60+78+65+90+70+122+171+68+33+70+70+42+51+110+58+81+100+84+185+39+70+68+65+22+175+55+44+55+60+60+65+129+62+97+69+64+140+300+106+130+71+23+72+22+100+104+70+9+44+77+65+244+125+160+25+27+166+195+228+141+303+99+22+25+13+138+74+84+95+91+53+31+58+58+29+86+14+39+60+60+55+82+63+56+73+25+202+53+40+60+50</f>
        <v>9442</v>
      </c>
      <c r="C29" s="9">
        <f>August!C29+B29</f>
        <v>112696</v>
      </c>
      <c r="D29" s="15">
        <f>88+1+1+2+2+1+2+15+20+4+5+6+22+22+1+20+17+23+1+32</f>
        <v>285</v>
      </c>
      <c r="E29" s="9">
        <f>August!E29+D29</f>
        <v>3607</v>
      </c>
      <c r="F29" s="17">
        <f>86+43</f>
        <v>129</v>
      </c>
      <c r="G29" s="9">
        <f>August!G29+F29</f>
        <v>1542</v>
      </c>
      <c r="H29" s="19"/>
      <c r="I29" s="9">
        <f>August!I29+H29</f>
        <v>0</v>
      </c>
      <c r="J29" s="24"/>
      <c r="K29" s="9">
        <f>August!K29+J29</f>
        <v>49</v>
      </c>
    </row>
    <row r="30" spans="1:11" s="5" customFormat="1" ht="18" customHeight="1">
      <c r="A30" s="9" t="s">
        <v>32</v>
      </c>
      <c r="B30" s="13">
        <f>41+41+21+140+131+140+131+131+3+210+10+24+20+12+98+32+600+140+60+250+251+251+653+65+62+9+71+75+39+47+37+44+129+110+2+71+400+56+70+360+100+100+140+260+123+73+58+291+17+13+78+6+3+42+13+71+109+76+26+65+360+10+10+48+65+81+108+156+6+110+130+230+180+160+100+271+347</f>
        <v>9073</v>
      </c>
      <c r="C30" s="9">
        <f>August!C30+B30</f>
        <v>41189</v>
      </c>
      <c r="D30" s="15">
        <f>20+6+49+93+2+15+5+15+1+77+2</f>
        <v>285</v>
      </c>
      <c r="E30" s="9">
        <f>August!E30+D30</f>
        <v>4237</v>
      </c>
      <c r="F30" s="17">
        <f>2+26+2</f>
        <v>30</v>
      </c>
      <c r="G30" s="9">
        <f>August!G30+F30</f>
        <v>495</v>
      </c>
      <c r="H30" s="19"/>
      <c r="I30" s="9">
        <f>August!I30+H30</f>
        <v>0</v>
      </c>
      <c r="J30" s="24"/>
      <c r="K30" s="9">
        <f>August!K30+J30</f>
        <v>0</v>
      </c>
    </row>
    <row r="31" spans="1:11" s="5" customFormat="1" ht="18" customHeight="1">
      <c r="A31" s="9" t="s">
        <v>33</v>
      </c>
      <c r="B31" s="13">
        <f>139+58+48+52+61+120+135+115+65+68+125+205+360+172+106+175+94+64+175+175+186+95+301+167+63+97+264+74+198+242+27+22+60+70+120+65+61+220+130+64+278+65+66+242+28+3+3+320+224+68+109+61+74+2+70+46+130+54+154+225+268+54+65+86+345+178+49+141+66+123+169+46+100+2+16+101+188+1</f>
        <v>9258</v>
      </c>
      <c r="C31" s="9">
        <f>August!C31+B31</f>
        <v>53623</v>
      </c>
      <c r="D31" s="15">
        <f>1+2+4+16+2+5+1+2+2+4+10+1+1+8+2+2+3+3+4+1+2+5+12+9+83+8</f>
        <v>193</v>
      </c>
      <c r="E31" s="9">
        <f>August!E31+D31</f>
        <v>9414</v>
      </c>
      <c r="F31" s="17">
        <f>42+44</f>
        <v>86</v>
      </c>
      <c r="G31" s="9">
        <f>August!G31+F31</f>
        <v>3532</v>
      </c>
      <c r="H31" s="19"/>
      <c r="I31" s="9">
        <f>August!I31+H31</f>
        <v>0</v>
      </c>
      <c r="J31" s="24"/>
      <c r="K31" s="9">
        <f>August!K31+J31</f>
        <v>0</v>
      </c>
    </row>
    <row r="32" spans="1:11" s="5" customFormat="1" ht="18" customHeight="1">
      <c r="A32" s="9" t="s">
        <v>34</v>
      </c>
      <c r="B32" s="13">
        <v>300</v>
      </c>
      <c r="C32" s="9">
        <f>August!C32+B32</f>
        <v>484</v>
      </c>
      <c r="D32" s="15"/>
      <c r="E32" s="9">
        <f>August!E32+D32</f>
        <v>1</v>
      </c>
      <c r="F32" s="17"/>
      <c r="G32" s="9">
        <f>August!G32+F32</f>
        <v>0</v>
      </c>
      <c r="H32" s="19"/>
      <c r="I32" s="9">
        <f>August!I32+H32</f>
        <v>0</v>
      </c>
      <c r="J32" s="24"/>
      <c r="K32" s="9">
        <f>August!K32+J32</f>
        <v>0</v>
      </c>
    </row>
    <row r="33" spans="1:11" s="5" customFormat="1" ht="18" customHeight="1">
      <c r="A33" s="9" t="s">
        <v>35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  <c r="J33" s="24"/>
      <c r="K33" s="9">
        <f>August!K33+J33</f>
        <v>0</v>
      </c>
    </row>
    <row r="34" spans="1:11" s="5" customFormat="1" ht="18" customHeight="1">
      <c r="A34" s="9" t="s">
        <v>36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  <c r="J34" s="24"/>
      <c r="K34" s="9">
        <f>August!K34+J34</f>
        <v>0</v>
      </c>
    </row>
    <row r="35" spans="1:11" s="5" customFormat="1" ht="18" customHeight="1">
      <c r="A35" s="9" t="s">
        <v>37</v>
      </c>
      <c r="B35" s="13">
        <v>63</v>
      </c>
      <c r="C35" s="9">
        <f>August!C35+B35</f>
        <v>2087</v>
      </c>
      <c r="D35" s="15"/>
      <c r="E35" s="9">
        <f>August!E35+D35</f>
        <v>127</v>
      </c>
      <c r="F35" s="17">
        <f>150</f>
        <v>150</v>
      </c>
      <c r="G35" s="9">
        <f>August!G35+F35</f>
        <v>4666</v>
      </c>
      <c r="H35" s="19"/>
      <c r="I35" s="9">
        <f>August!I35+H35</f>
        <v>0</v>
      </c>
      <c r="J35" s="24"/>
      <c r="K35" s="9">
        <f>August!K35+J35</f>
        <v>0</v>
      </c>
    </row>
    <row r="36" spans="1:11" s="5" customFormat="1" ht="18" customHeight="1">
      <c r="A36" s="9" t="s">
        <v>38</v>
      </c>
      <c r="B36" s="13">
        <f>49+53+65+63+49</f>
        <v>279</v>
      </c>
      <c r="C36" s="9">
        <f>August!C36+B36</f>
        <v>460</v>
      </c>
      <c r="D36" s="15">
        <f>97+30+41</f>
        <v>168</v>
      </c>
      <c r="E36" s="9">
        <f>August!E36+D36</f>
        <v>343</v>
      </c>
      <c r="F36" s="17">
        <f>1+100+35+75+20+67</f>
        <v>298</v>
      </c>
      <c r="G36" s="9">
        <f>August!G36+F36</f>
        <v>1849</v>
      </c>
      <c r="H36" s="19"/>
      <c r="I36" s="9">
        <f>August!I36+H36</f>
        <v>0</v>
      </c>
      <c r="J36" s="24"/>
      <c r="K36" s="9">
        <f>August!K36+J36</f>
        <v>0</v>
      </c>
    </row>
    <row r="37" spans="1:11" s="5" customFormat="1" ht="18" customHeight="1">
      <c r="A37" s="9" t="s">
        <v>39</v>
      </c>
      <c r="B37" s="13">
        <f>83+35+86</f>
        <v>204</v>
      </c>
      <c r="C37" s="9">
        <f>August!C37+B37</f>
        <v>361</v>
      </c>
      <c r="D37" s="15">
        <f>14+1</f>
        <v>15</v>
      </c>
      <c r="E37" s="9">
        <f>August!E37+D37</f>
        <v>20</v>
      </c>
      <c r="F37" s="17"/>
      <c r="G37" s="9">
        <f>August!G37+F37</f>
        <v>0</v>
      </c>
      <c r="H37" s="19"/>
      <c r="I37" s="9">
        <f>August!I37+H37</f>
        <v>0</v>
      </c>
      <c r="J37" s="24"/>
      <c r="K37" s="9">
        <f>August!K37+J37</f>
        <v>0</v>
      </c>
    </row>
    <row r="38" spans="1:11" s="5" customFormat="1" ht="18" customHeight="1">
      <c r="A38" s="9" t="s">
        <v>40</v>
      </c>
      <c r="B38" s="13">
        <f>76+184+337+440+67+24+83+40+14+117+29+195+250+60+160+122+60+70+56+120+68+72+61+100+172+63+25+68+240+171+71+86+66+1140+520+57+111+63+220+69+7+46+286+156+68</f>
        <v>6510</v>
      </c>
      <c r="C38" s="9">
        <f>August!C38+B38</f>
        <v>60180</v>
      </c>
      <c r="D38" s="15">
        <f>2+1+1+19+16+44</f>
        <v>83</v>
      </c>
      <c r="E38" s="9">
        <f>August!E38+D38</f>
        <v>1691</v>
      </c>
      <c r="F38" s="17"/>
      <c r="G38" s="9">
        <f>August!G38+F38</f>
        <v>129</v>
      </c>
      <c r="H38" s="19"/>
      <c r="I38" s="9">
        <f>August!I38+H38</f>
        <v>0</v>
      </c>
      <c r="J38" s="24"/>
      <c r="K38" s="9">
        <f>August!K38+J38</f>
        <v>0</v>
      </c>
    </row>
    <row r="39" spans="1:11" s="5" customFormat="1" ht="18" customHeight="1">
      <c r="A39" s="9" t="s">
        <v>41</v>
      </c>
      <c r="B39" s="13">
        <v>200</v>
      </c>
      <c r="C39" s="9">
        <f>August!C39+B39</f>
        <v>1663</v>
      </c>
      <c r="D39" s="15">
        <f>6+4+1+1+1</f>
        <v>13</v>
      </c>
      <c r="E39" s="9">
        <f>August!E39+D39</f>
        <v>42</v>
      </c>
      <c r="F39" s="17">
        <f>200+155+200+122+1</f>
        <v>678</v>
      </c>
      <c r="G39" s="9">
        <f>August!G39+F39</f>
        <v>6249</v>
      </c>
      <c r="H39" s="19"/>
      <c r="I39" s="9">
        <f>August!I39+H39</f>
        <v>0</v>
      </c>
      <c r="J39" s="24"/>
      <c r="K39" s="9">
        <f>August!K39+J39</f>
        <v>0</v>
      </c>
    </row>
    <row r="40" spans="1:11" s="5" customFormat="1" ht="18" customHeight="1">
      <c r="A40" s="9" t="s">
        <v>42</v>
      </c>
      <c r="B40" s="13">
        <f>86+165+70+102+242+192+160+83+80+80+88+60+94+259+169</f>
        <v>1930</v>
      </c>
      <c r="C40" s="9">
        <f>August!C40+B40</f>
        <v>17672</v>
      </c>
      <c r="D40" s="15">
        <f>6+4+6+3+10+7</f>
        <v>36</v>
      </c>
      <c r="E40" s="9">
        <f>August!E40+D40</f>
        <v>1105</v>
      </c>
      <c r="F40" s="17">
        <f>70</f>
        <v>70</v>
      </c>
      <c r="G40" s="9">
        <f>August!G40+F40</f>
        <v>78</v>
      </c>
      <c r="H40" s="19"/>
      <c r="I40" s="9">
        <f>August!I40+H40</f>
        <v>0</v>
      </c>
      <c r="J40" s="24"/>
      <c r="K40" s="9">
        <f>August!K40+J40</f>
        <v>0</v>
      </c>
    </row>
    <row r="41" spans="1:11" s="5" customFormat="1" ht="18" customHeight="1">
      <c r="A41" s="9" t="s">
        <v>43</v>
      </c>
      <c r="B41" s="13">
        <f>35</f>
        <v>35</v>
      </c>
      <c r="C41" s="9">
        <f>August!C41+B41</f>
        <v>624</v>
      </c>
      <c r="D41" s="15"/>
      <c r="E41" s="9">
        <f>August!E41+D41</f>
        <v>15</v>
      </c>
      <c r="F41" s="17"/>
      <c r="G41" s="9">
        <f>August!G41+F41</f>
        <v>492</v>
      </c>
      <c r="H41" s="19"/>
      <c r="I41" s="9">
        <f>August!I41+H41</f>
        <v>0</v>
      </c>
      <c r="J41" s="24"/>
      <c r="K41" s="9">
        <f>August!K41+J41</f>
        <v>0</v>
      </c>
    </row>
    <row r="42" spans="1:11" s="5" customFormat="1" ht="18" customHeight="1">
      <c r="A42" s="9" t="s">
        <v>44</v>
      </c>
      <c r="B42" s="13">
        <f>90</f>
        <v>90</v>
      </c>
      <c r="C42" s="9">
        <f>August!C42+B42</f>
        <v>770</v>
      </c>
      <c r="D42" s="15"/>
      <c r="E42" s="9">
        <f>August!E42+D42</f>
        <v>44</v>
      </c>
      <c r="F42" s="17">
        <f>71+62+15+33+10+81+1+82+32+32+12+16+9+12+32</f>
        <v>500</v>
      </c>
      <c r="G42" s="9">
        <f>August!G42+F42</f>
        <v>1660</v>
      </c>
      <c r="H42" s="19"/>
      <c r="I42" s="9">
        <f>August!I42+H42</f>
        <v>0</v>
      </c>
      <c r="J42" s="24"/>
      <c r="K42" s="9">
        <f>August!K42+J42</f>
        <v>0</v>
      </c>
    </row>
    <row r="43" spans="1:11" s="5" customFormat="1" ht="18" customHeight="1">
      <c r="A43" s="9" t="s">
        <v>45</v>
      </c>
      <c r="B43" s="13"/>
      <c r="C43" s="9">
        <f>August!C43+B43</f>
        <v>0</v>
      </c>
      <c r="D43" s="15"/>
      <c r="E43" s="9">
        <f>August!E43+D43</f>
        <v>4</v>
      </c>
      <c r="F43" s="17"/>
      <c r="G43" s="9">
        <f>August!G43+F43</f>
        <v>0</v>
      </c>
      <c r="H43" s="19"/>
      <c r="I43" s="9">
        <f>August!I43+H43</f>
        <v>0</v>
      </c>
      <c r="J43" s="24"/>
      <c r="K43" s="9">
        <f>August!K43+J43</f>
        <v>0</v>
      </c>
    </row>
    <row r="44" spans="1:11" s="5" customFormat="1" ht="18" customHeight="1">
      <c r="A44" s="9" t="s">
        <v>46</v>
      </c>
      <c r="B44" s="13">
        <f>109+123+107+140+64+123+112+114+110+114+122+162+111+125+112</f>
        <v>1748</v>
      </c>
      <c r="C44" s="9">
        <f>August!C44+B44</f>
        <v>6250</v>
      </c>
      <c r="D44" s="15"/>
      <c r="E44" s="9">
        <f>August!E44+D44</f>
        <v>2</v>
      </c>
      <c r="F44" s="17"/>
      <c r="G44" s="9">
        <f>August!G44+F44</f>
        <v>0</v>
      </c>
      <c r="H44" s="19"/>
      <c r="I44" s="9">
        <f>August!I44+H44</f>
        <v>0</v>
      </c>
      <c r="J44" s="24"/>
      <c r="K44" s="9">
        <f>August!K44+J44</f>
        <v>0</v>
      </c>
    </row>
    <row r="45" spans="1:11" s="5" customFormat="1" ht="18" customHeight="1">
      <c r="A45" s="9" t="s">
        <v>47</v>
      </c>
      <c r="B45" s="13">
        <f>66+40+105+7+15+56+56+24+57+109+24+164+69+11+57+126+61+14+11+18+7+2+1+21+4+137+150+108+46+45+44+85+40+53+672+19+181+125+71+72+210+168+67+120+64+129+116+197+23+59+13+12+56+72+10+32+59+73+70+63+62+122+144+21+29+72+62+135+160+58+123+30+19+12+33+36+173+21+11+116+12+33+52+8+3+8+15+234+25+63+148+68+14+30+2+10+52+60+34+26+66+27+3+8+53+58+129+41+20+73+4+6+48+68+68+67+79+214+395+116+38+56+49+15+8+78+758+159+98+50+133+284+60+69+19+1+39+300+44+135+116+181+43+21+14+13+13+41+27+101+224+361+171+1+135</f>
        <v>12320</v>
      </c>
      <c r="C45" s="9">
        <f>August!C45+B45</f>
        <v>219866</v>
      </c>
      <c r="D45" s="15">
        <f>1+41+2+21+29+23+41+3+6+25+2+2+1+13+1+1+14+2+1+1</f>
        <v>230</v>
      </c>
      <c r="E45" s="9">
        <f>August!E45+D45</f>
        <v>8420</v>
      </c>
      <c r="F45" s="17">
        <f>12</f>
        <v>12</v>
      </c>
      <c r="G45" s="9">
        <f>August!G45+F45</f>
        <v>616</v>
      </c>
      <c r="H45" s="19"/>
      <c r="I45" s="9">
        <f>August!I45+H45</f>
        <v>1</v>
      </c>
      <c r="J45" s="24"/>
      <c r="K45" s="9">
        <f>August!K45+J45</f>
        <v>0</v>
      </c>
    </row>
    <row r="46" spans="1:11" s="5" customFormat="1" ht="18" customHeight="1">
      <c r="A46" s="9" t="s">
        <v>48</v>
      </c>
      <c r="B46" s="13">
        <f>50+80+176+63+69+93+72+65+90+81+80+82+60+60+127+73+70+80+97+86+89+80+66+109+115+126+62+87+59+86+147+136+64+73+72+72+114+124+82+108+47+60</f>
        <v>3632</v>
      </c>
      <c r="C46" s="9">
        <f>August!C46+B46</f>
        <v>22106</v>
      </c>
      <c r="D46" s="15">
        <f>3+10+11+11+11+22+11+11+11+11+2</f>
        <v>114</v>
      </c>
      <c r="E46" s="9">
        <f>August!E46+D46</f>
        <v>337</v>
      </c>
      <c r="F46" s="17">
        <f>3</f>
        <v>3</v>
      </c>
      <c r="G46" s="9">
        <f>August!G46+F46</f>
        <v>1526</v>
      </c>
      <c r="H46" s="19"/>
      <c r="I46" s="9">
        <f>August!I46+H46</f>
        <v>0</v>
      </c>
      <c r="J46" s="24"/>
      <c r="K46" s="9">
        <f>August!K46+J46</f>
        <v>0</v>
      </c>
    </row>
    <row r="47" spans="1:11" s="5" customFormat="1" ht="18" customHeight="1">
      <c r="A47" s="9" t="s">
        <v>49</v>
      </c>
      <c r="B47" s="13">
        <f>130+90+392</f>
        <v>612</v>
      </c>
      <c r="C47" s="9">
        <f>August!C47+B47</f>
        <v>6068</v>
      </c>
      <c r="D47" s="15">
        <f>12+6+26+3+14+3+3</f>
        <v>67</v>
      </c>
      <c r="E47" s="9">
        <f>August!E47+D47</f>
        <v>410</v>
      </c>
      <c r="F47" s="17">
        <f>200+100</f>
        <v>300</v>
      </c>
      <c r="G47" s="9">
        <f>August!G47+F47</f>
        <v>5972</v>
      </c>
      <c r="H47" s="19"/>
      <c r="I47" s="9">
        <f>August!I47+H47</f>
        <v>0</v>
      </c>
      <c r="J47" s="24"/>
      <c r="K47" s="9">
        <f>August!K47+J47</f>
        <v>0</v>
      </c>
    </row>
    <row r="48" spans="1:11" s="5" customFormat="1" ht="18" customHeight="1">
      <c r="A48" s="9" t="s">
        <v>50</v>
      </c>
      <c r="B48" s="13"/>
      <c r="C48" s="9">
        <f>August!C48+B48</f>
        <v>232</v>
      </c>
      <c r="D48" s="15"/>
      <c r="E48" s="9">
        <f>August!E48+D48</f>
        <v>13</v>
      </c>
      <c r="F48" s="17">
        <f>1+67</f>
        <v>68</v>
      </c>
      <c r="G48" s="9">
        <f>August!G48+F48</f>
        <v>419</v>
      </c>
      <c r="H48" s="19"/>
      <c r="I48" s="9">
        <f>August!I48+H48</f>
        <v>0</v>
      </c>
      <c r="J48" s="24"/>
      <c r="K48" s="9">
        <f>August!K48+J48</f>
        <v>0</v>
      </c>
    </row>
    <row r="49" spans="1:11" s="5" customFormat="1" ht="18" customHeight="1">
      <c r="A49" s="9" t="s">
        <v>51</v>
      </c>
      <c r="B49" s="13"/>
      <c r="C49" s="9">
        <f>August!C49+B49</f>
        <v>0</v>
      </c>
      <c r="D49" s="15">
        <f>1</f>
        <v>1</v>
      </c>
      <c r="E49" s="9">
        <f>August!E49+D49</f>
        <v>1</v>
      </c>
      <c r="F49" s="17"/>
      <c r="G49" s="9">
        <f>August!G49+F49</f>
        <v>391</v>
      </c>
      <c r="H49" s="19"/>
      <c r="I49" s="9">
        <f>August!I49+H49</f>
        <v>0</v>
      </c>
      <c r="J49" s="24"/>
      <c r="K49" s="9">
        <f>August!K49+J49</f>
        <v>0</v>
      </c>
    </row>
    <row r="50" spans="1:11" s="5" customFormat="1" ht="18" customHeight="1">
      <c r="A50" s="9" t="s">
        <v>52</v>
      </c>
      <c r="B50" s="13">
        <f>56+112+60+86+342+248+280+163+170+201+51+123+155+75+84+50+63+62+100+129+68+108+64+58+65+140+56+65+65+275+57+66+66+305+406+120+120+336+68+84</f>
        <v>5202</v>
      </c>
      <c r="C50" s="9">
        <f>August!C50+B50</f>
        <v>23636</v>
      </c>
      <c r="D50" s="15"/>
      <c r="E50" s="9">
        <f>August!E50+D50</f>
        <v>230</v>
      </c>
      <c r="F50" s="17">
        <f>55</f>
        <v>55</v>
      </c>
      <c r="G50" s="9">
        <f>August!G50+F50</f>
        <v>170</v>
      </c>
      <c r="H50" s="19"/>
      <c r="I50" s="9">
        <f>August!I50+H50</f>
        <v>0</v>
      </c>
      <c r="J50" s="24"/>
      <c r="K50" s="9">
        <f>August!K50+J50</f>
        <v>0</v>
      </c>
    </row>
    <row r="51" spans="1:11" s="5" customFormat="1" ht="18" customHeight="1">
      <c r="A51" s="9" t="s">
        <v>53</v>
      </c>
      <c r="B51" s="13"/>
      <c r="C51" s="9">
        <f>August!C51+B51</f>
        <v>197</v>
      </c>
      <c r="D51" s="15">
        <f>1</f>
        <v>1</v>
      </c>
      <c r="E51" s="9">
        <f>August!E51+D51</f>
        <v>9</v>
      </c>
      <c r="F51" s="17"/>
      <c r="G51" s="9">
        <f>August!G51+F51</f>
        <v>0</v>
      </c>
      <c r="H51" s="19"/>
      <c r="I51" s="9">
        <f>August!I51+H51</f>
        <v>0</v>
      </c>
      <c r="J51" s="24"/>
      <c r="K51" s="9">
        <f>August!K51+J51</f>
        <v>0</v>
      </c>
    </row>
    <row r="52" spans="1:11" s="5" customFormat="1" ht="18" customHeight="1">
      <c r="A52" s="9" t="s">
        <v>54</v>
      </c>
      <c r="B52" s="13">
        <f>55+55+60+66+67+53+57+63+67+62+50+63+59+27+35+162</f>
        <v>1001</v>
      </c>
      <c r="C52" s="9">
        <f>August!C52+B52</f>
        <v>3916</v>
      </c>
      <c r="D52" s="15"/>
      <c r="E52" s="9">
        <f>August!E52+D52</f>
        <v>1</v>
      </c>
      <c r="F52" s="17"/>
      <c r="G52" s="9">
        <f>August!G52+F52</f>
        <v>0</v>
      </c>
      <c r="H52" s="19"/>
      <c r="I52" s="9">
        <f>August!I52+H52</f>
        <v>0</v>
      </c>
      <c r="J52" s="24"/>
      <c r="K52" s="9">
        <f>August!K52+J52</f>
        <v>0</v>
      </c>
    </row>
    <row r="53" spans="1:11" s="5" customFormat="1" ht="18" customHeight="1">
      <c r="A53" s="9" t="s">
        <v>55</v>
      </c>
      <c r="B53" s="13">
        <f>5+24+45+34+10+130+49+11+34+31+20+22+18+7+12+8+3+24+35+7+15+96+283+486</f>
        <v>1409</v>
      </c>
      <c r="C53" s="9">
        <f>August!C53+B53</f>
        <v>16371</v>
      </c>
      <c r="D53" s="15">
        <f>8+2+2+1+18+16+14+40+16+4+167+2+30+45</f>
        <v>365</v>
      </c>
      <c r="E53" s="9">
        <f>August!E53+D53</f>
        <v>2913</v>
      </c>
      <c r="F53" s="17">
        <f>38+38+1+1+1+1+13+49+5+3+1+117+2+16+13+11+22+10+40+120+1+38+18+42+3+4+13+55+55+2+230+300+1+48+18+18+23+80+27+20+80+80+254+150+150+110+109+9+14+38+23+4+27+50+6+19+16+30+20+11+40+19+30+5+88+125+50+40+18+5+20+10+8+29+103+25+80+24+47+25+2+1+43+13+125+98+96+10+150+50+9+1+73+40+20+150+100+69+42+21+32+121</f>
        <v>4755</v>
      </c>
      <c r="G53" s="9">
        <f>August!G53+F53</f>
        <v>32159</v>
      </c>
      <c r="H53" s="19"/>
      <c r="I53" s="9">
        <f>August!I53+H53</f>
        <v>0</v>
      </c>
      <c r="J53" s="24"/>
      <c r="K53" s="9">
        <f>August!K53+J53</f>
        <v>0</v>
      </c>
    </row>
    <row r="54" spans="1:11" s="5" customFormat="1" ht="18" customHeight="1" thickBot="1">
      <c r="A54" s="10" t="s">
        <v>56</v>
      </c>
      <c r="B54" s="13">
        <f>468+715+200+143+93+121+56+34+146+320+250+180+300+60+300+320</f>
        <v>3706</v>
      </c>
      <c r="C54" s="9">
        <f>August!C54+B54</f>
        <v>7647</v>
      </c>
      <c r="D54" s="16">
        <f>94+44</f>
        <v>138</v>
      </c>
      <c r="E54" s="9">
        <f>August!E54+D54</f>
        <v>1498</v>
      </c>
      <c r="F54" s="17"/>
      <c r="G54" s="9">
        <f>August!G54+F54</f>
        <v>161</v>
      </c>
      <c r="H54" s="19"/>
      <c r="I54" s="9">
        <f>August!I54+H54</f>
        <v>0</v>
      </c>
      <c r="J54" s="25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103871</v>
      </c>
      <c r="C55" s="11"/>
      <c r="D55" s="11">
        <f>SUM(D5:D54)</f>
        <v>2962</v>
      </c>
      <c r="E55" s="11"/>
      <c r="F55" s="11">
        <f>SUM(F5:F54)</f>
        <v>13913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798530</v>
      </c>
      <c r="D57" s="11"/>
      <c r="E57" s="11">
        <f>August!E57+D55</f>
        <v>44348</v>
      </c>
      <c r="F57" s="11"/>
      <c r="G57" s="11">
        <f>August!G57+F55</f>
        <v>112967</v>
      </c>
      <c r="H57" s="11"/>
      <c r="I57" s="11">
        <f>August!I57+H55</f>
        <v>183</v>
      </c>
      <c r="J57" s="11"/>
      <c r="K57" s="11">
        <f>August!K57+J55</f>
        <v>74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3040</v>
      </c>
      <c r="G62" s="4">
        <f>August!G62+F60</f>
        <v>12447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Crawford, Karla</cp:lastModifiedBy>
  <cp:lastPrinted>2011-01-10T22:07:14Z</cp:lastPrinted>
  <dcterms:created xsi:type="dcterms:W3CDTF">2010-10-14T14:44:24Z</dcterms:created>
  <dcterms:modified xsi:type="dcterms:W3CDTF">2015-01-26T20:30:41Z</dcterms:modified>
  <cp:category/>
  <cp:version/>
  <cp:contentType/>
  <cp:contentStatus/>
</cp:coreProperties>
</file>