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41" windowWidth="13042" windowHeight="12824" tabRatio="914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D53" i="11" l="1"/>
  <c r="B53" i="11"/>
  <c r="D45" i="11"/>
  <c r="B45" i="11"/>
  <c r="C66" i="11"/>
  <c r="B40" i="11"/>
  <c r="D39" i="11"/>
  <c r="B39" i="11"/>
  <c r="B31" i="11"/>
  <c r="D38" i="11"/>
  <c r="B38" i="11"/>
  <c r="B30" i="11"/>
  <c r="B29" i="11"/>
  <c r="C62" i="11"/>
  <c r="D27" i="11"/>
  <c r="B27" i="11"/>
  <c r="D21" i="11"/>
  <c r="D20" i="11"/>
  <c r="B20" i="11"/>
  <c r="B19" i="11"/>
  <c r="C19" i="11" s="1"/>
  <c r="D18" i="11"/>
  <c r="B18" i="11"/>
  <c r="B16" i="11"/>
  <c r="B12" i="11"/>
  <c r="D40" i="12" l="1"/>
  <c r="B40" i="12"/>
  <c r="B45" i="12"/>
  <c r="C66" i="12"/>
  <c r="B29" i="12"/>
  <c r="B31" i="12"/>
  <c r="D31" i="12"/>
  <c r="C64" i="12"/>
  <c r="B37" i="12" l="1"/>
  <c r="B27" i="12" l="1"/>
  <c r="D27" i="12"/>
  <c r="C62" i="12"/>
  <c r="B20" i="12" l="1"/>
  <c r="B48" i="10" l="1"/>
  <c r="B40" i="10"/>
  <c r="C66" i="10"/>
  <c r="B45" i="10"/>
  <c r="D38" i="10"/>
  <c r="B31" i="10"/>
  <c r="B29" i="10"/>
  <c r="D27" i="10"/>
  <c r="B27" i="10"/>
  <c r="C62" i="10"/>
  <c r="B21" i="10"/>
  <c r="B19" i="10"/>
  <c r="C59" i="10"/>
  <c r="D18" i="10"/>
  <c r="B18" i="10"/>
  <c r="B12" i="10"/>
  <c r="D47" i="11" l="1"/>
  <c r="B21" i="11"/>
  <c r="B10" i="11"/>
  <c r="B9" i="11"/>
  <c r="B8" i="11"/>
  <c r="D50" i="11"/>
  <c r="D31" i="11"/>
  <c r="C63" i="11"/>
  <c r="C66" i="9" l="1"/>
  <c r="C62" i="9"/>
  <c r="D53" i="9"/>
  <c r="D45" i="9"/>
  <c r="B53" i="9"/>
  <c r="B45" i="9"/>
  <c r="B40" i="9"/>
  <c r="B31" i="9"/>
  <c r="B29" i="9"/>
  <c r="D27" i="9"/>
  <c r="B27" i="9"/>
  <c r="B21" i="9"/>
  <c r="B20" i="9"/>
  <c r="D18" i="9"/>
  <c r="B18" i="9"/>
  <c r="B12" i="9"/>
  <c r="C64" i="11" l="1"/>
  <c r="B53" i="10" l="1"/>
  <c r="B38" i="10" l="1"/>
  <c r="D21" i="10"/>
  <c r="B16" i="10"/>
  <c r="B9" i="10"/>
  <c r="B7" i="10"/>
  <c r="D31" i="10" l="1"/>
  <c r="C64" i="10"/>
  <c r="C63" i="10" l="1"/>
  <c r="D47" i="9" l="1"/>
  <c r="B38" i="9"/>
  <c r="D38" i="9"/>
  <c r="B9" i="9"/>
  <c r="B7" i="9"/>
  <c r="D31" i="9" l="1"/>
  <c r="D39" i="9"/>
  <c r="C63" i="9" l="1"/>
  <c r="C64" i="9" l="1"/>
  <c r="B54" i="8" l="1"/>
  <c r="B53" i="8"/>
  <c r="B45" i="8"/>
  <c r="B40" i="8"/>
  <c r="B38" i="8"/>
  <c r="B31" i="8"/>
  <c r="D29" i="8"/>
  <c r="B29" i="8"/>
  <c r="D27" i="8"/>
  <c r="B27" i="8"/>
  <c r="D21" i="8"/>
  <c r="D20" i="8"/>
  <c r="B20" i="8"/>
  <c r="B19" i="8"/>
  <c r="D18" i="8"/>
  <c r="B18" i="8"/>
  <c r="B12" i="8"/>
  <c r="C66" i="8"/>
  <c r="C62" i="8"/>
  <c r="D63" i="9" l="1"/>
  <c r="D19" i="9" l="1"/>
  <c r="C63" i="8" l="1"/>
  <c r="C64" i="8"/>
  <c r="D31" i="8"/>
  <c r="B9" i="8" l="1"/>
  <c r="B54" i="7" l="1"/>
  <c r="D45" i="7"/>
  <c r="B45" i="7"/>
  <c r="D40" i="7"/>
  <c r="B40" i="7"/>
  <c r="B37" i="7"/>
  <c r="B31" i="7"/>
  <c r="B30" i="7"/>
  <c r="B29" i="7"/>
  <c r="D27" i="7"/>
  <c r="B27" i="7"/>
  <c r="D20" i="7"/>
  <c r="B20" i="7"/>
  <c r="D19" i="7"/>
  <c r="D18" i="7"/>
  <c r="B18" i="7"/>
  <c r="B12" i="7"/>
  <c r="B7" i="7"/>
  <c r="B54" i="6"/>
  <c r="D53" i="6"/>
  <c r="B53" i="6"/>
  <c r="D45" i="6"/>
  <c r="B45" i="6"/>
  <c r="D40" i="6"/>
  <c r="B40" i="6"/>
  <c r="D39" i="6"/>
  <c r="B38" i="6"/>
  <c r="D31" i="6"/>
  <c r="B31" i="6"/>
  <c r="B29" i="6"/>
  <c r="D29" i="6"/>
  <c r="D27" i="6"/>
  <c r="B27" i="6"/>
  <c r="D26" i="6"/>
  <c r="D21" i="6"/>
  <c r="D20" i="6"/>
  <c r="B20" i="6"/>
  <c r="B19" i="6"/>
  <c r="D18" i="6"/>
  <c r="B18" i="6"/>
  <c r="B12" i="6"/>
  <c r="C66" i="7"/>
  <c r="C62" i="7"/>
  <c r="C67" i="6"/>
  <c r="C66" i="6"/>
  <c r="C62" i="6"/>
  <c r="D53" i="8" l="1"/>
  <c r="D47" i="8"/>
  <c r="D39" i="8"/>
  <c r="D19" i="8"/>
  <c r="F27" i="8" l="1"/>
  <c r="D54" i="7" l="1"/>
  <c r="B53" i="7"/>
  <c r="D53" i="7"/>
  <c r="D47" i="7"/>
  <c r="D42" i="7"/>
  <c r="D38" i="7"/>
  <c r="B38" i="7"/>
  <c r="B26" i="7"/>
  <c r="D21" i="7"/>
  <c r="D17" i="7"/>
  <c r="D10" i="7"/>
  <c r="B9" i="7"/>
  <c r="D9" i="7"/>
  <c r="B8" i="7"/>
  <c r="C63" i="7" l="1"/>
  <c r="F29" i="7"/>
  <c r="D31" i="7"/>
  <c r="C64" i="7" l="1"/>
  <c r="D29" i="7" l="1"/>
  <c r="D47" i="6" l="1"/>
  <c r="D42" i="6"/>
  <c r="D38" i="6"/>
  <c r="D36" i="6"/>
  <c r="D35" i="6"/>
  <c r="D32" i="6"/>
  <c r="B16" i="6"/>
  <c r="D14" i="6"/>
  <c r="D10" i="6"/>
  <c r="B9" i="6"/>
  <c r="D9" i="6"/>
  <c r="D8" i="6"/>
  <c r="C64" i="6" l="1"/>
  <c r="C63" i="6"/>
  <c r="D22" i="6"/>
  <c r="D12" i="6"/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<sst xmlns="http://schemas.openxmlformats.org/spreadsheetml/2006/main" count="900" uniqueCount="82">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</sst>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53" customWidth="1"/>
    <col min="2" max="2" width="13.69921875" style="49" customWidth="1"/>
    <col min="3" max="4" width="13.796875" style="49" customWidth="1"/>
    <col min="5" max="6" width="12.69921875" style="49" customWidth="1"/>
    <col min="7" max="7" width="12.796875" style="49" customWidth="1"/>
    <col min="8" max="16384" width="11.796875" style="49"/>
  </cols>
  <sheetData>
    <row r="1" spans="1:256" ht="0.7" customHeight="1" x14ac:dyDescent="0.25">
      <c r="I1" s="63"/>
    </row>
    <row r="2" spans="1:256" ht="23.8" x14ac:dyDescent="0.4">
      <c r="A2" s="3" t="s">
        <v>80</v>
      </c>
      <c r="B2" s="64"/>
      <c r="D2" s="64"/>
      <c r="F2" s="65" t="s">
        <v>66</v>
      </c>
      <c r="I2" s="63"/>
    </row>
    <row r="3" spans="1:256" ht="23.8" x14ac:dyDescent="0.4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5" customHeight="1" thickBot="1" x14ac:dyDescent="0.35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3" thickBot="1" x14ac:dyDescent="0.3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5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5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5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5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5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5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5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5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5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5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5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5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5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5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5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5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5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5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5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5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5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5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5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5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5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5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5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5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5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5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5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5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5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5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5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5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5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5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5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5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5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5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5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5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5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5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5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6.3" thickBot="1" x14ac:dyDescent="0.3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5" customHeight="1" thickBot="1" x14ac:dyDescent="0.3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.350000000000001" x14ac:dyDescent="0.3">
      <c r="A56" s="47"/>
      <c r="B56" s="48"/>
      <c r="C56" s="48"/>
      <c r="D56" s="48"/>
      <c r="E56" s="48"/>
    </row>
    <row r="57" spans="1:256" ht="16.3" thickBot="1" x14ac:dyDescent="0.3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5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5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5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5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5">
      <c r="A65" s="53" t="s">
        <v>60</v>
      </c>
      <c r="C65" s="26"/>
      <c r="D65" s="55">
        <f t="shared" si="4"/>
        <v>0</v>
      </c>
    </row>
    <row r="66" spans="1:4" x14ac:dyDescent="0.25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5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31" activePane="bottomLeft" state="frozen"/>
      <selection pane="bottomLeft" activeCell="B55" sqref="B55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.0976562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74</v>
      </c>
      <c r="I2" s="2"/>
    </row>
    <row r="3" spans="1:256" ht="12.9" customHeight="1" x14ac:dyDescent="0.25">
      <c r="F3" t="s">
        <v>81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>
        <f>3429</f>
        <v>3429</v>
      </c>
      <c r="C7" s="12">
        <f>September!C7+B7</f>
        <v>24215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5">
      <c r="A8" s="11" t="s">
        <v>64</v>
      </c>
      <c r="B8" s="82"/>
      <c r="C8" s="12">
        <f>September!C8+B8</f>
        <v>10213</v>
      </c>
      <c r="D8" s="84"/>
      <c r="E8" s="12">
        <f>September!E8+D8</f>
        <v>22</v>
      </c>
      <c r="F8" s="61"/>
      <c r="G8" s="12">
        <f>September!G8+F8</f>
        <v>0</v>
      </c>
    </row>
    <row r="9" spans="1:256" x14ac:dyDescent="0.25">
      <c r="A9" s="11" t="s">
        <v>7</v>
      </c>
      <c r="B9" s="82">
        <f>27621</f>
        <v>27621</v>
      </c>
      <c r="C9" s="12">
        <f>September!C9+B9</f>
        <v>212843</v>
      </c>
      <c r="D9" s="84"/>
      <c r="E9" s="12">
        <f>September!E9+D9</f>
        <v>42</v>
      </c>
      <c r="F9" s="61"/>
      <c r="G9" s="12">
        <f>September!G9+F9</f>
        <v>0</v>
      </c>
    </row>
    <row r="10" spans="1:256" x14ac:dyDescent="0.25">
      <c r="A10" s="11" t="s">
        <v>8</v>
      </c>
      <c r="B10" s="82"/>
      <c r="C10" s="12">
        <f>September!C10+B10</f>
        <v>0</v>
      </c>
      <c r="D10" s="84"/>
      <c r="E10" s="12">
        <f>September!E10+D10</f>
        <v>89</v>
      </c>
      <c r="F10" s="61"/>
      <c r="G10" s="12">
        <f>September!G10+F10</f>
        <v>0</v>
      </c>
    </row>
    <row r="11" spans="1:256" x14ac:dyDescent="0.25">
      <c r="A11" s="99" t="s">
        <v>52</v>
      </c>
      <c r="B11" s="82">
        <v>215868</v>
      </c>
      <c r="C11" s="12">
        <f>September!C11+B11</f>
        <v>2162239</v>
      </c>
      <c r="D11" s="84">
        <v>2157</v>
      </c>
      <c r="E11" s="12">
        <f>September!E11+D11</f>
        <v>10685</v>
      </c>
      <c r="F11" s="61">
        <v>8402</v>
      </c>
      <c r="G11" s="12">
        <f>September!G11+F11</f>
        <v>96383</v>
      </c>
    </row>
    <row r="12" spans="1:256" x14ac:dyDescent="0.25">
      <c r="A12" s="11" t="s">
        <v>9</v>
      </c>
      <c r="B12" s="82">
        <f>1100+1100+1100+2150+2175+2225+2075+2025+2075+2100+2125+2166+2166+2166+1950+2166+2201+1900+2201+2201+1900+2167+1850+77445</f>
        <v>122729</v>
      </c>
      <c r="C12" s="12">
        <f>September!C12+B12</f>
        <v>1188466</v>
      </c>
      <c r="D12" s="84"/>
      <c r="E12" s="12">
        <f>September!E12+D12</f>
        <v>2542</v>
      </c>
      <c r="F12" s="61"/>
      <c r="G12" s="12">
        <f>September!G12+F12</f>
        <v>0</v>
      </c>
    </row>
    <row r="13" spans="1:256" x14ac:dyDescent="0.25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5">
      <c r="A14" s="11" t="s">
        <v>11</v>
      </c>
      <c r="B14" s="82"/>
      <c r="C14" s="12">
        <f>September!C14+B14</f>
        <v>0</v>
      </c>
      <c r="D14" s="84"/>
      <c r="E14" s="12">
        <f>September!E14+D14</f>
        <v>4</v>
      </c>
      <c r="F14" s="61"/>
      <c r="G14" s="12">
        <f>September!G14+F14</f>
        <v>0</v>
      </c>
    </row>
    <row r="15" spans="1:256" x14ac:dyDescent="0.25">
      <c r="A15" s="11" t="s">
        <v>12</v>
      </c>
      <c r="B15" s="82"/>
      <c r="C15" s="12">
        <f>September!C15+B15</f>
        <v>0</v>
      </c>
      <c r="D15" s="84"/>
      <c r="E15" s="12">
        <f>September!E15+D15</f>
        <v>2</v>
      </c>
      <c r="F15" s="61"/>
      <c r="G15" s="12">
        <f>September!G15+F15</f>
        <v>0</v>
      </c>
    </row>
    <row r="16" spans="1:256" x14ac:dyDescent="0.25">
      <c r="A16" s="11" t="s">
        <v>13</v>
      </c>
      <c r="B16" s="82">
        <f>2000</f>
        <v>2000</v>
      </c>
      <c r="C16" s="12">
        <f>September!C16+B16</f>
        <v>18600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5">
      <c r="A17" s="11" t="s">
        <v>14</v>
      </c>
      <c r="B17" s="82"/>
      <c r="C17" s="12">
        <f>September!C17+B17</f>
        <v>1</v>
      </c>
      <c r="D17" s="84"/>
      <c r="E17" s="12">
        <f>September!E17+D17</f>
        <v>1</v>
      </c>
      <c r="F17" s="61"/>
      <c r="G17" s="12">
        <f>September!G17+F17</f>
        <v>0</v>
      </c>
    </row>
    <row r="18" spans="1:7" x14ac:dyDescent="0.25">
      <c r="A18" s="11" t="s">
        <v>15</v>
      </c>
      <c r="B18" s="82">
        <f>104121+459414</f>
        <v>563535</v>
      </c>
      <c r="C18" s="12">
        <f>September!C18+B18</f>
        <v>4534169</v>
      </c>
      <c r="D18" s="84">
        <f>1023+1019</f>
        <v>2042</v>
      </c>
      <c r="E18" s="12">
        <f>September!E18+D18</f>
        <v>25332</v>
      </c>
      <c r="F18" s="61"/>
      <c r="G18" s="12">
        <f>September!G18+F18</f>
        <v>0</v>
      </c>
    </row>
    <row r="19" spans="1:7" x14ac:dyDescent="0.25">
      <c r="A19" s="11" t="s">
        <v>16</v>
      </c>
      <c r="B19" s="82">
        <f>1200+27708</f>
        <v>28908</v>
      </c>
      <c r="C19" s="12">
        <f>September!C19+B19</f>
        <v>272980</v>
      </c>
      <c r="D19" s="84"/>
      <c r="E19" s="12">
        <f>September!E19+D19</f>
        <v>1922</v>
      </c>
      <c r="F19" s="61"/>
      <c r="G19" s="12">
        <f>September!G19+F19</f>
        <v>0</v>
      </c>
    </row>
    <row r="20" spans="1:7" x14ac:dyDescent="0.25">
      <c r="A20" s="11" t="s">
        <v>17</v>
      </c>
      <c r="B20" s="82">
        <v>18526</v>
      </c>
      <c r="C20" s="12">
        <f>September!C20+B20</f>
        <v>182948</v>
      </c>
      <c r="D20" s="84">
        <v>606</v>
      </c>
      <c r="E20" s="12">
        <f>September!E20+D20</f>
        <v>4460</v>
      </c>
      <c r="F20" s="61"/>
      <c r="G20" s="12">
        <f>September!G20+F20</f>
        <v>0</v>
      </c>
    </row>
    <row r="21" spans="1:7" x14ac:dyDescent="0.25">
      <c r="A21" s="11" t="s">
        <v>18</v>
      </c>
      <c r="B21" s="82">
        <f>1863+1188</f>
        <v>3051</v>
      </c>
      <c r="C21" s="12">
        <f>September!C21+B21</f>
        <v>7641</v>
      </c>
      <c r="D21" s="84">
        <f>170+170+170+280</f>
        <v>790</v>
      </c>
      <c r="E21" s="12">
        <f>September!E21+D21</f>
        <v>4305</v>
      </c>
      <c r="F21" s="61"/>
      <c r="G21" s="12">
        <f>September!G21+F21</f>
        <v>0</v>
      </c>
    </row>
    <row r="22" spans="1:7" x14ac:dyDescent="0.25">
      <c r="A22" s="11" t="s">
        <v>19</v>
      </c>
      <c r="B22" s="82"/>
      <c r="C22" s="12">
        <f>September!C22+B22</f>
        <v>0</v>
      </c>
      <c r="D22" s="84"/>
      <c r="E22" s="12">
        <f>September!E22+D22</f>
        <v>54</v>
      </c>
      <c r="F22" s="61"/>
      <c r="G22" s="12">
        <f>September!G22+F22</f>
        <v>0</v>
      </c>
    </row>
    <row r="23" spans="1:7" x14ac:dyDescent="0.25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5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5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5">
      <c r="A26" s="11" t="s">
        <v>23</v>
      </c>
      <c r="B26" s="82">
        <v>1000</v>
      </c>
      <c r="C26" s="12">
        <f>September!C26+B26</f>
        <v>16389</v>
      </c>
      <c r="D26" s="84">
        <v>2450</v>
      </c>
      <c r="E26" s="12">
        <f>September!E26+D26</f>
        <v>15999</v>
      </c>
      <c r="F26" s="61"/>
      <c r="G26" s="12">
        <f>September!G26+F26</f>
        <v>0</v>
      </c>
    </row>
    <row r="27" spans="1:7" x14ac:dyDescent="0.25">
      <c r="A27" s="11" t="s">
        <v>24</v>
      </c>
      <c r="B27" s="82">
        <f>44+1200+12+9+500+106+230+650+650+630+650+630+400+340+200+67+450+600+410+800+800+200+600+630+450+800+3000+2060+2450+2060+500+74+2520+2520+2400+1300+286+600+665+558+800+800+250+1390+460+640+120+650+650+650+630+650+630+630+650+550+550+500+456+650+650+2940+980+2054+2054+650+650+30+410+650+650+520+600+600+600+540+403+180+800+200+590+8+590+225+2700+2450+750+2400+1300+2600+1300+2300+31+540+570+1540+640+403+630+630+330+300+620+670+500+650+220+650+650+488+420+403+650+650+520+1680+720+2054+2054+183+183+900+800+2940+2000+2000+460+1300+300+300+390+800+850+1200+1200+650+350+300+123+2400+615+720+2250+2400+655+106+1350+4000+17+535+600+540+2+1300+850+504+403+440+465+640+650+220+570+520+630+420+540+1300+1200+2250+715+600+600+550+110+212+245+1180+1010+800+200+280+403+105978</f>
        <v>257148</v>
      </c>
      <c r="C27" s="12">
        <f>September!C27+B27</f>
        <v>2181398</v>
      </c>
      <c r="D27" s="84">
        <f>1+330+165+165+130+262+421+131+210+40+217+106+326+108+212+217+326+108+120+212+15+5319</f>
        <v>9141</v>
      </c>
      <c r="E27" s="12">
        <f>September!E27+D27</f>
        <v>33148</v>
      </c>
      <c r="F27" s="61"/>
      <c r="G27" s="12">
        <f>September!G27+F27</f>
        <v>2056</v>
      </c>
    </row>
    <row r="28" spans="1:7" x14ac:dyDescent="0.25">
      <c r="A28" s="11" t="s">
        <v>25</v>
      </c>
      <c r="B28" s="82">
        <v>80200</v>
      </c>
      <c r="C28" s="12">
        <f>September!C28+B28</f>
        <v>661070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5">
      <c r="A29" s="11" t="s">
        <v>26</v>
      </c>
      <c r="B29" s="82">
        <f>800+768+3072+675+473+877+601+1204+664+1336+1260+1050+975+960+960+1925+1290+800+467+467+467+468+468+468+468+467+468+467+555+1000+1955+960+1000+1955+650+975+960+1000+1300+960+609+730+609+670+1242+1424+711+1260+2600+2400+1425+540+1300+1180+500+653+652+652+652+653+653+200+1230+4810+2400+2720+975+1955+825+573+800+800+1300+4864+1300+1467+733+1300+225+1625+960+1955+635+1320+960+1955+640+905+867+333+1255+640+497+2785+582+783+582+1536+2304+358+942+627+100+535+534+600+1000+1000+1250+1250+1250+1250+201+2450+1120+705+706+760+760+415+630+215+1220+720+2480+720+762+960+550+2030+2651+192+596+609+609+596+595+595+2551+290+800+800+2450+1300+1280+950+2000+660+660+550+550+245306</f>
        <v>405036</v>
      </c>
      <c r="C29" s="12">
        <f>September!C29+B29</f>
        <v>3533479</v>
      </c>
      <c r="D29" s="84">
        <v>4154</v>
      </c>
      <c r="E29" s="12">
        <f>September!E29+D29</f>
        <v>6982</v>
      </c>
      <c r="F29" s="61"/>
      <c r="G29" s="12">
        <f>September!G29+F29</f>
        <v>90</v>
      </c>
    </row>
    <row r="30" spans="1:7" x14ac:dyDescent="0.25">
      <c r="A30" s="11" t="s">
        <v>27</v>
      </c>
      <c r="B30" s="82">
        <v>4900</v>
      </c>
      <c r="C30" s="12">
        <f>September!C30+B30</f>
        <v>70474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5">
      <c r="A31" s="11" t="s">
        <v>28</v>
      </c>
      <c r="B31" s="82">
        <f>800+600+1525+2525+450+450+570+250+1025+780+780+780+1075+800+590+300+650+1300+130+650+202+180+1528+1528+780+780+3525+400+600+600+600+500+500+500+490+165+525+825+650+700+1000+700+725+650+550+475+775+2225+650+580+400+350+500+500+1250+1100+600+600+750+300+600+1200+450+550+650+220+3025+1025+2525+3625+490+337+165+400+700+700+750+600+190+800+800+700+1225+800+650+600+1320+342+700+700+750+1300+162980</f>
        <v>238157</v>
      </c>
      <c r="C31" s="12">
        <f>September!C31+B31</f>
        <v>1865549</v>
      </c>
      <c r="D31" s="84">
        <f>3+15+22+180+45+13+15+3+9+9+10+2+22+40+360+165+212</f>
        <v>1125</v>
      </c>
      <c r="E31" s="12">
        <f>September!E31+D31</f>
        <v>55004</v>
      </c>
      <c r="F31" s="61"/>
      <c r="G31" s="12">
        <f>September!G31+F31</f>
        <v>0</v>
      </c>
    </row>
    <row r="32" spans="1:7" x14ac:dyDescent="0.25">
      <c r="A32" s="11" t="s">
        <v>29</v>
      </c>
      <c r="B32" s="82"/>
      <c r="C32" s="12">
        <f>September!C32+B32</f>
        <v>0</v>
      </c>
      <c r="D32" s="84"/>
      <c r="E32" s="12">
        <f>September!E32+D32</f>
        <v>1</v>
      </c>
      <c r="F32" s="61"/>
      <c r="G32" s="12">
        <f>September!G32+F32</f>
        <v>0</v>
      </c>
    </row>
    <row r="33" spans="1:7" x14ac:dyDescent="0.25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5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5">
      <c r="A35" s="11" t="s">
        <v>32</v>
      </c>
      <c r="B35" s="82"/>
      <c r="C35" s="12">
        <f>September!C35+B35</f>
        <v>0</v>
      </c>
      <c r="D35" s="84"/>
      <c r="E35" s="12">
        <f>September!E35+D35</f>
        <v>6</v>
      </c>
      <c r="F35" s="61"/>
      <c r="G35" s="12">
        <f>September!G35+F35</f>
        <v>0</v>
      </c>
    </row>
    <row r="36" spans="1:7" x14ac:dyDescent="0.25">
      <c r="A36" s="11" t="s">
        <v>33</v>
      </c>
      <c r="B36" s="82"/>
      <c r="C36" s="12">
        <f>September!C36+B36</f>
        <v>0</v>
      </c>
      <c r="D36" s="84"/>
      <c r="E36" s="12">
        <f>September!E36+D36</f>
        <v>1</v>
      </c>
      <c r="F36" s="61"/>
      <c r="G36" s="12">
        <f>September!G36+F36</f>
        <v>0</v>
      </c>
    </row>
    <row r="37" spans="1:7" x14ac:dyDescent="0.25">
      <c r="A37" s="11" t="s">
        <v>34</v>
      </c>
      <c r="B37" s="82">
        <v>64448</v>
      </c>
      <c r="C37" s="12">
        <f>September!C37+B37</f>
        <v>1102104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5">
      <c r="A38" s="11" t="s">
        <v>35</v>
      </c>
      <c r="B38" s="82">
        <f>26085</f>
        <v>26085</v>
      </c>
      <c r="C38" s="12">
        <f>September!C38+B38</f>
        <v>316238</v>
      </c>
      <c r="D38" s="84">
        <f>80+35</f>
        <v>115</v>
      </c>
      <c r="E38" s="12">
        <f>September!E38+D38</f>
        <v>17079</v>
      </c>
      <c r="F38" s="61"/>
      <c r="G38" s="12">
        <f>September!G38+F38</f>
        <v>0</v>
      </c>
    </row>
    <row r="39" spans="1:7" x14ac:dyDescent="0.25">
      <c r="A39" s="11" t="s">
        <v>36</v>
      </c>
      <c r="B39" s="82">
        <v>15102</v>
      </c>
      <c r="C39" s="12">
        <f>September!C39+B39</f>
        <v>136104</v>
      </c>
      <c r="D39" s="84"/>
      <c r="E39" s="12">
        <f>September!E39+D39</f>
        <v>10319</v>
      </c>
      <c r="F39" s="61"/>
      <c r="G39" s="12">
        <f>September!G39+F39</f>
        <v>0</v>
      </c>
    </row>
    <row r="40" spans="1:7" x14ac:dyDescent="0.25">
      <c r="A40" s="11" t="s">
        <v>37</v>
      </c>
      <c r="B40" s="82">
        <f>2160+2190+1620+2160+2313+2171+2160+2160+2160+2160+2160+1450+2085+1700+2160+2160+2421+1550+2160+2160+2595+152084</f>
        <v>195939</v>
      </c>
      <c r="C40" s="12">
        <f>September!C40+B40</f>
        <v>2175831</v>
      </c>
      <c r="D40" s="84"/>
      <c r="E40" s="12">
        <f>September!E40+D40</f>
        <v>14754</v>
      </c>
      <c r="F40" s="61"/>
      <c r="G40" s="12">
        <f>September!G40+F40</f>
        <v>0</v>
      </c>
    </row>
    <row r="41" spans="1:7" x14ac:dyDescent="0.25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5">
      <c r="A42" s="11" t="s">
        <v>39</v>
      </c>
      <c r="B42" s="82"/>
      <c r="C42" s="12">
        <f>September!C42+B42</f>
        <v>0</v>
      </c>
      <c r="D42" s="84"/>
      <c r="E42" s="12">
        <f>September!E42+D42</f>
        <v>3097</v>
      </c>
      <c r="F42" s="61"/>
      <c r="G42" s="12">
        <f>September!G42+F42</f>
        <v>0</v>
      </c>
    </row>
    <row r="43" spans="1:7" x14ac:dyDescent="0.25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5">
      <c r="A44" s="11" t="s">
        <v>41</v>
      </c>
      <c r="B44" s="82">
        <v>1000</v>
      </c>
      <c r="C44" s="12">
        <f>September!C44+B44</f>
        <v>11800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5">
      <c r="A45" s="11" t="s">
        <v>42</v>
      </c>
      <c r="B45" s="82">
        <f>1350+1350+620+620+620+620+620+4+600+600+600+1300+1350+1350+600+600+620+620+500+45385</f>
        <v>59929</v>
      </c>
      <c r="C45" s="12">
        <f>September!C45+B45</f>
        <v>517135</v>
      </c>
      <c r="D45" s="84">
        <v>3093</v>
      </c>
      <c r="E45" s="12">
        <f>September!E45+D45</f>
        <v>18662</v>
      </c>
      <c r="F45" s="61"/>
      <c r="G45" s="12">
        <f>September!G45+F45</f>
        <v>0</v>
      </c>
    </row>
    <row r="46" spans="1:7" x14ac:dyDescent="0.25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5">
      <c r="A47" s="11" t="s">
        <v>44</v>
      </c>
      <c r="B47" s="82">
        <v>77542</v>
      </c>
      <c r="C47" s="12">
        <f>September!C47+B47</f>
        <v>741701</v>
      </c>
      <c r="D47" s="84"/>
      <c r="E47" s="12">
        <f>September!E47+D47</f>
        <v>236</v>
      </c>
      <c r="F47" s="61"/>
      <c r="G47" s="12">
        <f>September!G47+F47</f>
        <v>0</v>
      </c>
    </row>
    <row r="48" spans="1:7" x14ac:dyDescent="0.25">
      <c r="A48" s="11" t="s">
        <v>45</v>
      </c>
      <c r="B48" s="82">
        <f>2200+35318</f>
        <v>37518</v>
      </c>
      <c r="C48" s="12">
        <f>September!C48+B48</f>
        <v>339334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5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5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5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5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5">
      <c r="A53" s="11" t="s">
        <v>50</v>
      </c>
      <c r="B53" s="82">
        <f>12230+40</f>
        <v>12270</v>
      </c>
      <c r="C53" s="12">
        <f>September!C53+B53</f>
        <v>138573</v>
      </c>
      <c r="D53" s="84"/>
      <c r="E53" s="12">
        <f>September!E53+D53</f>
        <v>271</v>
      </c>
      <c r="F53" s="61"/>
      <c r="G53" s="12">
        <f>September!G53+F53</f>
        <v>0</v>
      </c>
    </row>
    <row r="54" spans="1:256" ht="16.3" thickBot="1" x14ac:dyDescent="0.3">
      <c r="A54" s="11" t="s">
        <v>51</v>
      </c>
      <c r="B54" s="82">
        <v>19315</v>
      </c>
      <c r="C54" s="12">
        <f>September!C54+B54</f>
        <v>238669</v>
      </c>
      <c r="D54" s="84"/>
      <c r="E54" s="12">
        <f>September!E54+D54</f>
        <v>4</v>
      </c>
      <c r="F54" s="61"/>
      <c r="G54" s="12">
        <f>September!G54+F54</f>
        <v>0</v>
      </c>
    </row>
    <row r="55" spans="1:256" ht="26.15" customHeight="1" thickBot="1" x14ac:dyDescent="0.3">
      <c r="A55" s="14" t="s">
        <v>53</v>
      </c>
      <c r="B55" s="15">
        <f>SUM(B7:B54)</f>
        <v>2481256</v>
      </c>
      <c r="C55" s="15">
        <f>September!C55+B55</f>
        <v>22660184</v>
      </c>
      <c r="D55" s="15">
        <f>SUM(D7:D54)</f>
        <v>25673</v>
      </c>
      <c r="E55" s="15">
        <f>September!E55+D55</f>
        <v>225025</v>
      </c>
      <c r="F55" s="15">
        <f>SUM(F7:F54)</f>
        <v>8402</v>
      </c>
      <c r="G55" s="15">
        <f>September!G55+F55</f>
        <v>98529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>
        <v>100</v>
      </c>
      <c r="D58" s="24">
        <f>September!D58+C58</f>
        <v>1700</v>
      </c>
      <c r="E58" s="18"/>
    </row>
    <row r="59" spans="1:256" x14ac:dyDescent="0.25">
      <c r="A59" s="1" t="s">
        <v>56</v>
      </c>
      <c r="B59" s="23"/>
      <c r="C59" s="23">
        <f>3312</f>
        <v>3312</v>
      </c>
      <c r="D59" s="24">
        <f>September!D59+C59</f>
        <v>28637</v>
      </c>
    </row>
    <row r="60" spans="1:256" x14ac:dyDescent="0.25">
      <c r="A60" s="1" t="s">
        <v>57</v>
      </c>
      <c r="B60" s="23"/>
      <c r="C60" s="23"/>
      <c r="D60" s="24">
        <f>September!D60+C60</f>
        <v>2490</v>
      </c>
    </row>
    <row r="61" spans="1:256" x14ac:dyDescent="0.25">
      <c r="A61" s="1" t="s">
        <v>58</v>
      </c>
      <c r="B61" s="23"/>
      <c r="C61" s="23"/>
      <c r="D61" s="24">
        <f>September!D61+C61</f>
        <v>0</v>
      </c>
    </row>
    <row r="62" spans="1:256" x14ac:dyDescent="0.25">
      <c r="A62" s="1" t="s">
        <v>59</v>
      </c>
      <c r="B62" s="23"/>
      <c r="C62" s="23">
        <f>200+115+45+120+135+360+175+630+95+86+8+120+360+15+175+45+115+200+135+620+1280+180+825+355+545+1400+1124+204+2320+30+26+10+8+28+96+200+40+175+8+50+15+10+8+20+96+8+64+530+50+30+200+750+330+705+1600+2300+1124+204+620+1280+135+200+115+45+175+360+120+115+200+135+45+175+360+120+115+200+135+45+360+175+120+115+200+135+45+360+175+120+7290</f>
        <v>34492</v>
      </c>
      <c r="D62" s="24">
        <f>September!D62+C62</f>
        <v>249138</v>
      </c>
    </row>
    <row r="63" spans="1:256" x14ac:dyDescent="0.25">
      <c r="A63" s="1" t="s">
        <v>65</v>
      </c>
      <c r="B63" s="23"/>
      <c r="C63" s="23">
        <f>100+75+275+320+150+45+240+45+106+320+455+75+275+170+75+275+80+52+170+75+275+80+24+283+20+20+52+170+75+275+240+45+80+320+100+318+80+20+240+345+275+75+170+52+275+75+100+320+60+320+20+270+45+106+80+70+603+150+275+75+170+20+45+240+130+400+275+320+75+170+275+75+170+80+52+75+275+150+170+80+106+270+20+320+252+150+320+75+170+275+417+275+75+170+80+106+45+270+20+320+80+150+20+45+75+275+271+170+150+52+45+275+75+170+320+150+60+24+473+275+75+170+52+150+80+20+774+275+75+170+80+106+270+20+320</f>
        <v>22631</v>
      </c>
      <c r="D63" s="24">
        <f>September!D63+C63</f>
        <v>157750</v>
      </c>
    </row>
    <row r="64" spans="1:256" x14ac:dyDescent="0.25">
      <c r="A64" s="1" t="s">
        <v>63</v>
      </c>
      <c r="B64" s="23"/>
      <c r="C64" s="23">
        <f>260+45+140+130+260+55+115+72</f>
        <v>1077</v>
      </c>
      <c r="D64" s="24">
        <f>September!D64+C64</f>
        <v>155536</v>
      </c>
    </row>
    <row r="65" spans="1:4" x14ac:dyDescent="0.25">
      <c r="A65" s="1" t="s">
        <v>60</v>
      </c>
      <c r="C65" s="23"/>
      <c r="D65" s="24">
        <f>September!D65+C65</f>
        <v>0</v>
      </c>
    </row>
    <row r="66" spans="1:4" x14ac:dyDescent="0.25">
      <c r="A66" s="1" t="s">
        <v>61</v>
      </c>
      <c r="C66" s="23">
        <f>91+65+180+185+60+91+75+155+120+180+185+115+89+75+155+125+77+65+4+180+185+75+89+75+155+25+58+65+20+81+65+180+185+89+75+155+150+185+95+89+75+155+120+80+65+200+185+89+75+155+89+65+950</f>
        <v>6671</v>
      </c>
      <c r="D66" s="24">
        <f>September!D66+C66</f>
        <v>60475</v>
      </c>
    </row>
    <row r="67" spans="1:4" x14ac:dyDescent="0.25">
      <c r="A67" s="1" t="s">
        <v>62</v>
      </c>
      <c r="C67" s="23">
        <v>750</v>
      </c>
      <c r="D67" s="24">
        <f>September!D67+C67</f>
        <v>5038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75</v>
      </c>
      <c r="I2" s="2"/>
    </row>
    <row r="3" spans="1:256" ht="12.9" customHeight="1" x14ac:dyDescent="0.25">
      <c r="F3" t="s">
        <v>81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October!C7+B7</f>
        <v>24215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5">
      <c r="A8" s="11" t="s">
        <v>64</v>
      </c>
      <c r="B8" s="82">
        <f>6000</f>
        <v>6000</v>
      </c>
      <c r="C8" s="12">
        <f>October!C8+B8</f>
        <v>16213</v>
      </c>
      <c r="D8" s="84"/>
      <c r="E8" s="12">
        <f>October!E8+D8</f>
        <v>22</v>
      </c>
      <c r="F8" s="12"/>
      <c r="G8" s="12">
        <f>October!G8+F8</f>
        <v>0</v>
      </c>
    </row>
    <row r="9" spans="1:256" x14ac:dyDescent="0.25">
      <c r="A9" s="11" t="s">
        <v>7</v>
      </c>
      <c r="B9" s="82">
        <f>14285</f>
        <v>14285</v>
      </c>
      <c r="C9" s="12">
        <f>October!C9+B9</f>
        <v>227128</v>
      </c>
      <c r="D9" s="84"/>
      <c r="E9" s="12">
        <f>October!E9+D9</f>
        <v>42</v>
      </c>
      <c r="F9" s="12"/>
      <c r="G9" s="12">
        <f>October!G9+F9</f>
        <v>0</v>
      </c>
    </row>
    <row r="10" spans="1:256" x14ac:dyDescent="0.25">
      <c r="A10" s="11" t="s">
        <v>8</v>
      </c>
      <c r="B10" s="82">
        <f>5</f>
        <v>5</v>
      </c>
      <c r="C10" s="12">
        <f>October!C10+B10</f>
        <v>5</v>
      </c>
      <c r="D10" s="84"/>
      <c r="E10" s="12">
        <f>October!E10+D10</f>
        <v>89</v>
      </c>
      <c r="F10" s="12"/>
      <c r="G10" s="12">
        <f>October!G10+F10</f>
        <v>0</v>
      </c>
    </row>
    <row r="11" spans="1:256" x14ac:dyDescent="0.25">
      <c r="A11" s="99" t="s">
        <v>52</v>
      </c>
      <c r="B11" s="82">
        <v>204347</v>
      </c>
      <c r="C11" s="12">
        <f>October!C11+B11</f>
        <v>2366586</v>
      </c>
      <c r="D11" s="84">
        <v>1583</v>
      </c>
      <c r="E11" s="12">
        <f>October!E11+D11</f>
        <v>12268</v>
      </c>
      <c r="F11" s="12">
        <v>6281</v>
      </c>
      <c r="G11" s="12">
        <f>October!G11+F11</f>
        <v>102664</v>
      </c>
    </row>
    <row r="12" spans="1:256" x14ac:dyDescent="0.25">
      <c r="A12" s="11" t="s">
        <v>9</v>
      </c>
      <c r="B12" s="82">
        <f>1000+3000+250+750+1000+160+160+150+2040+1750+2040+1750+2040+1775+2180+950+950+170+180+190+1934+967+2125+1800+3200+2125+3200+3000+900+900+850+850+58700</f>
        <v>103036</v>
      </c>
      <c r="C12" s="12">
        <f>October!C12+B12</f>
        <v>1291502</v>
      </c>
      <c r="D12" s="84"/>
      <c r="E12" s="12">
        <f>October!E12+D12</f>
        <v>2542</v>
      </c>
      <c r="F12" s="12"/>
      <c r="G12" s="12">
        <f>October!G12+F12</f>
        <v>0</v>
      </c>
    </row>
    <row r="13" spans="1:256" x14ac:dyDescent="0.25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82"/>
      <c r="C14" s="12">
        <f>October!C14+B14</f>
        <v>0</v>
      </c>
      <c r="D14" s="84"/>
      <c r="E14" s="12">
        <f>October!E14+D14</f>
        <v>4</v>
      </c>
      <c r="F14" s="12"/>
      <c r="G14" s="12">
        <f>October!G14+F14</f>
        <v>0</v>
      </c>
    </row>
    <row r="15" spans="1:256" x14ac:dyDescent="0.25">
      <c r="A15" s="11" t="s">
        <v>12</v>
      </c>
      <c r="B15" s="82"/>
      <c r="C15" s="12">
        <f>October!C15+B15</f>
        <v>0</v>
      </c>
      <c r="D15" s="84"/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82">
        <f>1000+650</f>
        <v>1650</v>
      </c>
      <c r="C16" s="12">
        <f>October!C16+B16</f>
        <v>20250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5">
      <c r="A17" s="11" t="s">
        <v>14</v>
      </c>
      <c r="B17" s="82"/>
      <c r="C17" s="12">
        <f>October!C17+B17</f>
        <v>1</v>
      </c>
      <c r="D17" s="84"/>
      <c r="E17" s="12">
        <f>October!E17+D17</f>
        <v>1</v>
      </c>
      <c r="F17" s="12"/>
      <c r="G17" s="12">
        <f>October!G17+F17</f>
        <v>0</v>
      </c>
    </row>
    <row r="18" spans="1:7" x14ac:dyDescent="0.25">
      <c r="A18" s="11" t="s">
        <v>15</v>
      </c>
      <c r="B18" s="82">
        <f>84800+345226</f>
        <v>430026</v>
      </c>
      <c r="C18" s="12">
        <f>October!C18+B18</f>
        <v>4964195</v>
      </c>
      <c r="D18" s="84">
        <f>80+110+80+15+120+1615</f>
        <v>2020</v>
      </c>
      <c r="E18" s="12">
        <f>October!E18+D18</f>
        <v>27352</v>
      </c>
      <c r="F18" s="12"/>
      <c r="G18" s="12">
        <f>October!G18+F18</f>
        <v>0</v>
      </c>
    </row>
    <row r="19" spans="1:7" x14ac:dyDescent="0.25">
      <c r="A19" s="11" t="s">
        <v>16</v>
      </c>
      <c r="B19" s="82">
        <f>1300+27501</f>
        <v>28801</v>
      </c>
      <c r="C19" s="12">
        <f>October!C19+B19</f>
        <v>301781</v>
      </c>
      <c r="D19" s="84">
        <v>1150</v>
      </c>
      <c r="E19" s="12">
        <f>October!E19+D19</f>
        <v>3072</v>
      </c>
      <c r="F19" s="12"/>
      <c r="G19" s="12">
        <f>October!G19+F19</f>
        <v>0</v>
      </c>
    </row>
    <row r="20" spans="1:7" x14ac:dyDescent="0.25">
      <c r="A20" s="11" t="s">
        <v>17</v>
      </c>
      <c r="B20" s="82">
        <f>1100+1000+525+151+425+320+2000+1200+430+1200+1920+980+500+39+287+4+4+2433</f>
        <v>14518</v>
      </c>
      <c r="C20" s="12">
        <f>October!C20+B20</f>
        <v>197466</v>
      </c>
      <c r="D20" s="84">
        <f>32+369</f>
        <v>401</v>
      </c>
      <c r="E20" s="12">
        <f>October!E20+D20</f>
        <v>4861</v>
      </c>
      <c r="F20" s="12"/>
      <c r="G20" s="12">
        <f>October!G20+F20</f>
        <v>0</v>
      </c>
    </row>
    <row r="21" spans="1:7" x14ac:dyDescent="0.25">
      <c r="A21" s="11" t="s">
        <v>18</v>
      </c>
      <c r="B21" s="82">
        <f>2578</f>
        <v>2578</v>
      </c>
      <c r="C21" s="12">
        <f>October!C21+B21</f>
        <v>10219</v>
      </c>
      <c r="D21" s="84">
        <f>342+62</f>
        <v>404</v>
      </c>
      <c r="E21" s="12">
        <f>October!E21+D21</f>
        <v>4709</v>
      </c>
      <c r="F21" s="12"/>
      <c r="G21" s="12">
        <f>October!G21+F21</f>
        <v>0</v>
      </c>
    </row>
    <row r="22" spans="1:7" x14ac:dyDescent="0.25">
      <c r="A22" s="11" t="s">
        <v>19</v>
      </c>
      <c r="B22" s="82"/>
      <c r="C22" s="12">
        <f>October!C22+B22</f>
        <v>0</v>
      </c>
      <c r="D22" s="84"/>
      <c r="E22" s="12">
        <f>October!E22+D22</f>
        <v>54</v>
      </c>
      <c r="F22" s="12"/>
      <c r="G22" s="12">
        <f>October!G22+F22</f>
        <v>0</v>
      </c>
    </row>
    <row r="23" spans="1:7" x14ac:dyDescent="0.25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5">
      <c r="A26" s="11" t="s">
        <v>23</v>
      </c>
      <c r="B26" s="82"/>
      <c r="C26" s="12">
        <f>October!C26+B26</f>
        <v>16389</v>
      </c>
      <c r="D26" s="84">
        <v>1761</v>
      </c>
      <c r="E26" s="12">
        <f>October!E26+D26</f>
        <v>17760</v>
      </c>
      <c r="F26" s="12"/>
      <c r="G26" s="12">
        <f>October!G26+F26</f>
        <v>0</v>
      </c>
    </row>
    <row r="27" spans="1:7" x14ac:dyDescent="0.25">
      <c r="A27" s="11" t="s">
        <v>24</v>
      </c>
      <c r="B27" s="82">
        <f>1000+2056+630+630+650+650+430+2100+2100+800+181+605+650+220+600+600+749+600+120+458+110+185+2028+2054+2054+275+275+600+600+2000+2056+2056+800+390+800+1100+3240+182+820+655+182+2028+106+212+76+24+1150+250+600+600+1000+500+1440+515+500+460+705+122+214+280+410+705+4800+2400+2056+2056+220+110+110+106+101848</f>
        <v>163894</v>
      </c>
      <c r="C27" s="12">
        <f>October!C27+B27</f>
        <v>2345292</v>
      </c>
      <c r="D27" s="84">
        <f>212+222+444+217+10033</f>
        <v>11128</v>
      </c>
      <c r="E27" s="12">
        <f>October!E27+D27</f>
        <v>44276</v>
      </c>
      <c r="F27" s="12"/>
      <c r="G27" s="12">
        <f>October!G27+F27</f>
        <v>2056</v>
      </c>
    </row>
    <row r="28" spans="1:7" x14ac:dyDescent="0.25">
      <c r="A28" s="11" t="s">
        <v>25</v>
      </c>
      <c r="B28" s="82">
        <v>65450</v>
      </c>
      <c r="C28" s="12">
        <f>October!C28+B28</f>
        <v>726520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5">
      <c r="A29" s="11" t="s">
        <v>26</v>
      </c>
      <c r="B29" s="82">
        <f>550+597+597+597+597+597+601+1000+960+1300+1000+960+1955+1955+1000+960+2280+1050+640+1100+1100+1100+1100+1100+1100+1100+1100+1100+1100+1100+1100+1100+1100+1100+1100+1100+1100+690+1560+1440+1426+764+930+1955+975+960+615+1625+2452+1955+960+1955+1000+1300+650+1625+1955+1050+1100+1100+1100+1100+1100+1100+1000+1000+1000+1100+1100+1100+1100+1100+620+1905+634+344+1100+1100+1100+1100+1100+1100+1100+1100+1100+1000+1000+1000+620+620+1100+1100+1100+1100+1100+1100+1100+1100+500+1100+1100+1100+1100+1100+1300+1955+515+515+1625+1630+1300+1130+1130+960+1325+1240+2650+2480+731+1462+289+620+385+1213+606+606+759+1838+612+930+630+930+667+668+667+667+667+348+2436+2500+189+2184+1456+168+750+750+750+1084+2341+1601+1624+385+1536+990+150+980+1300+1155+1155+1630+1625+1955+1300+31+399+220+275+85+1000+950+1100+1100+1250+665+665+668+619+665+618+665+618+1240+768+200+800+800+800+2350+1604+1630+800+980+1625+800+1955+800+980+1300+800+980+93+94+52+425+1010+222+215+2400+848+26+8420+211186</f>
        <v>439221</v>
      </c>
      <c r="C29" s="12">
        <f>October!C29+B29</f>
        <v>3972700</v>
      </c>
      <c r="D29" s="84">
        <v>1632</v>
      </c>
      <c r="E29" s="12">
        <f>October!E29+D29</f>
        <v>8614</v>
      </c>
      <c r="F29" s="12"/>
      <c r="G29" s="12">
        <f>October!G29+F29</f>
        <v>90</v>
      </c>
    </row>
    <row r="30" spans="1:7" x14ac:dyDescent="0.25">
      <c r="A30" s="11" t="s">
        <v>27</v>
      </c>
      <c r="B30" s="82">
        <f>1250+2455</f>
        <v>3705</v>
      </c>
      <c r="C30" s="12">
        <f>October!C30+B30</f>
        <v>74179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5">
      <c r="A31" s="11" t="s">
        <v>28</v>
      </c>
      <c r="B31" s="82">
        <f>900+1350+650+750+750+490+1025+650+500+500+500+40+500+500+500+650+15+500+650+15+500+1200+700+800+800+800+325+50+54+1225+1275+1464+1464+1000+1437+1437+1437+1300+500+600+1050+1450+650+400+700+165+250+600+750+600+600+600+1450+1450+1250+1464+700+490+500+1200+500+900+625+300+650+725+1100+300+900+600+600+1000+145603</f>
        <v>199925</v>
      </c>
      <c r="C31" s="12">
        <f>October!C31+B31</f>
        <v>2065474</v>
      </c>
      <c r="D31" s="84">
        <f>4+35+128+160+30+1+4+2+220+115</f>
        <v>699</v>
      </c>
      <c r="E31" s="12">
        <f>October!E31+D31</f>
        <v>55703</v>
      </c>
      <c r="F31" s="12"/>
      <c r="G31" s="12">
        <f>October!G31+F31</f>
        <v>0</v>
      </c>
    </row>
    <row r="32" spans="1:7" x14ac:dyDescent="0.25">
      <c r="A32" s="11" t="s">
        <v>29</v>
      </c>
      <c r="B32" s="82"/>
      <c r="C32" s="12">
        <f>October!C32+B32</f>
        <v>0</v>
      </c>
      <c r="D32" s="84"/>
      <c r="E32" s="12">
        <f>October!E32+D32</f>
        <v>1</v>
      </c>
      <c r="F32" s="12"/>
      <c r="G32" s="12">
        <f>October!G32+F32</f>
        <v>0</v>
      </c>
    </row>
    <row r="33" spans="1:7" x14ac:dyDescent="0.25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32</v>
      </c>
      <c r="B35" s="82"/>
      <c r="C35" s="12">
        <f>October!C35+B35</f>
        <v>0</v>
      </c>
      <c r="D35" s="84"/>
      <c r="E35" s="12">
        <f>October!E35+D35</f>
        <v>6</v>
      </c>
      <c r="F35" s="12"/>
      <c r="G35" s="12">
        <f>October!G35+F35</f>
        <v>0</v>
      </c>
    </row>
    <row r="36" spans="1:7" x14ac:dyDescent="0.25">
      <c r="A36" s="11" t="s">
        <v>33</v>
      </c>
      <c r="B36" s="82"/>
      <c r="C36" s="12">
        <f>October!C36+B36</f>
        <v>0</v>
      </c>
      <c r="D36" s="84"/>
      <c r="E36" s="12">
        <f>October!E36+D36</f>
        <v>1</v>
      </c>
      <c r="F36" s="12"/>
      <c r="G36" s="12">
        <f>October!G36+F36</f>
        <v>0</v>
      </c>
    </row>
    <row r="37" spans="1:7" x14ac:dyDescent="0.25">
      <c r="A37" s="11" t="s">
        <v>34</v>
      </c>
      <c r="B37" s="82">
        <v>69691</v>
      </c>
      <c r="C37" s="12">
        <f>October!C37+B37</f>
        <v>1171795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5">
      <c r="A38" s="11" t="s">
        <v>35</v>
      </c>
      <c r="B38" s="82">
        <f>29525+14640</f>
        <v>44165</v>
      </c>
      <c r="C38" s="12">
        <f>October!C38+B38</f>
        <v>360403</v>
      </c>
      <c r="D38" s="84">
        <f>1000+1000+1025</f>
        <v>3025</v>
      </c>
      <c r="E38" s="12">
        <f>October!E38+D38</f>
        <v>20104</v>
      </c>
      <c r="F38" s="12"/>
      <c r="G38" s="12">
        <f>October!G38+F38</f>
        <v>0</v>
      </c>
    </row>
    <row r="39" spans="1:7" x14ac:dyDescent="0.25">
      <c r="A39" s="11" t="s">
        <v>36</v>
      </c>
      <c r="B39" s="82">
        <f>60+500+17790</f>
        <v>18350</v>
      </c>
      <c r="C39" s="12">
        <f>October!C39+B39</f>
        <v>154454</v>
      </c>
      <c r="D39" s="84">
        <f>1+362</f>
        <v>363</v>
      </c>
      <c r="E39" s="12">
        <f>October!E39+D39</f>
        <v>10682</v>
      </c>
      <c r="F39" s="12"/>
      <c r="G39" s="12">
        <f>October!G39+F39</f>
        <v>0</v>
      </c>
    </row>
    <row r="40" spans="1:7" x14ac:dyDescent="0.25">
      <c r="A40" s="11" t="s">
        <v>37</v>
      </c>
      <c r="B40" s="82">
        <f>2160+2160+2160+1255+2160+1290+2160+2302+2160+2160+2160+1340+135925</f>
        <v>159392</v>
      </c>
      <c r="C40" s="12">
        <f>October!C40+B40</f>
        <v>2335223</v>
      </c>
      <c r="D40" s="84">
        <v>3250</v>
      </c>
      <c r="E40" s="12">
        <f>October!E40+D40</f>
        <v>18004</v>
      </c>
      <c r="F40" s="12"/>
      <c r="G40" s="12">
        <f>October!G40+F40</f>
        <v>0</v>
      </c>
    </row>
    <row r="41" spans="1:7" x14ac:dyDescent="0.25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5">
      <c r="A42" s="11" t="s">
        <v>39</v>
      </c>
      <c r="B42" s="82">
        <v>120</v>
      </c>
      <c r="C42" s="12">
        <f>October!C42+B42</f>
        <v>120</v>
      </c>
      <c r="D42" s="84"/>
      <c r="E42" s="12">
        <f>October!E42+D42</f>
        <v>3097</v>
      </c>
      <c r="F42" s="12"/>
      <c r="G42" s="12">
        <f>October!G42+F42</f>
        <v>0</v>
      </c>
    </row>
    <row r="43" spans="1:7" x14ac:dyDescent="0.25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5">
      <c r="A44" s="11" t="s">
        <v>41</v>
      </c>
      <c r="B44" s="82">
        <v>1000</v>
      </c>
      <c r="C44" s="12">
        <f>October!C44+B44</f>
        <v>12800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42</v>
      </c>
      <c r="B45" s="82">
        <f>650+650+640+640+450+450+620+620+70+60+150+65+120+140+150+620+620+600+77+1300+1378+2064+1350+1500+1400+220+59006</f>
        <v>75610</v>
      </c>
      <c r="C45" s="12">
        <f>October!C45+B45</f>
        <v>592745</v>
      </c>
      <c r="D45" s="84">
        <f>401+30+2520</f>
        <v>2951</v>
      </c>
      <c r="E45" s="12">
        <f>October!E45+D45</f>
        <v>21613</v>
      </c>
      <c r="F45" s="12"/>
      <c r="G45" s="12">
        <f>October!G45+F45</f>
        <v>0</v>
      </c>
    </row>
    <row r="46" spans="1:7" x14ac:dyDescent="0.25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5">
      <c r="A47" s="11" t="s">
        <v>44</v>
      </c>
      <c r="B47" s="82">
        <v>55650</v>
      </c>
      <c r="C47" s="12">
        <f>October!C47+B47</f>
        <v>797351</v>
      </c>
      <c r="D47" s="84">
        <f>1</f>
        <v>1</v>
      </c>
      <c r="E47" s="12">
        <f>October!E47+D47</f>
        <v>237</v>
      </c>
      <c r="F47" s="12"/>
      <c r="G47" s="12">
        <f>October!G47+F47</f>
        <v>0</v>
      </c>
    </row>
    <row r="48" spans="1:7" x14ac:dyDescent="0.25">
      <c r="A48" s="11" t="s">
        <v>45</v>
      </c>
      <c r="B48" s="82">
        <v>30495</v>
      </c>
      <c r="C48" s="12">
        <f>October!C48+B48</f>
        <v>369829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5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5">
      <c r="A50" s="11" t="s">
        <v>47</v>
      </c>
      <c r="B50" s="82"/>
      <c r="C50" s="12">
        <f>October!C50+B50</f>
        <v>0</v>
      </c>
      <c r="D50" s="84">
        <f>1</f>
        <v>1</v>
      </c>
      <c r="E50" s="12">
        <f>October!E50+D50</f>
        <v>1</v>
      </c>
      <c r="F50" s="12"/>
      <c r="G50" s="12">
        <f>October!G50+F50</f>
        <v>0</v>
      </c>
    </row>
    <row r="51" spans="1:256" x14ac:dyDescent="0.25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50</v>
      </c>
      <c r="B53" s="82">
        <f>23019+650</f>
        <v>23669</v>
      </c>
      <c r="C53" s="12">
        <f>October!C53+B53</f>
        <v>162242</v>
      </c>
      <c r="D53" s="84">
        <f>7+45</f>
        <v>52</v>
      </c>
      <c r="E53" s="12">
        <f>October!E53+D53</f>
        <v>323</v>
      </c>
      <c r="F53" s="12"/>
      <c r="G53" s="12">
        <f>October!G53+F53</f>
        <v>0</v>
      </c>
    </row>
    <row r="54" spans="1:256" ht="16.3" thickBot="1" x14ac:dyDescent="0.3">
      <c r="A54" s="11" t="s">
        <v>51</v>
      </c>
      <c r="B54" s="82">
        <v>13947</v>
      </c>
      <c r="C54" s="12">
        <f>October!C54+B54</f>
        <v>252616</v>
      </c>
      <c r="D54" s="84"/>
      <c r="E54" s="12">
        <f>October!E54+D54</f>
        <v>4</v>
      </c>
      <c r="F54" s="12"/>
      <c r="G54" s="12">
        <f>October!G54+F54</f>
        <v>0</v>
      </c>
    </row>
    <row r="55" spans="1:256" ht="26.15" customHeight="1" thickBot="1" x14ac:dyDescent="0.3">
      <c r="A55" s="14" t="s">
        <v>53</v>
      </c>
      <c r="B55" s="89">
        <f>SUM(B7:B54)</f>
        <v>2169530</v>
      </c>
      <c r="C55" s="15">
        <f>October!C55+B55</f>
        <v>24829714</v>
      </c>
      <c r="D55" s="15">
        <f>SUM(D7:D54)</f>
        <v>30421</v>
      </c>
      <c r="E55" s="15">
        <f>October!E55+D55</f>
        <v>255446</v>
      </c>
      <c r="F55" s="15">
        <f>SUM(F7:F54)</f>
        <v>6281</v>
      </c>
      <c r="G55" s="15">
        <f>October!G55+F55</f>
        <v>104810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October!D58+C58</f>
        <v>1700</v>
      </c>
      <c r="E58" s="18"/>
    </row>
    <row r="59" spans="1:256" x14ac:dyDescent="0.25">
      <c r="A59" s="1" t="s">
        <v>56</v>
      </c>
      <c r="B59" s="23"/>
      <c r="C59" s="23">
        <v>2300</v>
      </c>
      <c r="D59" s="24">
        <f>October!D59+C59</f>
        <v>30937</v>
      </c>
    </row>
    <row r="60" spans="1:256" x14ac:dyDescent="0.25">
      <c r="A60" s="1" t="s">
        <v>57</v>
      </c>
      <c r="B60" s="23"/>
      <c r="C60" s="23"/>
      <c r="D60" s="24">
        <f>October!D60+C60</f>
        <v>2490</v>
      </c>
    </row>
    <row r="61" spans="1:256" x14ac:dyDescent="0.25">
      <c r="A61" s="1" t="s">
        <v>58</v>
      </c>
      <c r="B61" s="23"/>
      <c r="C61" s="23"/>
      <c r="D61" s="24">
        <f>October!D61+C61</f>
        <v>0</v>
      </c>
    </row>
    <row r="62" spans="1:256" x14ac:dyDescent="0.25">
      <c r="A62" s="1" t="s">
        <v>59</v>
      </c>
      <c r="B62" s="23"/>
      <c r="C62" s="23">
        <f>115+200+135+45+175+360+120+111+8+10+8+15+20+20+106+200+8+8+175+18+10+10+40+26+120+45+115+175+360+200+135+50+32+15+520+8734</f>
        <v>12444</v>
      </c>
      <c r="D62" s="24">
        <f>October!D62+C62</f>
        <v>261582</v>
      </c>
    </row>
    <row r="63" spans="1:256" x14ac:dyDescent="0.25">
      <c r="A63" s="1" t="s">
        <v>65</v>
      </c>
      <c r="B63" s="23"/>
      <c r="C63" s="23">
        <f>275+320+75+170+52+150+45+275+75+75+170+357+20+150+106+80+320+106+45+270+20+80+275+75+170+507+45+52+150+20+170+75+275+315+80+418+150+240+275+75+170+320+320+20+45+106+80+170+75+275+75+170+52+200+60+20+240+45+80+320+275+170+75+301+275+60+200+150+106+45+20+270+320+80+60+200+275+75+170+10+536+240+516+200+275+52+75+20+45+275+75+320+200+80+106+45+60+256+275+75+80+150+200+270+20+320+150+200+75+320+200+212+275+70+200+150+52+75+320+106+45+270+20+80+45+240+862+70+275+75+20+80</f>
        <v>21836</v>
      </c>
      <c r="D63" s="24">
        <f>October!D63+C63</f>
        <v>179586</v>
      </c>
    </row>
    <row r="64" spans="1:256" x14ac:dyDescent="0.25">
      <c r="A64" s="1" t="s">
        <v>63</v>
      </c>
      <c r="B64" s="23"/>
      <c r="C64" s="23">
        <f>100+72+130+100+170+130+140+130+130+200+185+180+185+180+115+105+130+135+150+260+200+245+260+115+105+115+260+115+140+200+200+205+200+115+140+200+200+205+200+205+200+280+115+140+225+200+155+85+100+45+72+90+100+63+55+130+40+72+45+55+43+70+10+100+62+145+80+35+50+70+140+85+54+90+45+135+100+35+70+140+80+23+86+230+10+65+80+86+230+15+65+63+55+35+70+140+100+120+70+145+80+163+86+230+15+60+63+55+100+100+35+70+140+80+72+90+45+175+85+35+70+140+50+70+51+35+80+86+100+10+70+43+55+72+90+45</f>
        <v>14992</v>
      </c>
      <c r="D64" s="24">
        <f>October!D64+C64</f>
        <v>170528</v>
      </c>
    </row>
    <row r="65" spans="1:4" x14ac:dyDescent="0.25">
      <c r="A65" s="1" t="s">
        <v>60</v>
      </c>
      <c r="C65" s="23"/>
      <c r="D65" s="24">
        <f>October!D65+C65</f>
        <v>0</v>
      </c>
    </row>
    <row r="66" spans="1:4" x14ac:dyDescent="0.25">
      <c r="A66" s="1" t="s">
        <v>61</v>
      </c>
      <c r="C66" s="23">
        <f>100+185+30+91+75+155+25+71+65+155+90+56+61+120+185+120+87+75+110+110+66+65+100+185+110+91+75+50+155+120+185+89+75+90+155+25+60+65+221+866</f>
        <v>4814</v>
      </c>
      <c r="D66" s="24">
        <f>October!D66+C66</f>
        <v>65289</v>
      </c>
    </row>
    <row r="67" spans="1:4" x14ac:dyDescent="0.25">
      <c r="A67" s="1" t="s">
        <v>62</v>
      </c>
      <c r="C67" s="23">
        <v>750</v>
      </c>
      <c r="D67" s="24">
        <f>October!D67+C67</f>
        <v>5788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D40" sqref="D40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76</v>
      </c>
      <c r="I2" s="2"/>
    </row>
    <row r="3" spans="1:256" ht="12.9" customHeight="1" x14ac:dyDescent="0.25">
      <c r="F3" t="s">
        <v>81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November!C7+B7</f>
        <v>24215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5">
      <c r="A8" s="11" t="s">
        <v>64</v>
      </c>
      <c r="B8" s="82"/>
      <c r="C8" s="12">
        <f>November!C8+B8</f>
        <v>16213</v>
      </c>
      <c r="D8" s="84"/>
      <c r="E8" s="12">
        <f>November!E8+D8</f>
        <v>22</v>
      </c>
      <c r="F8" s="12"/>
      <c r="G8" s="12">
        <f>November!G8+F8</f>
        <v>0</v>
      </c>
    </row>
    <row r="9" spans="1:256" x14ac:dyDescent="0.25">
      <c r="A9" s="11" t="s">
        <v>7</v>
      </c>
      <c r="B9" s="82"/>
      <c r="C9" s="12">
        <f>November!C9+B9</f>
        <v>227128</v>
      </c>
      <c r="D9" s="84"/>
      <c r="E9" s="12">
        <f>November!E9+D9</f>
        <v>42</v>
      </c>
      <c r="F9" s="12"/>
      <c r="G9" s="12">
        <f>November!G9+F9</f>
        <v>0</v>
      </c>
    </row>
    <row r="10" spans="1:256" x14ac:dyDescent="0.25">
      <c r="A10" s="11" t="s">
        <v>8</v>
      </c>
      <c r="B10" s="82"/>
      <c r="C10" s="12">
        <f>November!C10+B10</f>
        <v>5</v>
      </c>
      <c r="D10" s="84"/>
      <c r="E10" s="12">
        <f>November!E10+D10</f>
        <v>89</v>
      </c>
      <c r="F10" s="12"/>
      <c r="G10" s="12">
        <f>November!G10+F10</f>
        <v>0</v>
      </c>
    </row>
    <row r="11" spans="1:256" ht="16.3" thickBot="1" x14ac:dyDescent="0.3">
      <c r="A11" s="13" t="s">
        <v>52</v>
      </c>
      <c r="B11" s="82"/>
      <c r="C11" s="12">
        <f>November!C11+B11</f>
        <v>2366586</v>
      </c>
      <c r="D11" s="84"/>
      <c r="E11" s="12">
        <f>November!E11+D11</f>
        <v>12268</v>
      </c>
      <c r="F11" s="12"/>
      <c r="G11" s="12">
        <f>November!G11+F11</f>
        <v>102664</v>
      </c>
    </row>
    <row r="12" spans="1:256" ht="16.3" thickTop="1" x14ac:dyDescent="0.25">
      <c r="A12" s="11" t="s">
        <v>9</v>
      </c>
      <c r="B12" s="82"/>
      <c r="C12" s="12">
        <f>November!C12+B12</f>
        <v>1291502</v>
      </c>
      <c r="D12" s="84"/>
      <c r="E12" s="12">
        <f>November!E12+D12</f>
        <v>2542</v>
      </c>
      <c r="F12" s="12"/>
      <c r="G12" s="12">
        <f>November!G12+F12</f>
        <v>0</v>
      </c>
    </row>
    <row r="13" spans="1:256" x14ac:dyDescent="0.25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82"/>
      <c r="C14" s="12">
        <f>November!C14+B14</f>
        <v>0</v>
      </c>
      <c r="D14" s="84"/>
      <c r="E14" s="12">
        <f>November!E14+D14</f>
        <v>4</v>
      </c>
      <c r="F14" s="12"/>
      <c r="G14" s="12">
        <f>November!G14+F14</f>
        <v>0</v>
      </c>
    </row>
    <row r="15" spans="1:256" x14ac:dyDescent="0.25">
      <c r="A15" s="11" t="s">
        <v>12</v>
      </c>
      <c r="B15" s="82"/>
      <c r="C15" s="12">
        <f>November!C15+B15</f>
        <v>0</v>
      </c>
      <c r="D15" s="84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82"/>
      <c r="C16" s="12">
        <f>November!C16+B16</f>
        <v>20250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5">
      <c r="A17" s="11" t="s">
        <v>14</v>
      </c>
      <c r="B17" s="82"/>
      <c r="C17" s="12">
        <f>November!C17+B17</f>
        <v>1</v>
      </c>
      <c r="D17" s="84"/>
      <c r="E17" s="12">
        <f>November!E17+D17</f>
        <v>1</v>
      </c>
      <c r="F17" s="12"/>
      <c r="G17" s="12">
        <f>November!G17+F17</f>
        <v>0</v>
      </c>
    </row>
    <row r="18" spans="1:7" x14ac:dyDescent="0.25">
      <c r="A18" s="11" t="s">
        <v>15</v>
      </c>
      <c r="B18" s="82"/>
      <c r="C18" s="12">
        <f>November!C18+B18</f>
        <v>4964195</v>
      </c>
      <c r="D18" s="84"/>
      <c r="E18" s="12">
        <f>November!E18+D18</f>
        <v>27352</v>
      </c>
      <c r="F18" s="12"/>
      <c r="G18" s="12">
        <f>November!G18+F18</f>
        <v>0</v>
      </c>
    </row>
    <row r="19" spans="1:7" x14ac:dyDescent="0.25">
      <c r="A19" s="11" t="s">
        <v>16</v>
      </c>
      <c r="B19" s="82"/>
      <c r="C19" s="12">
        <f>November!C19+B19</f>
        <v>301781</v>
      </c>
      <c r="D19" s="84"/>
      <c r="E19" s="12">
        <f>November!E19+D19</f>
        <v>3072</v>
      </c>
      <c r="F19" s="12"/>
      <c r="G19" s="12">
        <f>November!G19+F19</f>
        <v>0</v>
      </c>
    </row>
    <row r="20" spans="1:7" x14ac:dyDescent="0.25">
      <c r="A20" s="11" t="s">
        <v>17</v>
      </c>
      <c r="B20" s="82">
        <f>4+4</f>
        <v>8</v>
      </c>
      <c r="C20" s="12">
        <f>November!C20+B20</f>
        <v>197474</v>
      </c>
      <c r="D20" s="84"/>
      <c r="E20" s="12">
        <f>November!E20+D20</f>
        <v>4861</v>
      </c>
      <c r="F20" s="12"/>
      <c r="G20" s="12">
        <f>November!G20+F20</f>
        <v>0</v>
      </c>
    </row>
    <row r="21" spans="1:7" x14ac:dyDescent="0.25">
      <c r="A21" s="11" t="s">
        <v>18</v>
      </c>
      <c r="B21" s="82"/>
      <c r="C21" s="12">
        <f>November!C21+B21</f>
        <v>10219</v>
      </c>
      <c r="D21" s="84"/>
      <c r="E21" s="12">
        <f>November!E21+D21</f>
        <v>4709</v>
      </c>
      <c r="F21" s="12"/>
      <c r="G21" s="12">
        <f>November!G21+F21</f>
        <v>0</v>
      </c>
    </row>
    <row r="22" spans="1:7" x14ac:dyDescent="0.25">
      <c r="A22" s="11" t="s">
        <v>19</v>
      </c>
      <c r="B22" s="82"/>
      <c r="C22" s="12">
        <f>November!C22+B22</f>
        <v>0</v>
      </c>
      <c r="D22" s="84"/>
      <c r="E22" s="12">
        <f>November!E22+D22</f>
        <v>54</v>
      </c>
      <c r="F22" s="12"/>
      <c r="G22" s="12">
        <f>November!G22+F22</f>
        <v>0</v>
      </c>
    </row>
    <row r="23" spans="1:7" x14ac:dyDescent="0.25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5">
      <c r="A26" s="11" t="s">
        <v>23</v>
      </c>
      <c r="B26" s="82"/>
      <c r="C26" s="12">
        <f>November!C26+B26</f>
        <v>16389</v>
      </c>
      <c r="D26" s="84"/>
      <c r="E26" s="12">
        <f>November!E26+D26</f>
        <v>17760</v>
      </c>
      <c r="F26" s="12"/>
      <c r="G26" s="12">
        <f>November!G26+F26</f>
        <v>0</v>
      </c>
    </row>
    <row r="27" spans="1:7" x14ac:dyDescent="0.25">
      <c r="A27" s="11" t="s">
        <v>24</v>
      </c>
      <c r="B27" s="82">
        <f>220+2300+650+420+540+454+650+500+410+410+640+650+2350+650+253+220+270+540+440+450+640+630+1100+265+650+900+715+560+560+260+121+210+365+255+275+2100+400+2100+2100+800+403+403+403+650+213+2400+2100</f>
        <v>34595</v>
      </c>
      <c r="C27" s="12">
        <f>November!C27+B27</f>
        <v>2379887</v>
      </c>
      <c r="D27" s="84">
        <f>430</f>
        <v>430</v>
      </c>
      <c r="E27" s="12">
        <f>November!E27+D27</f>
        <v>44706</v>
      </c>
      <c r="F27" s="12"/>
      <c r="G27" s="12">
        <f>November!G27+F27</f>
        <v>2056</v>
      </c>
    </row>
    <row r="28" spans="1:7" x14ac:dyDescent="0.25">
      <c r="A28" s="11" t="s">
        <v>25</v>
      </c>
      <c r="B28" s="82"/>
      <c r="C28" s="12">
        <f>November!C28+B28</f>
        <v>726520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5">
      <c r="A29" s="11" t="s">
        <v>26</v>
      </c>
      <c r="B29" s="82">
        <f>1250+925+130+1372+375+1098+2500+1302+320+170+680+4114+1000+1236+2210+3352+2377+1425+1400+2600+768+3072+1940+960+1300+1120+960+1300+2420+960+1000+940+1122+560+807+1613+820+1200+620+620+1860+950+250+500+498+498+498+498</f>
        <v>59490</v>
      </c>
      <c r="C29" s="12">
        <f>November!C29+B29</f>
        <v>4032190</v>
      </c>
      <c r="D29" s="84"/>
      <c r="E29" s="12">
        <f>November!E29+D29</f>
        <v>8614</v>
      </c>
      <c r="F29" s="12"/>
      <c r="G29" s="12">
        <f>November!G29+F29</f>
        <v>90</v>
      </c>
    </row>
    <row r="30" spans="1:7" x14ac:dyDescent="0.25">
      <c r="A30" s="11" t="s">
        <v>27</v>
      </c>
      <c r="B30" s="82"/>
      <c r="C30" s="12">
        <f>November!C30+B30</f>
        <v>74179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5">
      <c r="A31" s="11" t="s">
        <v>28</v>
      </c>
      <c r="B31" s="82">
        <f>600+190+600+1000+490+600+600</f>
        <v>4080</v>
      </c>
      <c r="C31" s="12">
        <f>November!C31+B31</f>
        <v>2069554</v>
      </c>
      <c r="D31" s="84">
        <f>30+160</f>
        <v>190</v>
      </c>
      <c r="E31" s="12">
        <f>November!E31+D31</f>
        <v>55893</v>
      </c>
      <c r="F31" s="12"/>
      <c r="G31" s="12">
        <f>November!G31+F31</f>
        <v>0</v>
      </c>
    </row>
    <row r="32" spans="1:7" x14ac:dyDescent="0.25">
      <c r="A32" s="11" t="s">
        <v>29</v>
      </c>
      <c r="B32" s="82"/>
      <c r="C32" s="12">
        <f>November!C32+B32</f>
        <v>0</v>
      </c>
      <c r="D32" s="84"/>
      <c r="E32" s="12">
        <f>November!E32+D32</f>
        <v>1</v>
      </c>
      <c r="F32" s="12"/>
      <c r="G32" s="12">
        <f>November!G32+F32</f>
        <v>0</v>
      </c>
    </row>
    <row r="33" spans="1:7" x14ac:dyDescent="0.25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32</v>
      </c>
      <c r="B35" s="82"/>
      <c r="C35" s="12">
        <f>November!C35+B35</f>
        <v>0</v>
      </c>
      <c r="D35" s="84"/>
      <c r="E35" s="12">
        <f>November!E35+D35</f>
        <v>6</v>
      </c>
      <c r="F35" s="12"/>
      <c r="G35" s="12">
        <f>November!G35+F35</f>
        <v>0</v>
      </c>
    </row>
    <row r="36" spans="1:7" x14ac:dyDescent="0.25">
      <c r="A36" s="11" t="s">
        <v>33</v>
      </c>
      <c r="B36" s="82"/>
      <c r="C36" s="12">
        <f>November!C36+B36</f>
        <v>0</v>
      </c>
      <c r="D36" s="84"/>
      <c r="E36" s="12">
        <f>November!E36+D36</f>
        <v>1</v>
      </c>
      <c r="F36" s="12"/>
      <c r="G36" s="12">
        <f>November!G36+F36</f>
        <v>0</v>
      </c>
    </row>
    <row r="37" spans="1:7" x14ac:dyDescent="0.25">
      <c r="A37" s="11" t="s">
        <v>34</v>
      </c>
      <c r="B37" s="82">
        <f>3200</f>
        <v>3200</v>
      </c>
      <c r="C37" s="12">
        <f>November!C37+B37</f>
        <v>1174995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5">
      <c r="A38" s="11" t="s">
        <v>35</v>
      </c>
      <c r="B38" s="82"/>
      <c r="C38" s="12">
        <f>November!C38+B38</f>
        <v>360403</v>
      </c>
      <c r="D38" s="84"/>
      <c r="E38" s="12">
        <f>November!E38+D38</f>
        <v>20104</v>
      </c>
      <c r="F38" s="12"/>
      <c r="G38" s="12">
        <f>November!G38+F38</f>
        <v>0</v>
      </c>
    </row>
    <row r="39" spans="1:7" x14ac:dyDescent="0.25">
      <c r="A39" s="11" t="s">
        <v>36</v>
      </c>
      <c r="B39" s="82"/>
      <c r="C39" s="12">
        <f>November!C39+B39</f>
        <v>154454</v>
      </c>
      <c r="D39" s="84"/>
      <c r="E39" s="12">
        <f>November!E39+D39</f>
        <v>10682</v>
      </c>
      <c r="F39" s="12"/>
      <c r="G39" s="12">
        <f>November!G39+F39</f>
        <v>0</v>
      </c>
    </row>
    <row r="40" spans="1:7" x14ac:dyDescent="0.25">
      <c r="A40" s="11" t="s">
        <v>37</v>
      </c>
      <c r="B40" s="82">
        <f>2708+2160+2160+2160+1810</f>
        <v>10998</v>
      </c>
      <c r="C40" s="12">
        <f>November!C40+B40</f>
        <v>2346221</v>
      </c>
      <c r="D40" s="84">
        <f>1+1+2+5+2</f>
        <v>11</v>
      </c>
      <c r="E40" s="12">
        <f>November!E40+D40</f>
        <v>18015</v>
      </c>
      <c r="F40" s="12"/>
      <c r="G40" s="12">
        <f>November!G40+F40</f>
        <v>0</v>
      </c>
    </row>
    <row r="41" spans="1:7" x14ac:dyDescent="0.25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5">
      <c r="A42" s="11" t="s">
        <v>39</v>
      </c>
      <c r="B42" s="82"/>
      <c r="C42" s="12">
        <f>November!C42+B42</f>
        <v>120</v>
      </c>
      <c r="D42" s="84"/>
      <c r="E42" s="12">
        <f>November!E42+D42</f>
        <v>3097</v>
      </c>
      <c r="F42" s="12"/>
      <c r="G42" s="12">
        <f>November!G42+F42</f>
        <v>0</v>
      </c>
    </row>
    <row r="43" spans="1:7" x14ac:dyDescent="0.25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5">
      <c r="A44" s="11" t="s">
        <v>41</v>
      </c>
      <c r="B44" s="82"/>
      <c r="C44" s="12">
        <f>November!C44+B44</f>
        <v>12800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42</v>
      </c>
      <c r="B45" s="82">
        <f>525+525+600+600+600+600+600</f>
        <v>4050</v>
      </c>
      <c r="C45" s="12">
        <f>November!C45+B45</f>
        <v>596795</v>
      </c>
      <c r="D45" s="84"/>
      <c r="E45" s="12">
        <f>November!E45+D45</f>
        <v>21613</v>
      </c>
      <c r="F45" s="12"/>
      <c r="G45" s="12">
        <f>November!G45+F45</f>
        <v>0</v>
      </c>
    </row>
    <row r="46" spans="1:7" x14ac:dyDescent="0.25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5">
      <c r="A47" s="11" t="s">
        <v>44</v>
      </c>
      <c r="B47" s="82"/>
      <c r="C47" s="12">
        <f>November!C47+B47</f>
        <v>797351</v>
      </c>
      <c r="D47" s="84"/>
      <c r="E47" s="12">
        <f>November!E47+D47</f>
        <v>237</v>
      </c>
      <c r="F47" s="12"/>
      <c r="G47" s="12">
        <f>November!G47+F47</f>
        <v>0</v>
      </c>
    </row>
    <row r="48" spans="1:7" x14ac:dyDescent="0.25">
      <c r="A48" s="11" t="s">
        <v>45</v>
      </c>
      <c r="B48" s="82"/>
      <c r="C48" s="12">
        <f>November!C48+B48</f>
        <v>369829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5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5">
      <c r="A50" s="11" t="s">
        <v>47</v>
      </c>
      <c r="B50" s="82"/>
      <c r="C50" s="12">
        <f>November!C50+B50</f>
        <v>0</v>
      </c>
      <c r="D50" s="84"/>
      <c r="E50" s="12">
        <f>November!E50+D50</f>
        <v>1</v>
      </c>
      <c r="F50" s="12"/>
      <c r="G50" s="12">
        <f>November!G50+F50</f>
        <v>0</v>
      </c>
    </row>
    <row r="51" spans="1:256" x14ac:dyDescent="0.25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50</v>
      </c>
      <c r="B53" s="82"/>
      <c r="C53" s="12">
        <f>November!C53+B53</f>
        <v>162242</v>
      </c>
      <c r="D53" s="84"/>
      <c r="E53" s="12">
        <f>November!E53+D53</f>
        <v>323</v>
      </c>
      <c r="F53" s="12"/>
      <c r="G53" s="12">
        <f>November!G53+F53</f>
        <v>0</v>
      </c>
    </row>
    <row r="54" spans="1:256" ht="16.3" thickBot="1" x14ac:dyDescent="0.3">
      <c r="A54" s="11" t="s">
        <v>51</v>
      </c>
      <c r="B54" s="82"/>
      <c r="C54" s="12">
        <f>November!C54+B54</f>
        <v>252616</v>
      </c>
      <c r="D54" s="84"/>
      <c r="E54" s="12">
        <f>November!E54+D54</f>
        <v>4</v>
      </c>
      <c r="F54" s="12"/>
      <c r="G54" s="12">
        <f>November!G54+F54</f>
        <v>0</v>
      </c>
    </row>
    <row r="55" spans="1:256" ht="26.15" customHeight="1" thickBot="1" x14ac:dyDescent="0.3">
      <c r="A55" s="14" t="s">
        <v>53</v>
      </c>
      <c r="B55" s="15">
        <f>SUM(B7:B54)</f>
        <v>116421</v>
      </c>
      <c r="C55" s="15">
        <f>November!C55+B55</f>
        <v>24946135</v>
      </c>
      <c r="D55" s="15">
        <f>SUM(D7:D54)</f>
        <v>631</v>
      </c>
      <c r="E55" s="15">
        <f>November!E55+D55</f>
        <v>256077</v>
      </c>
      <c r="F55" s="15">
        <f>SUM(F7:F54)</f>
        <v>0</v>
      </c>
      <c r="G55" s="15">
        <f>November!G55+F55</f>
        <v>104810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November!D58+C58</f>
        <v>1700</v>
      </c>
      <c r="E58" s="18"/>
    </row>
    <row r="59" spans="1:256" x14ac:dyDescent="0.25">
      <c r="A59" s="1" t="s">
        <v>56</v>
      </c>
      <c r="B59" s="23"/>
      <c r="C59" s="23"/>
      <c r="D59" s="24">
        <f>November!D59+C59</f>
        <v>30937</v>
      </c>
    </row>
    <row r="60" spans="1:256" x14ac:dyDescent="0.25">
      <c r="A60" s="1" t="s">
        <v>57</v>
      </c>
      <c r="B60" s="23"/>
      <c r="C60" s="23"/>
      <c r="D60" s="24">
        <f>November!D60+C60</f>
        <v>2490</v>
      </c>
    </row>
    <row r="61" spans="1:256" x14ac:dyDescent="0.25">
      <c r="A61" s="1" t="s">
        <v>58</v>
      </c>
      <c r="B61" s="23"/>
      <c r="C61" s="23"/>
      <c r="D61" s="24">
        <f>November!D61+C61</f>
        <v>0</v>
      </c>
    </row>
    <row r="62" spans="1:256" x14ac:dyDescent="0.25">
      <c r="A62" s="1" t="s">
        <v>59</v>
      </c>
      <c r="B62" s="23"/>
      <c r="C62" s="23">
        <f>115+135+200+45+120+360+175+204+300+2320+1124+555+720+1300+1600+170+915</f>
        <v>10358</v>
      </c>
      <c r="D62" s="24">
        <f>November!D62+C62</f>
        <v>271940</v>
      </c>
    </row>
    <row r="63" spans="1:256" x14ac:dyDescent="0.25">
      <c r="A63" s="1" t="s">
        <v>65</v>
      </c>
      <c r="B63" s="23"/>
      <c r="C63" s="23"/>
      <c r="D63" s="24">
        <f>November!D63+C63</f>
        <v>179586</v>
      </c>
    </row>
    <row r="64" spans="1:256" x14ac:dyDescent="0.25">
      <c r="A64" s="1" t="s">
        <v>63</v>
      </c>
      <c r="B64" s="23"/>
      <c r="C64" s="23">
        <f>140+130+140+130</f>
        <v>540</v>
      </c>
      <c r="D64" s="24">
        <f>November!D64+C64</f>
        <v>171068</v>
      </c>
    </row>
    <row r="65" spans="1:4" x14ac:dyDescent="0.25">
      <c r="A65" s="1" t="s">
        <v>60</v>
      </c>
      <c r="C65" s="23"/>
      <c r="D65" s="24">
        <f>November!D65+C65</f>
        <v>0</v>
      </c>
    </row>
    <row r="66" spans="1:4" x14ac:dyDescent="0.25">
      <c r="A66" s="1" t="s">
        <v>61</v>
      </c>
      <c r="C66" s="23">
        <f>66+65+140+185+100+89+75+40+177+155+140+74+65+145+185+58+80+89+75+85+155+30</f>
        <v>2273</v>
      </c>
      <c r="D66" s="24">
        <f>November!D66+C66</f>
        <v>67562</v>
      </c>
    </row>
    <row r="67" spans="1:4" x14ac:dyDescent="0.25">
      <c r="A67" s="1" t="s">
        <v>62</v>
      </c>
      <c r="C67" s="23"/>
      <c r="D67" s="24">
        <f>November!D67+C67</f>
        <v>5788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96875" defaultRowHeight="15.65" x14ac:dyDescent="0.25"/>
  <cols>
    <col min="1" max="1" width="16.796875" style="53" customWidth="1"/>
    <col min="2" max="4" width="13.69921875" style="49" customWidth="1"/>
    <col min="5" max="7" width="12.69921875" style="49" customWidth="1"/>
    <col min="8" max="16384" width="11.796875" style="49"/>
  </cols>
  <sheetData>
    <row r="1" spans="1:256" ht="1.2" customHeight="1" x14ac:dyDescent="0.25">
      <c r="I1" s="63"/>
    </row>
    <row r="2" spans="1:256" ht="23.8" x14ac:dyDescent="0.4">
      <c r="A2" s="3" t="s">
        <v>80</v>
      </c>
      <c r="B2" s="64"/>
      <c r="D2" s="64"/>
      <c r="F2" s="49" t="s">
        <v>67</v>
      </c>
      <c r="G2" s="41"/>
      <c r="I2" s="63"/>
    </row>
    <row r="3" spans="1:256" ht="12.9" customHeight="1" x14ac:dyDescent="0.25">
      <c r="F3" s="49" t="s">
        <v>79</v>
      </c>
      <c r="I3" s="63"/>
    </row>
    <row r="4" spans="1:256" ht="12.9" customHeight="1" thickBot="1" x14ac:dyDescent="0.3">
      <c r="E4" s="63"/>
      <c r="G4" s="63"/>
      <c r="I4" s="63"/>
    </row>
    <row r="5" spans="1:256" ht="21.25" customHeight="1" thickBot="1" x14ac:dyDescent="0.35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3" thickBot="1" x14ac:dyDescent="0.3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5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5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5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5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5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5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5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5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5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5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5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5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5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5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5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5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5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5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5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5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5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5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5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5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5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5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5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5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5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5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5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5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5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5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5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5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5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5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5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5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5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5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5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5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5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5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5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6.3" thickBot="1" x14ac:dyDescent="0.3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5" customHeight="1" thickBot="1" x14ac:dyDescent="0.3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.350000000000001" x14ac:dyDescent="0.3">
      <c r="A56" s="76"/>
      <c r="B56" s="48"/>
      <c r="C56" s="48"/>
      <c r="D56" s="48"/>
      <c r="E56" s="48"/>
    </row>
    <row r="57" spans="1:256" ht="16.3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5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5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5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5">
      <c r="A61" s="53" t="s">
        <v>58</v>
      </c>
      <c r="B61" s="26"/>
      <c r="C61" s="26"/>
      <c r="D61" s="55">
        <f>January!D61+C61</f>
        <v>0</v>
      </c>
    </row>
    <row r="62" spans="1:256" x14ac:dyDescent="0.25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5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5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5">
      <c r="A65" s="53" t="s">
        <v>60</v>
      </c>
      <c r="C65" s="26"/>
      <c r="D65" s="55">
        <f>January!D65+C65</f>
        <v>0</v>
      </c>
    </row>
    <row r="66" spans="1:4" x14ac:dyDescent="0.25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5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35" activePane="bottomLeft" state="frozen"/>
      <selection pane="bottomLeft" activeCell="B39" sqref="B39"/>
    </sheetView>
  </sheetViews>
  <sheetFormatPr defaultColWidth="11.796875" defaultRowHeight="15.65" x14ac:dyDescent="0.25"/>
  <cols>
    <col min="1" max="1" width="16.796875" style="1" customWidth="1"/>
    <col min="2" max="2" width="13.69921875" customWidth="1"/>
    <col min="3" max="3" width="13.796875" customWidth="1"/>
    <col min="4" max="4" width="13.8984375" customWidth="1"/>
    <col min="5" max="7" width="12.6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68</v>
      </c>
      <c r="G2" s="41"/>
      <c r="I2" s="2"/>
    </row>
    <row r="3" spans="1:256" x14ac:dyDescent="0.25">
      <c r="F3" s="49" t="s">
        <v>79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5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5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5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5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5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5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5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5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5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5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5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5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5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5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5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5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5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5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5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5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5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5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5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5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5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5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5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5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5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5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5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5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5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5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5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5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5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5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5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5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5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5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5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5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5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5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6.3" thickBot="1" x14ac:dyDescent="0.3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5" customHeight="1" thickBot="1" x14ac:dyDescent="0.3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48"/>
      <c r="C56" s="48"/>
      <c r="D56" s="48"/>
      <c r="E56" s="48"/>
    </row>
    <row r="57" spans="1:256" ht="16.3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5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5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5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5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5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5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5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5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5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5">
      <c r="B68" s="49"/>
      <c r="C68" s="49"/>
      <c r="D68" s="49"/>
      <c r="E68" s="49"/>
    </row>
    <row r="69" spans="1:5" x14ac:dyDescent="0.25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35" activePane="bottomLeft" state="frozen"/>
      <selection pane="bottomLeft" activeCell="A35" sqref="A35"/>
    </sheetView>
  </sheetViews>
  <sheetFormatPr defaultColWidth="11.796875" defaultRowHeight="15.65" x14ac:dyDescent="0.25"/>
  <cols>
    <col min="1" max="1" width="16.796875" style="1" customWidth="1"/>
    <col min="2" max="4" width="13.796875" customWidth="1"/>
    <col min="5" max="5" width="12.796875" customWidth="1"/>
    <col min="6" max="7" width="12.6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s="42" t="s">
        <v>69</v>
      </c>
      <c r="G2" s="41"/>
      <c r="I2" s="2"/>
    </row>
    <row r="3" spans="1:256" ht="15.8" customHeight="1" x14ac:dyDescent="0.25">
      <c r="F3" s="49" t="s">
        <v>79</v>
      </c>
      <c r="I3" s="2"/>
    </row>
    <row r="4" spans="1:256" ht="14.95" customHeight="1" thickBot="1" x14ac:dyDescent="0.3">
      <c r="E4" s="2"/>
      <c r="G4" s="39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5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5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5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5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5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5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5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5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5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5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5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5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5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5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5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5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5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5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5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5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5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5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5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5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5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5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5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5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5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5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5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5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5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5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5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5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5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5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5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5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5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5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5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5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5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5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6.3" thickBot="1" x14ac:dyDescent="0.3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5" customHeight="1" thickTop="1" thickBot="1" x14ac:dyDescent="0.3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5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5">
      <c r="A60" s="1" t="s">
        <v>57</v>
      </c>
      <c r="B60" s="23"/>
      <c r="C60" s="23"/>
      <c r="D60" s="24">
        <f>March!D60+C60</f>
        <v>2490</v>
      </c>
    </row>
    <row r="61" spans="1:256" x14ac:dyDescent="0.25">
      <c r="A61" s="1" t="s">
        <v>58</v>
      </c>
      <c r="B61" s="23"/>
      <c r="C61" s="23"/>
      <c r="D61" s="24">
        <f>March!D61+C61</f>
        <v>0</v>
      </c>
    </row>
    <row r="62" spans="1:256" x14ac:dyDescent="0.25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5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5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5">
      <c r="A65" s="1" t="s">
        <v>60</v>
      </c>
      <c r="C65" s="23"/>
      <c r="D65" s="24">
        <f>March!D65+C65</f>
        <v>0</v>
      </c>
    </row>
    <row r="66" spans="1:4" x14ac:dyDescent="0.25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5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5" activePane="bottomLeft" state="frozen"/>
      <selection pane="bottomLeft" activeCell="B40" sqref="B40"/>
    </sheetView>
  </sheetViews>
  <sheetFormatPr defaultColWidth="11.796875" defaultRowHeight="15.65" x14ac:dyDescent="0.25"/>
  <cols>
    <col min="1" max="1" width="16.796875" style="1" customWidth="1"/>
    <col min="2" max="2" width="12.59765625" customWidth="1"/>
    <col min="3" max="3" width="12.296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70</v>
      </c>
      <c r="I2" s="2"/>
    </row>
    <row r="3" spans="1:256" x14ac:dyDescent="0.25">
      <c r="F3" s="49" t="s">
        <v>79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5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5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5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5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5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5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5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5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5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5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5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5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5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5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5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5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5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5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5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5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5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5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5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5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5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5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5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5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5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5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5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5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5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5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5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5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5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5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5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5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5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5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5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5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5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5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6.3" thickBot="1" x14ac:dyDescent="0.3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5" customHeight="1" thickTop="1" thickBot="1" x14ac:dyDescent="0.3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30"/>
      <c r="C56" s="30"/>
      <c r="D56" s="30"/>
      <c r="E56" s="30"/>
      <c r="F56" s="31"/>
      <c r="G56" s="31"/>
    </row>
    <row r="57" spans="1:256" ht="16.3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5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5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5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5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5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5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5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5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5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5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5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2.59765625" bestFit="1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62"/>
      <c r="C2" s="31"/>
      <c r="D2" s="62"/>
      <c r="E2" s="31"/>
      <c r="F2" t="s">
        <v>71</v>
      </c>
      <c r="I2" s="2"/>
    </row>
    <row r="3" spans="1:256" x14ac:dyDescent="0.25">
      <c r="F3" t="s">
        <v>77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5">
      <c r="A8" s="11" t="s">
        <v>64</v>
      </c>
      <c r="B8" s="82"/>
      <c r="C8" s="12">
        <f>May!C8+B8</f>
        <v>0</v>
      </c>
      <c r="D8" s="84">
        <f>1+1+1+1+16</f>
        <v>20</v>
      </c>
      <c r="E8" s="12">
        <f>May!E8+D8</f>
        <v>22</v>
      </c>
      <c r="F8" s="12"/>
      <c r="G8" s="12">
        <f>May!G8+F8</f>
        <v>0</v>
      </c>
    </row>
    <row r="9" spans="1:256" x14ac:dyDescent="0.25">
      <c r="A9" s="11" t="s">
        <v>7</v>
      </c>
      <c r="B9" s="79">
        <f>540+750+550+850+625+1225+2597+2165+2002+2375+115+1180+1080+520+560+1080+1080+1080+884+1080+1080+525+750+625+875+617</f>
        <v>26810</v>
      </c>
      <c r="C9" s="12">
        <f>May!C9+B9</f>
        <v>119376</v>
      </c>
      <c r="D9" s="81">
        <f>9+19</f>
        <v>28</v>
      </c>
      <c r="E9" s="12">
        <f>May!E9+D9</f>
        <v>41</v>
      </c>
      <c r="F9" s="12"/>
      <c r="G9" s="12">
        <f>May!G9+F9</f>
        <v>0</v>
      </c>
    </row>
    <row r="10" spans="1:256" x14ac:dyDescent="0.25">
      <c r="A10" s="11" t="s">
        <v>8</v>
      </c>
      <c r="B10" s="82"/>
      <c r="C10" s="12">
        <f>May!C10+B10</f>
        <v>0</v>
      </c>
      <c r="D10" s="84">
        <f>16+16+15+17+15+6</f>
        <v>85</v>
      </c>
      <c r="E10" s="12">
        <f>May!E10+D10</f>
        <v>86</v>
      </c>
      <c r="F10" s="12"/>
      <c r="G10" s="12">
        <f>May!G10+F10</f>
        <v>0</v>
      </c>
    </row>
    <row r="11" spans="1:256" x14ac:dyDescent="0.25">
      <c r="A11" s="99" t="s">
        <v>52</v>
      </c>
      <c r="B11" s="82">
        <v>208064</v>
      </c>
      <c r="C11" s="12">
        <f>May!C11+B11</f>
        <v>1357169</v>
      </c>
      <c r="D11" s="84">
        <v>1248</v>
      </c>
      <c r="E11" s="12">
        <f>May!E11+D11</f>
        <v>4827</v>
      </c>
      <c r="F11" s="12">
        <v>9974</v>
      </c>
      <c r="G11" s="12">
        <f>May!G11+F11</f>
        <v>64126</v>
      </c>
    </row>
    <row r="12" spans="1:256" x14ac:dyDescent="0.25">
      <c r="A12" s="11" t="s">
        <v>9</v>
      </c>
      <c r="B12" s="79">
        <f>850+850+950+950+1650+2475+2475+825+2475+475+1735+2475+1100+740+2475+1375+1800+900+880+2475+2175+350+2475+2475+400+2350+1950+2350+1400+950+2350+69661</f>
        <v>118816</v>
      </c>
      <c r="C12" s="12">
        <f>May!C12+B12</f>
        <v>688231</v>
      </c>
      <c r="D12" s="84">
        <f>5+2+4+1+4</f>
        <v>16</v>
      </c>
      <c r="E12" s="12">
        <f>May!E12+D12</f>
        <v>882</v>
      </c>
      <c r="F12" s="12"/>
      <c r="G12" s="12">
        <f>May!G12+F12</f>
        <v>0</v>
      </c>
    </row>
    <row r="13" spans="1:256" x14ac:dyDescent="0.25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79"/>
      <c r="C14" s="12">
        <f>May!C14+B14</f>
        <v>0</v>
      </c>
      <c r="D14" s="84">
        <f>4</f>
        <v>4</v>
      </c>
      <c r="E14" s="12">
        <f>May!E14+D14</f>
        <v>4</v>
      </c>
      <c r="F14" s="12"/>
      <c r="G14" s="12">
        <f>May!G14+F14</f>
        <v>0</v>
      </c>
    </row>
    <row r="15" spans="1:256" x14ac:dyDescent="0.25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5">
      <c r="A16" s="11" t="s">
        <v>13</v>
      </c>
      <c r="B16" s="79">
        <f>1000</f>
        <v>1000</v>
      </c>
      <c r="C16" s="12">
        <f>May!C16+B16</f>
        <v>14550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5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15</v>
      </c>
      <c r="B18" s="79">
        <f>775+684+822+1450+1550+1700+1500+1500+1020+1300+842+250+1500+1400+672+687+616+400+1020+1350+1300+1060+1060+1060+1060+730+711+710+1244+1550+1200+1200+1200+1200+1200+1246+624+631+2011+671+671+672+267+425+400+500+860+1450+1500+300+1200+1200+1200+1200+1200+267+267+415+267+410+410+550+300+400+157+350+300+337429</f>
        <v>397273</v>
      </c>
      <c r="C18" s="12">
        <f>May!C18+B18</f>
        <v>2525527</v>
      </c>
      <c r="D18" s="84">
        <f>36+5+29+111+120+61+4+20+31+5+6+1782</f>
        <v>2210</v>
      </c>
      <c r="E18" s="12">
        <f>May!E18+D18</f>
        <v>13696</v>
      </c>
      <c r="F18" s="12"/>
      <c r="G18" s="12">
        <f>May!G18+F18</f>
        <v>0</v>
      </c>
    </row>
    <row r="19" spans="1:7" x14ac:dyDescent="0.25">
      <c r="A19" s="11" t="s">
        <v>16</v>
      </c>
      <c r="B19" s="82">
        <f>1+1+8+4+28+12+5+13+4+40+49+2+3+7+30+6+304+35+3+10+18+4+49+9+21737</f>
        <v>22382</v>
      </c>
      <c r="C19" s="12">
        <f>May!C19+B19</f>
        <v>162317</v>
      </c>
      <c r="D19" s="84">
        <v>559</v>
      </c>
      <c r="E19" s="12">
        <f>May!E19+D19</f>
        <v>939</v>
      </c>
      <c r="F19" s="12"/>
      <c r="G19" s="12">
        <f>May!G19+F19</f>
        <v>0</v>
      </c>
    </row>
    <row r="20" spans="1:7" x14ac:dyDescent="0.25">
      <c r="A20" s="11" t="s">
        <v>17</v>
      </c>
      <c r="B20" s="82">
        <f>242+550+2000+1615+8876</f>
        <v>13283</v>
      </c>
      <c r="C20" s="12">
        <f>May!C20+B20</f>
        <v>119434</v>
      </c>
      <c r="D20" s="84">
        <f>1+2+1+3+8+4+2+1+9+160</f>
        <v>191</v>
      </c>
      <c r="E20" s="12">
        <f>May!E20+D20</f>
        <v>2241</v>
      </c>
      <c r="F20" s="12"/>
      <c r="G20" s="12">
        <f>May!G20+F20</f>
        <v>0</v>
      </c>
    </row>
    <row r="21" spans="1:7" x14ac:dyDescent="0.25">
      <c r="A21" s="11" t="s">
        <v>18</v>
      </c>
      <c r="B21" s="82"/>
      <c r="C21" s="12">
        <f>May!C21+B21</f>
        <v>0</v>
      </c>
      <c r="D21" s="84">
        <f>3+170+171+160+19</f>
        <v>523</v>
      </c>
      <c r="E21" s="12">
        <f>May!E21+D21</f>
        <v>2187</v>
      </c>
      <c r="F21" s="12"/>
      <c r="G21" s="12">
        <f>May!G21+F21</f>
        <v>0</v>
      </c>
    </row>
    <row r="22" spans="1:7" x14ac:dyDescent="0.25">
      <c r="A22" s="11" t="s">
        <v>19</v>
      </c>
      <c r="B22" s="82"/>
      <c r="C22" s="12">
        <f>May!C22+B22</f>
        <v>0</v>
      </c>
      <c r="D22" s="84">
        <f>14+8+22</f>
        <v>44</v>
      </c>
      <c r="E22" s="12">
        <f>May!E22+D22</f>
        <v>54</v>
      </c>
      <c r="F22" s="12"/>
      <c r="G22" s="12">
        <f>May!G22+F22</f>
        <v>0</v>
      </c>
    </row>
    <row r="23" spans="1:7" x14ac:dyDescent="0.25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23</v>
      </c>
      <c r="B26" s="82">
        <v>4500</v>
      </c>
      <c r="C26" s="12">
        <f>May!C26+B26</f>
        <v>8965</v>
      </c>
      <c r="D26" s="84">
        <f>44+2434</f>
        <v>2478</v>
      </c>
      <c r="E26" s="12">
        <f>May!E26+D26</f>
        <v>8645</v>
      </c>
      <c r="F26" s="12"/>
      <c r="G26" s="12">
        <f>May!G26+F26</f>
        <v>0</v>
      </c>
    </row>
    <row r="27" spans="1:7" x14ac:dyDescent="0.25">
      <c r="A27" s="11" t="s">
        <v>24</v>
      </c>
      <c r="B27" s="82">
        <f>40+180+210+340+2056+2056+650+650+630+350+430+410+700+700+650+640+650+570+500+600+600+600+600+420+550+850+510+685+270+403+650+276+1040+667+21+678+8+675+19+1200+106+699+400+660+650+180+400+2200+2130+1010+1010+410+670+440+550+670+560+2060+1000+1410+670+650+550+550+403+380+605+230+230+410+540+3510+425+410+440+403+40+2400+180+180+740+150+656+12+20+668+850+1490+470+3100+230+230+550+410+480+650+403+400+305+128940</f>
        <v>194909</v>
      </c>
      <c r="C27" s="12">
        <f>May!C27+B27</f>
        <v>1257790</v>
      </c>
      <c r="D27" s="84">
        <f>2+3+4+2+2+7+12+19+4+4+40+4+200+2+590</f>
        <v>895</v>
      </c>
      <c r="E27" s="12">
        <f>May!E27+D27</f>
        <v>7682</v>
      </c>
      <c r="F27" s="12"/>
      <c r="G27" s="12">
        <f>May!G27+F27</f>
        <v>56</v>
      </c>
    </row>
    <row r="28" spans="1:7" x14ac:dyDescent="0.25">
      <c r="A28" s="11" t="s">
        <v>25</v>
      </c>
      <c r="B28" s="82">
        <v>67775</v>
      </c>
      <c r="C28" s="12">
        <f>May!C28+B28</f>
        <v>384220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5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+950+610+640+950+1220+725+960+1250+980+850+960+972+1100+1100+1100+2200+1100+2200+1100+3300+1250+1100+1100+2200+1100+3300+1000+2100+300+326+640+1100+3300+1100+2200+2200+3300+690+690+689+690+1220+850+960+800+610+850+960+980+620+675+1280+1220+450+350+1100+1100+1100+1100+1100+500+2100+5100+3300+5500+6200+3300+1200+2700+3300+3300+1100+109+3300+1100+610+850+640+972+1220+850+960+1298+1220+850+960+696+696+481+100+2500+600+2117+5120+2320+1765+520+560+620+1563+1240+1240+1325+1250+2500+132+374+590+700+855+296+1318+600+660+600+600+564+304+1128+1130+1312+656+193520</f>
        <v>408276</v>
      </c>
      <c r="C29" s="12">
        <f>May!C29+B29</f>
        <v>2075233</v>
      </c>
      <c r="D29" s="84">
        <f>1+5+2+5+3+2+8+113</f>
        <v>139</v>
      </c>
      <c r="E29" s="12">
        <f>May!E29+D29</f>
        <v>604</v>
      </c>
      <c r="F29" s="12"/>
      <c r="G29" s="12">
        <f>May!G29+F29</f>
        <v>69</v>
      </c>
    </row>
    <row r="30" spans="1:7" x14ac:dyDescent="0.25">
      <c r="A30" s="11" t="s">
        <v>27</v>
      </c>
      <c r="B30" s="82">
        <v>2200</v>
      </c>
      <c r="C30" s="12">
        <f>May!C30+B30</f>
        <v>27760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5">
      <c r="A31" s="11" t="s">
        <v>28</v>
      </c>
      <c r="B31" s="82">
        <f>1287+1060+700+900+1287+1060+700+1456+1060+600+1456+1000+700+675+490+2400+900+700+700+1300+700+700+600+600+600+1287+700+50+160+600+600+13+1200+550+445+620+725+490+725+165+1040+1067+400+1300+625+1300+1300+94+600+600+600+164630</f>
        <v>205517</v>
      </c>
      <c r="C31" s="12">
        <f>May!C31+B31</f>
        <v>1016639</v>
      </c>
      <c r="D31" s="81">
        <f>6+400+1+45+1+1+1+625+2+215+650+400+123+515+100+6+6+6+40+156+1+12+1+675+625+1+1+23+1+23+1+2+2+1+550+222+5+63+120+4+52+44+60+500+400+400+122+122+45+45+216+5+2+2+16</f>
        <v>7663</v>
      </c>
      <c r="E31" s="12">
        <f>May!E31+D31</f>
        <v>42185</v>
      </c>
      <c r="F31" s="12"/>
      <c r="G31" s="12">
        <f>May!G31+F31</f>
        <v>0</v>
      </c>
    </row>
    <row r="32" spans="1:7" x14ac:dyDescent="0.25">
      <c r="A32" s="11" t="s">
        <v>29</v>
      </c>
      <c r="B32" s="82"/>
      <c r="C32" s="12">
        <f>May!C32+B32</f>
        <v>0</v>
      </c>
      <c r="D32" s="84">
        <f>1</f>
        <v>1</v>
      </c>
      <c r="E32" s="12">
        <f>May!E32+D32</f>
        <v>1</v>
      </c>
      <c r="F32" s="12"/>
      <c r="G32" s="12">
        <f>May!G32+F32</f>
        <v>0</v>
      </c>
    </row>
    <row r="33" spans="1:7" x14ac:dyDescent="0.25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32</v>
      </c>
      <c r="B35" s="82"/>
      <c r="C35" s="12">
        <f>May!C35+B35</f>
        <v>0</v>
      </c>
      <c r="D35" s="84">
        <f>6</f>
        <v>6</v>
      </c>
      <c r="E35" s="12">
        <f>May!E35+D35</f>
        <v>6</v>
      </c>
      <c r="F35" s="12"/>
      <c r="G35" s="12">
        <f>May!G35+F35</f>
        <v>0</v>
      </c>
    </row>
    <row r="36" spans="1:7" x14ac:dyDescent="0.25">
      <c r="A36" s="11" t="s">
        <v>33</v>
      </c>
      <c r="B36" s="82"/>
      <c r="C36" s="12">
        <f>May!C36+B36</f>
        <v>0</v>
      </c>
      <c r="D36" s="84">
        <f>1</f>
        <v>1</v>
      </c>
      <c r="E36" s="12">
        <f>May!E36+D36</f>
        <v>1</v>
      </c>
      <c r="F36" s="12"/>
      <c r="G36" s="12">
        <f>May!G36+F36</f>
        <v>0</v>
      </c>
    </row>
    <row r="37" spans="1:7" x14ac:dyDescent="0.25">
      <c r="A37" s="11" t="s">
        <v>34</v>
      </c>
      <c r="B37" s="82">
        <v>102645</v>
      </c>
      <c r="C37" s="12">
        <f>May!C37+B37</f>
        <v>669547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35</v>
      </c>
      <c r="B38" s="82">
        <f>1350+1175+1175+1200+1200+2500+1200+1200+1150+1150+5000</f>
        <v>18300</v>
      </c>
      <c r="C38" s="12">
        <f>May!C38+B38</f>
        <v>192823</v>
      </c>
      <c r="D38" s="84">
        <f>5+1000+1000</f>
        <v>2005</v>
      </c>
      <c r="E38" s="12">
        <f>May!E38+D38</f>
        <v>5964</v>
      </c>
      <c r="F38" s="12"/>
      <c r="G38" s="12">
        <f>May!G38+F38</f>
        <v>0</v>
      </c>
    </row>
    <row r="39" spans="1:7" x14ac:dyDescent="0.25">
      <c r="A39" s="11" t="s">
        <v>36</v>
      </c>
      <c r="B39" s="82">
        <v>18456</v>
      </c>
      <c r="C39" s="12">
        <f>May!C39+B39</f>
        <v>93618</v>
      </c>
      <c r="D39" s="84">
        <f>4+4+4+1+2+4+3+5+5+2+4+4+4+4+5+3+3+1+685</f>
        <v>747</v>
      </c>
      <c r="E39" s="12">
        <f>May!E39+D39</f>
        <v>8638</v>
      </c>
      <c r="F39" s="12"/>
      <c r="G39" s="12">
        <f>May!G39+F39</f>
        <v>0</v>
      </c>
    </row>
    <row r="40" spans="1:7" x14ac:dyDescent="0.25">
      <c r="A40" s="11" t="s">
        <v>37</v>
      </c>
      <c r="B40" s="82">
        <f>2170+2160+2160+1500+1500+2160+1260+900+2160+1500+1500+1500+2160+1500+1750+1500+2160+122191+43234+156819</f>
        <v>351784</v>
      </c>
      <c r="C40" s="12">
        <f>May!C40+B40</f>
        <v>1227657</v>
      </c>
      <c r="D40" s="84">
        <f>1+2+13+65+13+10+3+1+12+12+15+36+21+11+2+8+6+7+1620</f>
        <v>1858</v>
      </c>
      <c r="E40" s="12">
        <f>May!E40+D40</f>
        <v>9966</v>
      </c>
      <c r="F40" s="12"/>
      <c r="G40" s="12">
        <f>May!G40+F40</f>
        <v>0</v>
      </c>
    </row>
    <row r="41" spans="1:7" x14ac:dyDescent="0.25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5">
      <c r="A42" s="11" t="s">
        <v>39</v>
      </c>
      <c r="B42" s="82"/>
      <c r="C42" s="12">
        <f>May!C42+B42</f>
        <v>0</v>
      </c>
      <c r="D42" s="84">
        <f>1+1+1+11+7</f>
        <v>21</v>
      </c>
      <c r="E42" s="12">
        <f>May!E42+D42</f>
        <v>3092</v>
      </c>
      <c r="F42" s="12"/>
      <c r="G42" s="12">
        <f>May!G42+F42</f>
        <v>0</v>
      </c>
    </row>
    <row r="43" spans="1:7" x14ac:dyDescent="0.25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5">
      <c r="A44" s="11" t="s">
        <v>41</v>
      </c>
      <c r="B44" s="82">
        <v>3000</v>
      </c>
      <c r="C44" s="12">
        <f>May!C44+B44</f>
        <v>8800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42</v>
      </c>
      <c r="B45" s="79">
        <f>308+27+124+2400+600+600+1350+1350+1350+650+600+1200+1225+1680+600+1225+53815</f>
        <v>69104</v>
      </c>
      <c r="C45" s="12">
        <f>May!C45+B45</f>
        <v>313449</v>
      </c>
      <c r="D45" s="84">
        <f>240+229+128+210+2+3+1+14+1+7+1+3+2+1356</f>
        <v>2197</v>
      </c>
      <c r="E45" s="12">
        <f>May!E45+D45</f>
        <v>10048</v>
      </c>
      <c r="F45" s="12"/>
      <c r="G45" s="12">
        <f>May!G45+F45</f>
        <v>0</v>
      </c>
    </row>
    <row r="46" spans="1:7" x14ac:dyDescent="0.25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5">
      <c r="A47" s="11" t="s">
        <v>44</v>
      </c>
      <c r="B47" s="82">
        <v>60449</v>
      </c>
      <c r="C47" s="12">
        <f>May!C47+B47</f>
        <v>450012</v>
      </c>
      <c r="D47" s="84">
        <f>2+10+14+5+9+3+20+29+11</f>
        <v>103</v>
      </c>
      <c r="E47" s="12">
        <f>May!E47+D47</f>
        <v>207</v>
      </c>
      <c r="F47" s="12"/>
      <c r="G47" s="12">
        <f>May!G47+F47</f>
        <v>0</v>
      </c>
    </row>
    <row r="48" spans="1:7" x14ac:dyDescent="0.25">
      <c r="A48" s="11" t="s">
        <v>45</v>
      </c>
      <c r="B48" s="82">
        <v>31452</v>
      </c>
      <c r="C48" s="12">
        <f>May!C48+B48</f>
        <v>193267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5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5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50</v>
      </c>
      <c r="B53" s="82">
        <f>100+110+300+160+58+600+2100+400+1100+400+87+40+850+800+18+450+800+235+425+150+250+150+100+350+150+350+250+250+120+160+120+600+2000</f>
        <v>14033</v>
      </c>
      <c r="C53" s="12">
        <f>May!C53+B53</f>
        <v>84847</v>
      </c>
      <c r="D53" s="84">
        <f>12+34+18+4+4+5+18+3</f>
        <v>98</v>
      </c>
      <c r="E53" s="12">
        <f>May!E53+D53</f>
        <v>153</v>
      </c>
      <c r="F53" s="12"/>
      <c r="G53" s="12">
        <f>May!G53+F53</f>
        <v>0</v>
      </c>
    </row>
    <row r="54" spans="1:256" ht="16.3" thickBot="1" x14ac:dyDescent="0.3">
      <c r="A54" s="11" t="s">
        <v>51</v>
      </c>
      <c r="B54" s="82">
        <f>2360+2360+1840+520+2360+2360+11255</f>
        <v>23055</v>
      </c>
      <c r="C54" s="12">
        <f>May!C54+B54</f>
        <v>168511</v>
      </c>
      <c r="D54" s="84"/>
      <c r="E54" s="12">
        <f>May!E54+D54</f>
        <v>0</v>
      </c>
      <c r="F54" s="12"/>
      <c r="G54" s="12">
        <f>May!G54+F54</f>
        <v>0</v>
      </c>
    </row>
    <row r="55" spans="1:256" ht="26.15" customHeight="1" thickBot="1" x14ac:dyDescent="0.3">
      <c r="A55" s="14" t="s">
        <v>53</v>
      </c>
      <c r="B55" s="15">
        <f>SUM(B7:B54)</f>
        <v>2363083</v>
      </c>
      <c r="C55" s="15">
        <f>May!C55+B55</f>
        <v>13173838</v>
      </c>
      <c r="D55" s="15">
        <f>SUM(D7:D54)</f>
        <v>23140</v>
      </c>
      <c r="E55" s="15">
        <f>May!E55+D55</f>
        <v>122174</v>
      </c>
      <c r="F55" s="15">
        <f>SUM(F7:F54)</f>
        <v>9974</v>
      </c>
      <c r="G55" s="15">
        <f>May!G55+F55</f>
        <v>64251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5">
      <c r="A59" s="1" t="s">
        <v>56</v>
      </c>
      <c r="B59" s="23"/>
      <c r="C59" s="23">
        <v>2665</v>
      </c>
      <c r="D59" s="24">
        <f>May!D59+C59</f>
        <v>15550</v>
      </c>
    </row>
    <row r="60" spans="1:256" x14ac:dyDescent="0.25">
      <c r="A60" s="1" t="s">
        <v>57</v>
      </c>
      <c r="B60" s="23"/>
      <c r="C60" s="23"/>
      <c r="D60" s="24">
        <f>May!D60+C60</f>
        <v>2490</v>
      </c>
    </row>
    <row r="61" spans="1:256" x14ac:dyDescent="0.25">
      <c r="A61" s="1" t="s">
        <v>58</v>
      </c>
      <c r="B61" s="23"/>
      <c r="C61" s="23"/>
      <c r="D61" s="24">
        <f>May!D61+C61</f>
        <v>0</v>
      </c>
    </row>
    <row r="62" spans="1:256" x14ac:dyDescent="0.25">
      <c r="A62" s="1" t="s">
        <v>59</v>
      </c>
      <c r="B62" s="23"/>
      <c r="C62" s="23">
        <f>280+120+280+135+115+45+175+175+280+135+115+45+120+280+160+125+110+600+110+15+8+200+8+175+96+25+8+50+30+204+310+160+810+685+2280+1124+1295+1280+720+7440</f>
        <v>20328</v>
      </c>
      <c r="D62" s="24">
        <f>May!D62+C62</f>
        <v>153573</v>
      </c>
    </row>
    <row r="63" spans="1:256" x14ac:dyDescent="0.25">
      <c r="A63" s="1" t="s">
        <v>65</v>
      </c>
      <c r="B63" s="23"/>
      <c r="C63" s="23">
        <f>320+35+487+75+286+170+106+45+270+275+170+375+257+320+175+275+320+75+170+52+24+260+45+290+45+106+52+170+275+75+80+275+75+320+295+145+240+75+1073+242+320+106+45+270+80+275+75+170+324+45+240+275+75+170+52+320+275+175+20+320+399+106+45+290+80+275+75+170</f>
        <v>13492</v>
      </c>
      <c r="D63" s="24">
        <f>May!D63+C63</f>
        <v>89263</v>
      </c>
    </row>
    <row r="64" spans="1:256" x14ac:dyDescent="0.25">
      <c r="A64" s="1" t="s">
        <v>63</v>
      </c>
      <c r="B64" s="23"/>
      <c r="C64" s="23">
        <f>130+45+120+126+22+230+85+8+55+35+70+140+37+8+72+72+37+8+175+85+95+140+155+85+58+22+188+35+40+72+190+22+58+245+70+55+77+8+175+120+35+70+140+72+70+85+95+185+34+85+40+58+22+153+105+72+148+7+220+35+280+28+110+65+95+140+46+34+65+70+176+70+35+8+142+40+80+230+15+70+55+40+16+66+74+196+64+110+37+63+260+140+100+95+68+70+78+205+370+230+17+65+55+48+56+140+135+70+150+70+164+22+245+85+138+49+135+90+150+70+80+38+7+175+65+35+260+35+56+70+47+65+55+48+72+72+35+20+86+70+185+180+150+188+35+40+95+70+68+68+405+170+247+65+55+48+56+275+70+150+70+164+22+245+85+57+130+135+90+150+70+88+37+175+65+95+140+95+56+72+37+8+65+55+8+40+72+72+55+70+86+185+180+50+188+35+40</f>
        <v>18589</v>
      </c>
      <c r="D64" s="24">
        <f>May!D64+C64</f>
        <v>104668</v>
      </c>
    </row>
    <row r="65" spans="1:4" x14ac:dyDescent="0.25">
      <c r="A65" s="1" t="s">
        <v>60</v>
      </c>
      <c r="C65" s="23"/>
      <c r="D65" s="24">
        <f>May!D65+C65</f>
        <v>0</v>
      </c>
    </row>
    <row r="66" spans="1:4" x14ac:dyDescent="0.25">
      <c r="A66" s="1" t="s">
        <v>61</v>
      </c>
      <c r="C66" s="23">
        <f>130+270+79+77+100+287+87+60+140+70+87+87+482+170+77+280+70+87+77+90+140+60+87+87+287+87+180+185+70+60+77+160+776</f>
        <v>5063</v>
      </c>
      <c r="D66" s="24">
        <f>May!D66+C66</f>
        <v>40455</v>
      </c>
    </row>
    <row r="67" spans="1:4" x14ac:dyDescent="0.25">
      <c r="A67" s="1" t="s">
        <v>62</v>
      </c>
      <c r="C67" s="23">
        <f>300</f>
        <v>300</v>
      </c>
      <c r="D67" s="24">
        <f>May!D67+C67</f>
        <v>2750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33" sqref="B33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4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72</v>
      </c>
      <c r="I2" s="2"/>
    </row>
    <row r="3" spans="1:256" x14ac:dyDescent="0.25">
      <c r="F3" t="s">
        <v>77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9" t="s">
        <v>6</v>
      </c>
      <c r="B7" s="86">
        <f>954+250+704+954+1400</f>
        <v>4262</v>
      </c>
      <c r="C7" s="27">
        <f>June!C7+B7</f>
        <v>18336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5">
      <c r="A8" s="29" t="s">
        <v>64</v>
      </c>
      <c r="B8" s="86">
        <f>3000+2000+2381+2332+500</f>
        <v>10213</v>
      </c>
      <c r="C8" s="27">
        <f>June!C8+B8</f>
        <v>10213</v>
      </c>
      <c r="D8" s="87"/>
      <c r="E8" s="27">
        <f>June!E8+D8</f>
        <v>22</v>
      </c>
      <c r="F8" s="60"/>
      <c r="G8" s="27">
        <f>June!G8+F8</f>
        <v>0</v>
      </c>
    </row>
    <row r="9" spans="1:256" x14ac:dyDescent="0.25">
      <c r="A9" s="29" t="s">
        <v>7</v>
      </c>
      <c r="B9" s="86">
        <f>520+360+2440+2460+2496+540+575+600+900+750+900+550+900+575+1100+1100+1100+1100+200+1100+500+600+1100+900+1100+530+600+650+530</f>
        <v>26776</v>
      </c>
      <c r="C9" s="27">
        <f>June!C9+B9</f>
        <v>146152</v>
      </c>
      <c r="D9" s="87">
        <f>1</f>
        <v>1</v>
      </c>
      <c r="E9" s="27">
        <f>June!E9+D9</f>
        <v>42</v>
      </c>
      <c r="F9" s="60"/>
      <c r="G9" s="27">
        <f>June!G9+F9</f>
        <v>0</v>
      </c>
    </row>
    <row r="10" spans="1:256" x14ac:dyDescent="0.25">
      <c r="A10" s="29" t="s">
        <v>8</v>
      </c>
      <c r="B10" s="86"/>
      <c r="C10" s="27">
        <f>June!C10+B10</f>
        <v>0</v>
      </c>
      <c r="D10" s="87">
        <f>1+1+1</f>
        <v>3</v>
      </c>
      <c r="E10" s="27">
        <f>June!E10+D10</f>
        <v>89</v>
      </c>
      <c r="F10" s="60"/>
      <c r="G10" s="27">
        <f>June!G10+F10</f>
        <v>0</v>
      </c>
    </row>
    <row r="11" spans="1:256" x14ac:dyDescent="0.25">
      <c r="A11" s="102" t="s">
        <v>52</v>
      </c>
      <c r="B11" s="79">
        <v>194291</v>
      </c>
      <c r="C11" s="27">
        <f>June!C11+B11</f>
        <v>1551460</v>
      </c>
      <c r="D11" s="87">
        <v>1971</v>
      </c>
      <c r="E11" s="27">
        <f>June!E11+D11</f>
        <v>6798</v>
      </c>
      <c r="F11" s="60">
        <v>9517</v>
      </c>
      <c r="G11" s="27">
        <f>June!G11+F11</f>
        <v>73643</v>
      </c>
    </row>
    <row r="12" spans="1:256" x14ac:dyDescent="0.25">
      <c r="A12" s="29" t="s">
        <v>9</v>
      </c>
      <c r="B12" s="86">
        <f>2450+700+1750+2450+2450+700+950+1080+2000+2450+1500+2450+950+2450+500+2450+1950+2450+500+2450+1000+2150+850+2450+2450+130180</f>
        <v>173710</v>
      </c>
      <c r="C12" s="27">
        <f>June!C12+B12</f>
        <v>861941</v>
      </c>
      <c r="D12" s="87">
        <v>585</v>
      </c>
      <c r="E12" s="27">
        <f>June!E12+D12</f>
        <v>1467</v>
      </c>
      <c r="F12" s="60"/>
      <c r="G12" s="27">
        <f>June!G12+F12</f>
        <v>0</v>
      </c>
    </row>
    <row r="13" spans="1:256" x14ac:dyDescent="0.25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5">
      <c r="A14" s="29" t="s">
        <v>11</v>
      </c>
      <c r="B14" s="86"/>
      <c r="C14" s="27">
        <f>June!C14+B14</f>
        <v>0</v>
      </c>
      <c r="D14" s="87"/>
      <c r="E14" s="27">
        <f>June!E14+D14</f>
        <v>4</v>
      </c>
      <c r="F14" s="60"/>
      <c r="G14" s="27">
        <f>June!G14+F14</f>
        <v>0</v>
      </c>
    </row>
    <row r="15" spans="1:256" x14ac:dyDescent="0.25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5">
      <c r="A16" s="29" t="s">
        <v>13</v>
      </c>
      <c r="B16" s="86">
        <v>700</v>
      </c>
      <c r="C16" s="27">
        <f>June!C16+B16</f>
        <v>15250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5">
      <c r="A17" s="29" t="s">
        <v>14</v>
      </c>
      <c r="B17" s="86"/>
      <c r="C17" s="27">
        <f>June!C17+B17</f>
        <v>1</v>
      </c>
      <c r="D17" s="87">
        <f>1</f>
        <v>1</v>
      </c>
      <c r="E17" s="27">
        <f>June!E17+D17</f>
        <v>1</v>
      </c>
      <c r="F17" s="60"/>
      <c r="G17" s="27">
        <f>June!G17+F17</f>
        <v>0</v>
      </c>
    </row>
    <row r="18" spans="1:7" x14ac:dyDescent="0.25">
      <c r="A18" s="29" t="s">
        <v>15</v>
      </c>
      <c r="B18" s="86">
        <f>1060+1060+1000+3450+1450+850+1800+1450+1450+830+550+1500+1000+890+490+420+400+267+267+267+390+390+267+400+1037+633+629+615+1302+1303+408+408+408+408+408+408+625+1886+629+390+2334+207+954+1240+599+1197+600+600+1050+900+603+1080+700+835+1200+400+1500+267+410+267+400+410+300+510+350+510+375+1187+593+85+2781+410+840+1080+840+840+840+690+440+1130+1130+400+641+385+1450+830+1450+600+1080+1080+1080+1300+1200+1130+1300+375+375+157+385+385+1500+1400+1400+520+1000+1700+1350+785+715+785+70+410+370+300+157+410+365+1000+4130+1130+653+589+1200+852+1600+1600+320+628+642+1130+1200+744+744+744+744+638+745+744+398597</f>
        <v>515293</v>
      </c>
      <c r="C18" s="27">
        <f>June!C18+B18</f>
        <v>3040820</v>
      </c>
      <c r="D18" s="87">
        <f>1+36+10+8+120+19+22+110+120+24+1+1781</f>
        <v>2252</v>
      </c>
      <c r="E18" s="27">
        <f>June!E18+D18</f>
        <v>15948</v>
      </c>
      <c r="F18" s="60"/>
      <c r="G18" s="27">
        <f>June!G18+F18</f>
        <v>0</v>
      </c>
    </row>
    <row r="19" spans="1:7" x14ac:dyDescent="0.25">
      <c r="A19" s="29" t="s">
        <v>16</v>
      </c>
      <c r="B19" s="86">
        <v>25606</v>
      </c>
      <c r="C19" s="27">
        <f>June!C19+B19</f>
        <v>187923</v>
      </c>
      <c r="D19" s="87">
        <f>6+2+1+6+14+4+5+18+1+550</f>
        <v>607</v>
      </c>
      <c r="E19" s="27">
        <f>June!E19+D19</f>
        <v>1546</v>
      </c>
      <c r="F19" s="60"/>
      <c r="G19" s="27">
        <f>June!G19+F19</f>
        <v>0</v>
      </c>
    </row>
    <row r="20" spans="1:7" x14ac:dyDescent="0.25">
      <c r="A20" s="29" t="s">
        <v>17</v>
      </c>
      <c r="B20" s="86">
        <f>800+187+575+1266+9668</f>
        <v>12496</v>
      </c>
      <c r="C20" s="27">
        <f>June!C20+B20</f>
        <v>131930</v>
      </c>
      <c r="D20" s="87">
        <f>1+2+4+1+3+5+3+2+1+550</f>
        <v>572</v>
      </c>
      <c r="E20" s="27">
        <f>June!E20+D20</f>
        <v>2813</v>
      </c>
      <c r="F20" s="60"/>
      <c r="G20" s="27">
        <f>June!G20+F20</f>
        <v>0</v>
      </c>
    </row>
    <row r="21" spans="1:7" x14ac:dyDescent="0.25">
      <c r="A21" s="29" t="s">
        <v>18</v>
      </c>
      <c r="B21" s="86">
        <v>60</v>
      </c>
      <c r="C21" s="27">
        <f>June!C21+B21</f>
        <v>60</v>
      </c>
      <c r="D21" s="87">
        <f>130+170+280+170+172+2+2+4</f>
        <v>930</v>
      </c>
      <c r="E21" s="27">
        <f>June!E21+D21</f>
        <v>3117</v>
      </c>
      <c r="F21" s="60"/>
      <c r="G21" s="27">
        <f>June!G21+F21</f>
        <v>0</v>
      </c>
    </row>
    <row r="22" spans="1:7" x14ac:dyDescent="0.25">
      <c r="A22" s="29" t="s">
        <v>19</v>
      </c>
      <c r="B22" s="86"/>
      <c r="C22" s="27">
        <f>June!C22+B22</f>
        <v>0</v>
      </c>
      <c r="D22" s="87"/>
      <c r="E22" s="27">
        <f>June!E22+D22</f>
        <v>54</v>
      </c>
      <c r="F22" s="60"/>
      <c r="G22" s="27">
        <f>June!G22+F22</f>
        <v>0</v>
      </c>
    </row>
    <row r="23" spans="1:7" x14ac:dyDescent="0.25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5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5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5">
      <c r="A26" s="29" t="s">
        <v>23</v>
      </c>
      <c r="B26" s="86">
        <f>125+175+670+670+670+670+670+670</f>
        <v>4320</v>
      </c>
      <c r="C26" s="27">
        <f>June!C26+B26</f>
        <v>13285</v>
      </c>
      <c r="D26" s="87">
        <v>747</v>
      </c>
      <c r="E26" s="27">
        <f>June!E26+D26</f>
        <v>9392</v>
      </c>
      <c r="F26" s="60"/>
      <c r="G26" s="27">
        <f>June!G26+F26</f>
        <v>0</v>
      </c>
    </row>
    <row r="27" spans="1:7" x14ac:dyDescent="0.25">
      <c r="A27" s="29" t="s">
        <v>24</v>
      </c>
      <c r="B27" s="86">
        <f>670+650+650+200+975+4112+2400+2054+2054+1650+650+450+550+1700+3700+3300+2400+3000+2400+360+2400+790+555+555+455+1575+1575+275+410+375+1050+2100+2400+850+1500+1640+1920+668+23+120+445+575+975+800+700+460+640+730+590+76+2000+2100+400+500+780+230+390+500+400+600+600+2056+2056+675+650+650+560+410+410+1100+212+181+342+4112+1200+1200+430+965+287+284+560+780+2100+4120+45+45+45+677+16+62+45+1200+250+280+275+627+295+395+460+410+480+495+4060+1920+342+550+2500+2000+230+375+375+340+390+410+450+550+300+700+700+250+576+1150+550+580+580+550+270+1290+294+295+403+540+600+610+560+180+180+4200+650+600+950+283+4+610+515+934+3+440+117398</f>
        <v>253331</v>
      </c>
      <c r="C27" s="27">
        <f>June!C27+B27</f>
        <v>1511121</v>
      </c>
      <c r="D27" s="87">
        <f>84+84+30+120+500+5+212+116+45+212+116+108+933</f>
        <v>2565</v>
      </c>
      <c r="E27" s="27">
        <f>June!E27+D27</f>
        <v>10247</v>
      </c>
      <c r="F27" s="60"/>
      <c r="G27" s="27">
        <f>June!G27+F27</f>
        <v>56</v>
      </c>
    </row>
    <row r="28" spans="1:7" x14ac:dyDescent="0.25">
      <c r="A28" s="29" t="s">
        <v>25</v>
      </c>
      <c r="B28" s="86">
        <v>49500</v>
      </c>
      <c r="C28" s="27">
        <f>June!C28+B28</f>
        <v>433720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5">
      <c r="A29" s="29" t="s">
        <v>26</v>
      </c>
      <c r="B29" s="86">
        <f>450+775+775+1550+679+680+745+1490+679+680+800+1150+1600+700+720+1350+726+726+726+726+420+610+600+610+600+594+593+594+594+310+220+2196+721+668+664+770+888+594+1640+620+704+705+686+1372+1372+318+1334+666+1240+620+1082+1322+721+668+664+668+668+2466+2500+2464+2500+533+1300+1300+1940+1140+840+840+1940+355+675+700+2250+1250+1200+96+276+607+607+606+1940+1300+1290+1290+970+970+1066+1066+1066+1200+1800+1200+900+2240+1610+1940+920+920+920+1550+900+700+700+2775+1290+900+960+900+1290+1940+1958+250+600+780+780+664+610+810+250+100+213383</f>
        <v>334126</v>
      </c>
      <c r="C29" s="27">
        <f>June!C29+B29</f>
        <v>2409359</v>
      </c>
      <c r="D29" s="87">
        <f>6</f>
        <v>6</v>
      </c>
      <c r="E29" s="27">
        <f>June!E29+D29</f>
        <v>610</v>
      </c>
      <c r="F29" s="60">
        <f>21</f>
        <v>21</v>
      </c>
      <c r="G29" s="27">
        <f>June!G29+F29</f>
        <v>90</v>
      </c>
    </row>
    <row r="30" spans="1:7" x14ac:dyDescent="0.25">
      <c r="A30" s="29" t="s">
        <v>27</v>
      </c>
      <c r="B30" s="86">
        <f>1235+1170+1420+1320+1285+1320+1175+1358+1050+350+1205+1010+185+1190+1176+8310</f>
        <v>24759</v>
      </c>
      <c r="C30" s="27">
        <f>June!C30+B30</f>
        <v>52519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5">
      <c r="A31" s="29" t="s">
        <v>28</v>
      </c>
      <c r="B31" s="86">
        <f>700+700+700+700+600+600+900+490+600+600+500+550+1323+1050+1323+1323+1000+1289+1289+1289+1050+1100+1050+1379+1379+1379+1000+300+300+600+600+1290+115+1290+1200+1200+950+1260+115+1240+750+500+500+400+400+750+450+500+160+625+90+490+450+575+450+250+490+625+600+625+625+500+250+500+600+151400</f>
        <v>199878</v>
      </c>
      <c r="C31" s="27">
        <f>June!C31+B31</f>
        <v>1216517</v>
      </c>
      <c r="D31" s="87">
        <f>16+9+650+220+400+475+400+220+550+700+2+3+360+375+600+625+131+575+575+625+120</f>
        <v>7631</v>
      </c>
      <c r="E31" s="27">
        <f>June!E31+D31</f>
        <v>49816</v>
      </c>
      <c r="F31" s="60"/>
      <c r="G31" s="27">
        <f>June!G31+F31</f>
        <v>0</v>
      </c>
    </row>
    <row r="32" spans="1:7" x14ac:dyDescent="0.25">
      <c r="A32" s="29" t="s">
        <v>29</v>
      </c>
      <c r="B32" s="86"/>
      <c r="C32" s="27">
        <f>June!C32+B32</f>
        <v>0</v>
      </c>
      <c r="D32" s="87"/>
      <c r="E32" s="27">
        <f>June!E32+D32</f>
        <v>1</v>
      </c>
      <c r="F32" s="60"/>
      <c r="G32" s="27">
        <f>June!G32+F32</f>
        <v>0</v>
      </c>
    </row>
    <row r="33" spans="1:7" x14ac:dyDescent="0.25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5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5">
      <c r="A35" s="29" t="s">
        <v>32</v>
      </c>
      <c r="B35" s="86"/>
      <c r="C35" s="27">
        <f>June!C35+B35</f>
        <v>0</v>
      </c>
      <c r="D35" s="87"/>
      <c r="E35" s="27">
        <f>June!E35+D35</f>
        <v>6</v>
      </c>
      <c r="F35" s="60"/>
      <c r="G35" s="27">
        <f>June!G35+F35</f>
        <v>0</v>
      </c>
    </row>
    <row r="36" spans="1:7" x14ac:dyDescent="0.25">
      <c r="A36" s="29" t="s">
        <v>33</v>
      </c>
      <c r="B36" s="86"/>
      <c r="C36" s="27">
        <f>June!C36+B36</f>
        <v>0</v>
      </c>
      <c r="D36" s="87"/>
      <c r="E36" s="27">
        <f>June!E36+D36</f>
        <v>1</v>
      </c>
      <c r="F36" s="60"/>
      <c r="G36" s="27">
        <f>June!G36+F36</f>
        <v>0</v>
      </c>
    </row>
    <row r="37" spans="1:7" x14ac:dyDescent="0.25">
      <c r="A37" s="29" t="s">
        <v>34</v>
      </c>
      <c r="B37" s="86">
        <f>800+143302</f>
        <v>144102</v>
      </c>
      <c r="C37" s="27">
        <f>June!C37+B37</f>
        <v>813649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5">
      <c r="A38" s="29" t="s">
        <v>35</v>
      </c>
      <c r="B38" s="86">
        <f>1250+310+910+1200+1000+1830+500+330+1200+2450+1250+2400+1400+1400+2280+1125+1325+2330+1150+1300+715+1685+1560+815+710+1640+1260+1200+1200</f>
        <v>37725</v>
      </c>
      <c r="C38" s="27">
        <f>June!C38+B38</f>
        <v>230548</v>
      </c>
      <c r="D38" s="87">
        <f>1000+2000+2000+1000</f>
        <v>6000</v>
      </c>
      <c r="E38" s="27">
        <f>June!E38+D38</f>
        <v>11964</v>
      </c>
      <c r="F38" s="60"/>
      <c r="G38" s="27">
        <f>June!G38+F38</f>
        <v>0</v>
      </c>
    </row>
    <row r="39" spans="1:7" x14ac:dyDescent="0.25">
      <c r="A39" s="29" t="s">
        <v>36</v>
      </c>
      <c r="B39" s="86">
        <v>6960</v>
      </c>
      <c r="C39" s="27">
        <f>June!C39+B39</f>
        <v>100578</v>
      </c>
      <c r="D39" s="87">
        <v>1672</v>
      </c>
      <c r="E39" s="27">
        <f>June!E39+D39</f>
        <v>10310</v>
      </c>
      <c r="F39" s="60"/>
      <c r="G39" s="27">
        <f>June!G39+F39</f>
        <v>0</v>
      </c>
    </row>
    <row r="40" spans="1:7" x14ac:dyDescent="0.25">
      <c r="A40" s="29" t="s">
        <v>37</v>
      </c>
      <c r="B40" s="86">
        <f>2160+2484+2160+980+1640+2160+1620+2160+990+1036+1300+1631+1300+1410+1050+1390+1050+2630+1990+1000+2175+1530+2160+122191+22555+91442</f>
        <v>274194</v>
      </c>
      <c r="C40" s="27">
        <f>June!C40+B40</f>
        <v>1501851</v>
      </c>
      <c r="D40" s="87">
        <f>1+2+2+3078</f>
        <v>3083</v>
      </c>
      <c r="E40" s="27">
        <f>June!E40+D40</f>
        <v>13049</v>
      </c>
      <c r="F40" s="60"/>
      <c r="G40" s="27">
        <f>June!G40+F40</f>
        <v>0</v>
      </c>
    </row>
    <row r="41" spans="1:7" x14ac:dyDescent="0.25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5">
      <c r="A42" s="29" t="s">
        <v>39</v>
      </c>
      <c r="B42" s="86"/>
      <c r="C42" s="27">
        <f>June!C42+B42</f>
        <v>0</v>
      </c>
      <c r="D42" s="87">
        <f>5</f>
        <v>5</v>
      </c>
      <c r="E42" s="27">
        <f>June!E42+D42</f>
        <v>3097</v>
      </c>
      <c r="F42" s="60"/>
      <c r="G42" s="27">
        <f>June!G42+F42</f>
        <v>0</v>
      </c>
    </row>
    <row r="43" spans="1:7" x14ac:dyDescent="0.25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5">
      <c r="A44" s="29" t="s">
        <v>41</v>
      </c>
      <c r="B44" s="86"/>
      <c r="C44" s="27">
        <f>June!C44+B44</f>
        <v>8800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5">
      <c r="A45" s="29" t="s">
        <v>42</v>
      </c>
      <c r="B45" s="86">
        <f>640+640+1400+1400+1400+340+338+42+600+700+650+650+1650+1250+600+1350+1350+1350+1350+525+525+600+600+425+28533</f>
        <v>48908</v>
      </c>
      <c r="C45" s="27">
        <f>June!C45+B45</f>
        <v>362357</v>
      </c>
      <c r="D45" s="87">
        <f>8+60+1113</f>
        <v>1181</v>
      </c>
      <c r="E45" s="27">
        <f>June!E45+D45</f>
        <v>11229</v>
      </c>
      <c r="F45" s="60"/>
      <c r="G45" s="27">
        <f>June!G45+F45</f>
        <v>0</v>
      </c>
    </row>
    <row r="46" spans="1:7" x14ac:dyDescent="0.25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5">
      <c r="A47" s="29" t="s">
        <v>44</v>
      </c>
      <c r="B47" s="86">
        <v>107158</v>
      </c>
      <c r="C47" s="27">
        <f>June!C47+B47</f>
        <v>557170</v>
      </c>
      <c r="D47" s="87">
        <f>1+1+1+1+1+1+3+1+2+4+1</f>
        <v>17</v>
      </c>
      <c r="E47" s="27">
        <f>June!E47+D47</f>
        <v>224</v>
      </c>
      <c r="F47" s="60"/>
      <c r="G47" s="27">
        <f>June!G47+F47</f>
        <v>0</v>
      </c>
    </row>
    <row r="48" spans="1:7" x14ac:dyDescent="0.25">
      <c r="A48" s="29" t="s">
        <v>45</v>
      </c>
      <c r="B48" s="86">
        <v>37992</v>
      </c>
      <c r="C48" s="27">
        <f>June!C48+B48</f>
        <v>231259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5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5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5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5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5">
      <c r="A53" s="29" t="s">
        <v>50</v>
      </c>
      <c r="B53" s="86">
        <f>130+150+200+80+280+160+160+200+350+220+70+165+200+250+195+70+120+600+975+1200+600+1100+171+1200+47+36+400+1100+102+10+60+200+250+130+130+160+350+20</f>
        <v>11841</v>
      </c>
      <c r="C53" s="27">
        <f>June!C53+B53</f>
        <v>96688</v>
      </c>
      <c r="D53" s="87">
        <f>11</f>
        <v>11</v>
      </c>
      <c r="E53" s="27">
        <f>June!E53+D53</f>
        <v>164</v>
      </c>
      <c r="F53" s="60"/>
      <c r="G53" s="27">
        <f>June!G53+F53</f>
        <v>0</v>
      </c>
    </row>
    <row r="54" spans="1:256" ht="16.3" thickBot="1" x14ac:dyDescent="0.3">
      <c r="A54" s="29" t="s">
        <v>51</v>
      </c>
      <c r="B54" s="86">
        <f>2360+2360+15742</f>
        <v>20462</v>
      </c>
      <c r="C54" s="27">
        <f>June!C54+B54</f>
        <v>188973</v>
      </c>
      <c r="D54" s="87">
        <f>4</f>
        <v>4</v>
      </c>
      <c r="E54" s="27">
        <f>June!E54+D54</f>
        <v>4</v>
      </c>
      <c r="F54" s="60"/>
      <c r="G54" s="27">
        <f>June!G54+F54</f>
        <v>0</v>
      </c>
    </row>
    <row r="55" spans="1:256" s="28" customFormat="1" ht="26.15" customHeight="1" thickBot="1" x14ac:dyDescent="0.35">
      <c r="A55" s="93" t="s">
        <v>53</v>
      </c>
      <c r="B55" s="15">
        <f>SUM(B7:B54)</f>
        <v>2518663</v>
      </c>
      <c r="C55" s="15">
        <f>June!C55+B55</f>
        <v>15692501</v>
      </c>
      <c r="D55" s="15">
        <f>SUM(D7:D54)</f>
        <v>29844</v>
      </c>
      <c r="E55" s="15">
        <f>June!E55+D55</f>
        <v>152018</v>
      </c>
      <c r="F55" s="15">
        <f>SUM(F7:F54)</f>
        <v>9538</v>
      </c>
      <c r="G55" s="15">
        <f>June!G55+F55</f>
        <v>73789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x14ac:dyDescent="0.25">
      <c r="A56" s="19"/>
      <c r="B56" s="30"/>
      <c r="C56" s="30"/>
      <c r="D56" s="30"/>
      <c r="E56" s="30"/>
      <c r="F56" s="31"/>
      <c r="G56" s="31"/>
    </row>
    <row r="57" spans="1:256" ht="16.3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5">
      <c r="A58" s="32" t="s">
        <v>55</v>
      </c>
      <c r="B58" s="33"/>
      <c r="C58" s="34">
        <v>100</v>
      </c>
      <c r="D58" s="35">
        <f>June!D58+C58</f>
        <v>1400</v>
      </c>
      <c r="E58" s="30"/>
      <c r="F58" s="31"/>
      <c r="G58" s="31"/>
    </row>
    <row r="59" spans="1:256" x14ac:dyDescent="0.25">
      <c r="A59" s="32" t="s">
        <v>56</v>
      </c>
      <c r="B59" s="34"/>
      <c r="C59" s="34">
        <v>3170</v>
      </c>
      <c r="D59" s="35">
        <f>June!D59+C59</f>
        <v>18720</v>
      </c>
      <c r="E59" s="31"/>
      <c r="F59" s="31"/>
      <c r="G59" s="31"/>
    </row>
    <row r="60" spans="1:256" x14ac:dyDescent="0.25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5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5">
      <c r="A62" s="32" t="s">
        <v>59</v>
      </c>
      <c r="B62" s="34"/>
      <c r="C62" s="34">
        <f>320+115+45+280+175+120+135+280+115+320+45+175+120+240+600+26+135+610+1085+320+204+1700+2280+1124+420+780+115+45+280+175+120+135+115+280+45+280+175+120+280+135+175+36+8+111+38+30+18+50+30+116+16+15+315+280+45+280+175+120+80+135+280+45+175+280+120+135+3820</f>
        <v>20997</v>
      </c>
      <c r="D62" s="35">
        <f>June!D62+C62</f>
        <v>174570</v>
      </c>
      <c r="E62" s="31"/>
      <c r="F62" s="31"/>
      <c r="G62" s="31"/>
    </row>
    <row r="63" spans="1:256" x14ac:dyDescent="0.25">
      <c r="A63" s="32" t="s">
        <v>65</v>
      </c>
      <c r="B63" s="78"/>
      <c r="C63" s="34">
        <f>420+275+75+240+45+340+75+170+52+151+270+20+258+275+80+360+275+75+170+352+30+275+175+240+320+45+340+52+170+275+75+443+415+320+290+45+186+170+75+275+175+275+240+45+170+72+75+275+257+35+320+290+106+45+170+80+75+275+461+240+320+75+165+320+52+170+75+275+414+320+290+45+186+170+75+275</f>
        <v>15102</v>
      </c>
      <c r="D63" s="35">
        <f>June!D63+C63</f>
        <v>104365</v>
      </c>
      <c r="E63" s="31"/>
      <c r="F63" s="31"/>
      <c r="G63" s="31"/>
    </row>
    <row r="64" spans="1:256" x14ac:dyDescent="0.25">
      <c r="A64" s="32" t="s">
        <v>63</v>
      </c>
      <c r="B64" s="34"/>
      <c r="C64" s="34">
        <f>185+150+180+185+86+70+45+35+235+65+175+38+7+255+8+65+245+86+90+35+140+105+30+65+72+75+8+85+230+370+205+96+92+27+70+65+275+30+90+15+110+72+75+70+8+37+8+60+182+30+15+150+180+185+64+22+118+170+35+135+140+95+65+210+140+105+275+85+170+140+225+215+60+170+180+120+115+250+85+170+240+115+225+170+405+195+180+25+115+250+115+260+84+140+146+140+34+56+140+260+59+71</f>
        <v>12551</v>
      </c>
      <c r="D64" s="35">
        <f>June!D64+C64</f>
        <v>117219</v>
      </c>
      <c r="E64" s="31"/>
      <c r="F64" s="31"/>
      <c r="G64" s="31"/>
    </row>
    <row r="65" spans="1:7" x14ac:dyDescent="0.25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5">
      <c r="A66" s="32" t="s">
        <v>61</v>
      </c>
      <c r="C66" s="34">
        <f>80+185+83+77+125+140+70+85+87+40+185+185+50+78+77+55+87+140+220+87+70+145+60+83+317</f>
        <v>2811</v>
      </c>
      <c r="D66" s="35">
        <f>June!D66+C66</f>
        <v>43266</v>
      </c>
      <c r="E66" s="31"/>
      <c r="F66" s="31"/>
      <c r="G66" s="31"/>
    </row>
    <row r="67" spans="1:7" x14ac:dyDescent="0.25">
      <c r="A67" s="32" t="s">
        <v>62</v>
      </c>
      <c r="B67" s="31"/>
      <c r="C67" s="34">
        <v>450</v>
      </c>
      <c r="D67" s="35">
        <f>June!D67+C67</f>
        <v>3200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37" activePane="bottomLeft" state="frozen"/>
      <selection pane="bottomLeft" activeCell="B55" sqref="B55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.1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78</v>
      </c>
      <c r="I2" s="2"/>
    </row>
    <row r="3" spans="1:256" ht="12.9" customHeight="1" x14ac:dyDescent="0.25">
      <c r="F3" t="s">
        <v>77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July!C7+B7</f>
        <v>18336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5">
      <c r="A8" s="11" t="s">
        <v>64</v>
      </c>
      <c r="B8" s="82"/>
      <c r="C8" s="12">
        <f>July!C8+B8</f>
        <v>10213</v>
      </c>
      <c r="D8" s="84"/>
      <c r="E8" s="12">
        <f>July!E8+D8</f>
        <v>22</v>
      </c>
      <c r="F8" s="61"/>
      <c r="G8" s="12">
        <f>July!G8+F8</f>
        <v>0</v>
      </c>
    </row>
    <row r="9" spans="1:256" x14ac:dyDescent="0.25">
      <c r="A9" s="11" t="s">
        <v>7</v>
      </c>
      <c r="B9" s="82">
        <f>480+525+700+400+800+600+850+530+600+200+860+1060+1060+660+400+1060+1060+1060+1060+360+700+600+550+800+800+2280+2300+600+560+500</f>
        <v>24015</v>
      </c>
      <c r="C9" s="12">
        <f>July!C9+B9</f>
        <v>170167</v>
      </c>
      <c r="D9" s="84"/>
      <c r="E9" s="12">
        <f>July!E9+D9</f>
        <v>42</v>
      </c>
      <c r="F9" s="61"/>
      <c r="G9" s="12">
        <f>July!G9+F9</f>
        <v>0</v>
      </c>
    </row>
    <row r="10" spans="1:256" x14ac:dyDescent="0.25">
      <c r="A10" s="11" t="s">
        <v>8</v>
      </c>
      <c r="B10" s="82"/>
      <c r="C10" s="12">
        <f>July!C10+B10</f>
        <v>0</v>
      </c>
      <c r="D10" s="84"/>
      <c r="E10" s="12">
        <f>July!E10+D10</f>
        <v>89</v>
      </c>
      <c r="F10" s="61"/>
      <c r="G10" s="12">
        <f>July!G10+F10</f>
        <v>0</v>
      </c>
    </row>
    <row r="11" spans="1:256" x14ac:dyDescent="0.25">
      <c r="A11" s="99" t="s">
        <v>52</v>
      </c>
      <c r="B11" s="82">
        <v>239552</v>
      </c>
      <c r="C11" s="12">
        <f>July!C11+B11</f>
        <v>1791012</v>
      </c>
      <c r="D11" s="84">
        <v>1540</v>
      </c>
      <c r="E11" s="12">
        <f>July!E11+D11</f>
        <v>8338</v>
      </c>
      <c r="F11" s="61">
        <v>7762</v>
      </c>
      <c r="G11" s="12">
        <f>July!G11+F11</f>
        <v>81405</v>
      </c>
    </row>
    <row r="12" spans="1:256" x14ac:dyDescent="0.25">
      <c r="A12" s="11" t="s">
        <v>9</v>
      </c>
      <c r="B12" s="82">
        <f>2450+2450+1000+3100+1212+1351+2450+2450+2450+104+2450+600+2450+1500+2200+1800+2450+950+1700+2450+69323</f>
        <v>106890</v>
      </c>
      <c r="C12" s="12">
        <f>July!C12+B12</f>
        <v>968831</v>
      </c>
      <c r="D12" s="84">
        <v>1075</v>
      </c>
      <c r="E12" s="12">
        <f>July!E12+D12</f>
        <v>2542</v>
      </c>
      <c r="F12" s="61"/>
      <c r="G12" s="12">
        <f>July!G12+F12</f>
        <v>0</v>
      </c>
    </row>
    <row r="13" spans="1:256" x14ac:dyDescent="0.25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5">
      <c r="A14" s="11" t="s">
        <v>11</v>
      </c>
      <c r="B14" s="82"/>
      <c r="C14" s="12">
        <f>July!C14+B14</f>
        <v>0</v>
      </c>
      <c r="D14" s="84"/>
      <c r="E14" s="12">
        <f>July!E14+D14</f>
        <v>4</v>
      </c>
      <c r="F14" s="61"/>
      <c r="G14" s="12">
        <f>July!G14+F14</f>
        <v>0</v>
      </c>
    </row>
    <row r="15" spans="1:256" x14ac:dyDescent="0.25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5">
      <c r="A16" s="11" t="s">
        <v>13</v>
      </c>
      <c r="B16" s="82"/>
      <c r="C16" s="12">
        <f>July!C16+B16</f>
        <v>15250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5">
      <c r="A17" s="11" t="s">
        <v>14</v>
      </c>
      <c r="B17" s="82"/>
      <c r="C17" s="12">
        <f>July!C17+B17</f>
        <v>1</v>
      </c>
      <c r="D17" s="84"/>
      <c r="E17" s="12">
        <f>July!E17+D17</f>
        <v>1</v>
      </c>
      <c r="F17" s="61"/>
      <c r="G17" s="12">
        <f>July!G17+F17</f>
        <v>0</v>
      </c>
    </row>
    <row r="18" spans="1:7" x14ac:dyDescent="0.25">
      <c r="A18" s="11" t="s">
        <v>15</v>
      </c>
      <c r="B18" s="82">
        <f>1000+605+1000+1000+1200+3200+854+320+1200+265+215+215+260+265+310+215+310+265+260+500+410+265+215+490+370+1060+1060+1060+1245+1060+900+775+1350+2423+2300+3800+750+1960+1650+3500+2844+1246+1450+1600+2650+1200+950+1900+1418+2550+2000+1416+1418+1270+3425+2060+2560+1900+2600+1450+1450+320+805+350+370+900+250+1050+325+340+325+175+175+250+175+335+340+335+500+380+175+290+625+604+1040+1060+1040+1000+330+636+1128+1246+1244+636+401882</f>
        <v>500095</v>
      </c>
      <c r="C18" s="12">
        <f>July!C18+B18</f>
        <v>3540915</v>
      </c>
      <c r="D18" s="84">
        <f>410+120+410+410+50+60+260+260+20+410+410+410+50+2+4+9+1+4+1+1+1+3+120+100+4+500+3+3+120+987</f>
        <v>5143</v>
      </c>
      <c r="E18" s="12">
        <f>July!E18+D18</f>
        <v>21091</v>
      </c>
      <c r="F18" s="61"/>
      <c r="G18" s="12">
        <f>July!G18+F18</f>
        <v>0</v>
      </c>
    </row>
    <row r="19" spans="1:7" x14ac:dyDescent="0.25">
      <c r="A19" s="11" t="s">
        <v>16</v>
      </c>
      <c r="B19" s="82">
        <f>1050+1+22910</f>
        <v>23961</v>
      </c>
      <c r="C19" s="12">
        <f>July!C19+B19</f>
        <v>211884</v>
      </c>
      <c r="D19" s="84">
        <f>50</f>
        <v>50</v>
      </c>
      <c r="E19" s="12">
        <f>July!E19+D19</f>
        <v>1596</v>
      </c>
      <c r="F19" s="61"/>
      <c r="G19" s="12">
        <f>July!G19+F19</f>
        <v>0</v>
      </c>
    </row>
    <row r="20" spans="1:7" x14ac:dyDescent="0.25">
      <c r="A20" s="11" t="s">
        <v>17</v>
      </c>
      <c r="B20" s="82">
        <f>460+575+201+2000+30+1650+1470+110+140+15603</f>
        <v>22239</v>
      </c>
      <c r="C20" s="12">
        <f>July!C20+B20</f>
        <v>154169</v>
      </c>
      <c r="D20" s="84">
        <f>7+1+1+29+32+12+25+32+448</f>
        <v>587</v>
      </c>
      <c r="E20" s="12">
        <f>July!E20+D20</f>
        <v>3400</v>
      </c>
      <c r="F20" s="61"/>
      <c r="G20" s="12">
        <f>July!G20+F20</f>
        <v>0</v>
      </c>
    </row>
    <row r="21" spans="1:7" x14ac:dyDescent="0.25">
      <c r="A21" s="11" t="s">
        <v>18</v>
      </c>
      <c r="B21" s="82"/>
      <c r="C21" s="12">
        <f>July!C21+B21</f>
        <v>60</v>
      </c>
      <c r="D21" s="84">
        <f>165+165+24</f>
        <v>354</v>
      </c>
      <c r="E21" s="12">
        <f>July!E21+D21</f>
        <v>3471</v>
      </c>
      <c r="F21" s="61"/>
      <c r="G21" s="12">
        <f>July!G21+F21</f>
        <v>0</v>
      </c>
    </row>
    <row r="22" spans="1:7" x14ac:dyDescent="0.25">
      <c r="A22" s="11" t="s">
        <v>19</v>
      </c>
      <c r="B22" s="82"/>
      <c r="C22" s="12">
        <f>July!C22+B22</f>
        <v>0</v>
      </c>
      <c r="D22" s="84"/>
      <c r="E22" s="12">
        <f>July!E22+D22</f>
        <v>54</v>
      </c>
      <c r="F22" s="61"/>
      <c r="G22" s="12">
        <f>July!G22+F22</f>
        <v>0</v>
      </c>
    </row>
    <row r="23" spans="1:7" x14ac:dyDescent="0.25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5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5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5">
      <c r="A26" s="11" t="s">
        <v>23</v>
      </c>
      <c r="B26" s="82">
        <v>675</v>
      </c>
      <c r="C26" s="12">
        <f>July!C26+B26</f>
        <v>13960</v>
      </c>
      <c r="D26" s="84">
        <v>2045</v>
      </c>
      <c r="E26" s="12">
        <f>July!E26+D26</f>
        <v>11437</v>
      </c>
      <c r="F26" s="61"/>
      <c r="G26" s="12">
        <f>July!G26+F26</f>
        <v>0</v>
      </c>
    </row>
    <row r="27" spans="1:7" x14ac:dyDescent="0.25">
      <c r="A27" s="11" t="s">
        <v>24</v>
      </c>
      <c r="B27" s="82">
        <f>720+370+1200+765+250+630+670+230+1200+600+450+550+650+403+3030+283+122+450+675+650+2028+800+650+650+650+1300+700+670+630+1000+640+550+2031+2031+320+212+181+343+1065+1675+1170+2350+600+550+650+550+550+420+1600+630+1260+820+565+280+650+1300+650+2055+2055+2080+650+4000+2080+125480</f>
        <v>185019</v>
      </c>
      <c r="C27" s="12">
        <f>July!C27+B27</f>
        <v>1696140</v>
      </c>
      <c r="D27" s="84">
        <f>1+8+4+3+30+4711</f>
        <v>4757</v>
      </c>
      <c r="E27" s="12">
        <f>July!E27+D27</f>
        <v>15004</v>
      </c>
      <c r="F27" s="61">
        <f>500+500+500+500</f>
        <v>2000</v>
      </c>
      <c r="G27" s="12">
        <f>July!G27+F27</f>
        <v>2056</v>
      </c>
    </row>
    <row r="28" spans="1:7" x14ac:dyDescent="0.25">
      <c r="A28" s="11" t="s">
        <v>25</v>
      </c>
      <c r="B28" s="82">
        <v>72700</v>
      </c>
      <c r="C28" s="12">
        <f>July!C28+B28</f>
        <v>506420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5">
      <c r="A29" s="11" t="s">
        <v>26</v>
      </c>
      <c r="B29" s="82">
        <f>1791+1530+765+569+200+1250+1425+563+563+464+1325+80+1040+1225+1335+1544+76+768+330+3072+1100+1325+563+935+748+776+1552+776+166+195+765+1372+1372+644+1536+1536+768+1194+1288+711+977+1422+1322+3114+790+625+625+625+625+440+2440+4115+600+300+588+518+900+960+1300+900+960+1620+1200+960+980+960+900+960+1300+900+960+1940+1200+960+1620+525+1200+1100+1100+1250+1250+165+400+1300+500+1440+1620+1940+960+930+960+1250+960+930+687+687+87+687+3072+1082+2150+680+680+682+682+2+215+581+750+750+2489+960+950+1940+632+1893+1794+2245+204+573+573+295+631+632+631+631+747+990+2450+280+51+476+4350+960+960+1920+1610+990+960+1920+950+960+1300+950+960+350+746+235+252625</f>
        <v>407910</v>
      </c>
      <c r="C29" s="12">
        <f>July!C29+B29</f>
        <v>2817269</v>
      </c>
      <c r="D29" s="84">
        <f>2+911</f>
        <v>913</v>
      </c>
      <c r="E29" s="12">
        <f>July!E29+D29</f>
        <v>1523</v>
      </c>
      <c r="F29" s="61"/>
      <c r="G29" s="12">
        <f>July!G29+F29</f>
        <v>90</v>
      </c>
    </row>
    <row r="30" spans="1:7" x14ac:dyDescent="0.25">
      <c r="A30" s="11" t="s">
        <v>27</v>
      </c>
      <c r="B30" s="82">
        <v>7250</v>
      </c>
      <c r="C30" s="12">
        <f>July!C30+B30</f>
        <v>59769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5">
      <c r="A31" s="11" t="s">
        <v>28</v>
      </c>
      <c r="B31" s="82">
        <f>1160+1280+525+1285+1368+1285+1368+600+1285+1325+600+1620+630+1321+1330+1321+900+1330+1321+1368+700+700+700+1400+700+700+700+1400+600+600+143+490+100+1250+500+180+1250+640+2525+2525+840+3000+3025+2525+90+500+490+400+2000+600+805+650+625+500+700+1250+500+650+1250+170817</f>
        <v>232242</v>
      </c>
      <c r="C31" s="12">
        <f>July!C31+B31</f>
        <v>1448759</v>
      </c>
      <c r="D31" s="84">
        <f>26+3+26+189+13+210+400+2+44+5+605+240+2+44+26+26+600+600+475+50</f>
        <v>3586</v>
      </c>
      <c r="E31" s="12">
        <f>July!E31+D31</f>
        <v>53402</v>
      </c>
      <c r="F31" s="61"/>
      <c r="G31" s="12">
        <f>July!G31+F31</f>
        <v>0</v>
      </c>
    </row>
    <row r="32" spans="1:7" x14ac:dyDescent="0.25">
      <c r="A32" s="11" t="s">
        <v>29</v>
      </c>
      <c r="B32" s="82"/>
      <c r="C32" s="12">
        <f>July!C32+B32</f>
        <v>0</v>
      </c>
      <c r="D32" s="84"/>
      <c r="E32" s="12">
        <f>July!E32+D32</f>
        <v>1</v>
      </c>
      <c r="F32" s="61"/>
      <c r="G32" s="12">
        <f>July!G32+F32</f>
        <v>0</v>
      </c>
    </row>
    <row r="33" spans="1:7" x14ac:dyDescent="0.25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5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5">
      <c r="A35" s="11" t="s">
        <v>32</v>
      </c>
      <c r="B35" s="82"/>
      <c r="C35" s="12">
        <f>July!C35+B35</f>
        <v>0</v>
      </c>
      <c r="D35" s="84"/>
      <c r="E35" s="12">
        <f>July!E35+D35</f>
        <v>6</v>
      </c>
      <c r="F35" s="61"/>
      <c r="G35" s="12">
        <f>July!G35+F35</f>
        <v>0</v>
      </c>
    </row>
    <row r="36" spans="1:7" x14ac:dyDescent="0.25">
      <c r="A36" s="11" t="s">
        <v>33</v>
      </c>
      <c r="B36" s="82"/>
      <c r="C36" s="12">
        <f>July!C36+B36</f>
        <v>0</v>
      </c>
      <c r="D36" s="84"/>
      <c r="E36" s="12">
        <f>July!E36+D36</f>
        <v>1</v>
      </c>
      <c r="F36" s="61"/>
      <c r="G36" s="12">
        <f>July!G36+F36</f>
        <v>0</v>
      </c>
    </row>
    <row r="37" spans="1:7" x14ac:dyDescent="0.25">
      <c r="A37" s="11" t="s">
        <v>34</v>
      </c>
      <c r="B37" s="82">
        <v>133978</v>
      </c>
      <c r="C37" s="12">
        <f>July!C37+B37</f>
        <v>947627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5">
      <c r="A38" s="11" t="s">
        <v>35</v>
      </c>
      <c r="B38" s="82">
        <f>1200+1900+500+2450+600+1790+1000+1000+1000+1275+2350+2400+1000+2000+300+2000+1100+1400+200+2000+1050+310+1000+650</f>
        <v>30475</v>
      </c>
      <c r="C38" s="12">
        <f>July!C38+B38</f>
        <v>261023</v>
      </c>
      <c r="D38" s="84"/>
      <c r="E38" s="12">
        <f>July!E38+D38</f>
        <v>11964</v>
      </c>
      <c r="F38" s="61"/>
      <c r="G38" s="12">
        <f>July!G38+F38</f>
        <v>0</v>
      </c>
    </row>
    <row r="39" spans="1:7" x14ac:dyDescent="0.25">
      <c r="A39" s="11" t="s">
        <v>36</v>
      </c>
      <c r="B39" s="82">
        <v>4284</v>
      </c>
      <c r="C39" s="12">
        <f>July!C39+B39</f>
        <v>104862</v>
      </c>
      <c r="D39" s="84">
        <f>1</f>
        <v>1</v>
      </c>
      <c r="E39" s="12">
        <f>July!E39+D39</f>
        <v>10311</v>
      </c>
      <c r="F39" s="61"/>
      <c r="G39" s="12">
        <f>July!G39+F39</f>
        <v>0</v>
      </c>
    </row>
    <row r="40" spans="1:7" x14ac:dyDescent="0.25">
      <c r="A40" s="11" t="s">
        <v>37</v>
      </c>
      <c r="B40" s="82">
        <f>2160+2160+2388+1850+1400+1500+1500+2160+2160+2160+1330+1500+1500+1310+1060+2160+2160+2160+1609+1500+2300+2300+1300+1300+450+960+197956</f>
        <v>242293</v>
      </c>
      <c r="C40" s="12">
        <f>July!C40+B40</f>
        <v>1744144</v>
      </c>
      <c r="D40" s="84">
        <v>1705</v>
      </c>
      <c r="E40" s="12">
        <f>July!E40+D40</f>
        <v>14754</v>
      </c>
      <c r="F40" s="61"/>
      <c r="G40" s="12">
        <f>July!G40+F40</f>
        <v>0</v>
      </c>
    </row>
    <row r="41" spans="1:7" x14ac:dyDescent="0.25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5">
      <c r="A42" s="11" t="s">
        <v>39</v>
      </c>
      <c r="B42" s="82"/>
      <c r="C42" s="12">
        <f>July!C42+B42</f>
        <v>0</v>
      </c>
      <c r="D42" s="84"/>
      <c r="E42" s="12">
        <f>July!E42+D42</f>
        <v>3097</v>
      </c>
      <c r="F42" s="61"/>
      <c r="G42" s="12">
        <f>July!G42+F42</f>
        <v>0</v>
      </c>
    </row>
    <row r="43" spans="1:7" x14ac:dyDescent="0.25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5">
      <c r="A44" s="11" t="s">
        <v>41</v>
      </c>
      <c r="B44" s="82">
        <v>1000</v>
      </c>
      <c r="C44" s="12">
        <f>July!C44+B44</f>
        <v>9800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5">
      <c r="A45" s="11" t="s">
        <v>42</v>
      </c>
      <c r="B45" s="82">
        <f>600+1200+50+76+60+180+140+500+29125</f>
        <v>31931</v>
      </c>
      <c r="C45" s="12">
        <f>July!C45+B45</f>
        <v>394288</v>
      </c>
      <c r="D45" s="84">
        <v>1405</v>
      </c>
      <c r="E45" s="12">
        <f>July!E45+D45</f>
        <v>12634</v>
      </c>
      <c r="F45" s="61"/>
      <c r="G45" s="12">
        <f>July!G45+F45</f>
        <v>0</v>
      </c>
    </row>
    <row r="46" spans="1:7" x14ac:dyDescent="0.25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5">
      <c r="A47" s="11" t="s">
        <v>44</v>
      </c>
      <c r="B47" s="82">
        <v>20242</v>
      </c>
      <c r="C47" s="12">
        <f>July!C47+B47</f>
        <v>577412</v>
      </c>
      <c r="D47" s="84">
        <f>6</f>
        <v>6</v>
      </c>
      <c r="E47" s="12">
        <f>July!E47+D47</f>
        <v>230</v>
      </c>
      <c r="F47" s="61"/>
      <c r="G47" s="12">
        <f>July!G47+F47</f>
        <v>0</v>
      </c>
    </row>
    <row r="48" spans="1:7" x14ac:dyDescent="0.25">
      <c r="A48" s="11" t="s">
        <v>45</v>
      </c>
      <c r="B48" s="82">
        <v>36409</v>
      </c>
      <c r="C48" s="12">
        <f>July!C48+B48</f>
        <v>267668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5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5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5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5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5">
      <c r="A53" s="11" t="s">
        <v>50</v>
      </c>
      <c r="B53" s="82">
        <f>80+250+340+330+500+380+122+454+1050+1050+210+850+2400+750+80+400+120+400+520</f>
        <v>10286</v>
      </c>
      <c r="C53" s="12">
        <f>July!C53+B53</f>
        <v>106974</v>
      </c>
      <c r="D53" s="84">
        <f>15+46</f>
        <v>61</v>
      </c>
      <c r="E53" s="12">
        <f>July!E53+D53</f>
        <v>225</v>
      </c>
      <c r="F53" s="61"/>
      <c r="G53" s="12">
        <f>July!G53+F53</f>
        <v>0</v>
      </c>
    </row>
    <row r="54" spans="1:256" ht="16.3" thickBot="1" x14ac:dyDescent="0.3">
      <c r="A54" s="11" t="s">
        <v>51</v>
      </c>
      <c r="B54" s="82">
        <f>2360+2360+2360+9919</f>
        <v>16999</v>
      </c>
      <c r="C54" s="12">
        <f>July!C54+B54</f>
        <v>205972</v>
      </c>
      <c r="D54" s="84"/>
      <c r="E54" s="12">
        <f>July!E54+D54</f>
        <v>4</v>
      </c>
      <c r="F54" s="61"/>
      <c r="G54" s="12">
        <f>July!G54+F54</f>
        <v>0</v>
      </c>
    </row>
    <row r="55" spans="1:256" ht="26.15" customHeight="1" thickBot="1" x14ac:dyDescent="0.3">
      <c r="A55" s="14" t="s">
        <v>53</v>
      </c>
      <c r="B55" s="15">
        <f>SUM(B7:B54)</f>
        <v>2350445</v>
      </c>
      <c r="C55" s="15">
        <f>July!C55+B55</f>
        <v>18042946</v>
      </c>
      <c r="D55" s="15">
        <f>SUM(D7:D54)</f>
        <v>23228</v>
      </c>
      <c r="E55" s="15">
        <f>July!E55+D55</f>
        <v>175246</v>
      </c>
      <c r="F55" s="15">
        <f>SUM(F7:F54)</f>
        <v>9762</v>
      </c>
      <c r="G55" s="15">
        <f>July!G55+F55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>
        <v>100</v>
      </c>
      <c r="D58" s="24">
        <f>July!D58+C58</f>
        <v>1500</v>
      </c>
      <c r="E58" s="18"/>
    </row>
    <row r="59" spans="1:256" x14ac:dyDescent="0.25">
      <c r="A59" s="1" t="s">
        <v>56</v>
      </c>
      <c r="B59" s="23"/>
      <c r="C59" s="23">
        <v>3365</v>
      </c>
      <c r="D59" s="24">
        <f>July!D59+C59</f>
        <v>22085</v>
      </c>
    </row>
    <row r="60" spans="1:256" x14ac:dyDescent="0.25">
      <c r="A60" s="1" t="s">
        <v>57</v>
      </c>
      <c r="B60" s="23"/>
      <c r="C60" s="23"/>
      <c r="D60" s="24">
        <f>July!D60+C60</f>
        <v>2490</v>
      </c>
    </row>
    <row r="61" spans="1:256" x14ac:dyDescent="0.25">
      <c r="A61" s="1" t="s">
        <v>58</v>
      </c>
      <c r="B61" s="23"/>
      <c r="C61" s="23"/>
      <c r="D61" s="24">
        <f>July!D61+C61</f>
        <v>0</v>
      </c>
    </row>
    <row r="62" spans="1:256" x14ac:dyDescent="0.25">
      <c r="A62" s="1" t="s">
        <v>59</v>
      </c>
      <c r="B62" s="23"/>
      <c r="C62" s="23">
        <f>1500+2280+1124+204+1280+335+115+45+360+120+175+720+320+715+795+560+285+7643</f>
        <v>18576</v>
      </c>
      <c r="D62" s="24">
        <f>July!D62+C62</f>
        <v>193146</v>
      </c>
    </row>
    <row r="63" spans="1:256" x14ac:dyDescent="0.25">
      <c r="A63" s="1" t="s">
        <v>65</v>
      </c>
      <c r="B63" s="23"/>
      <c r="C63" s="23">
        <f>275+175+320+381+320+380+190+270+80+45+106+255+275+75+170+72+45+240+45+240+295+75+170+52+469+320+141+45+290+80+275+75+170+258+275+175+320+72+45+240+275+75+720+803+275+170+75+320+320+275+75+170+186+45+290+553+363+275+75+170+320+275+75+340+275+75+170+52+65+454+275+75+170+80+270+45+126+35+320+364</f>
        <v>17172</v>
      </c>
      <c r="D63" s="24">
        <f>July!D63+C63</f>
        <v>121537</v>
      </c>
    </row>
    <row r="64" spans="1:256" x14ac:dyDescent="0.25">
      <c r="A64" s="1" t="s">
        <v>63</v>
      </c>
      <c r="B64" s="23"/>
      <c r="C64" s="23">
        <f>240+130+100+70+66+405+230+88+55+40+94+215+135+70+150+70+40+140+45+85+60+140+65+35+92+64+185+180+188+35+76+180+68+55+40+80+22+64+405+230+53+70+80+140+70+135+130+45+70+72+83+72+115+175+65+35+245+35+46+70+86+185+170+70+115+250+115+130+180+170+170+250+270+170+150+85+150+210+185+170+250+115+115+250+115+95+140+190+150+85+80+130+92+38+7+38+77+92+40+185+180+186+43+144+34+45+70+35+385+70+265+65+245+230+80+63+140+45+70+22+46+277+70+38+7+125+175+8+35+140+185+90+35+35+70+86+95+140+38+7+85+160+175+86+48+55+37+29+230+420+86+134+70+150+180+190+135+95+115+270+170+185+175+45+130+115+250+95+170+200+185+190+130+115+250+235+190+150+85+250+115+95+270+115+370+205+170+175+40+130+115+250+65+300+185+135+95+115+250+75+8+180+50+25+185+22+34+105+240+35+85+175+38+97+86+60+140+80+205+135+90+19+72+40+55+8+65+15+230+86+70</f>
        <v>28292</v>
      </c>
      <c r="D64" s="24">
        <f>July!D64+C64</f>
        <v>145511</v>
      </c>
    </row>
    <row r="65" spans="1:4" x14ac:dyDescent="0.25">
      <c r="A65" s="1" t="s">
        <v>60</v>
      </c>
      <c r="C65" s="23"/>
      <c r="D65" s="24">
        <f>July!D65+C65</f>
        <v>0</v>
      </c>
    </row>
    <row r="66" spans="1:4" x14ac:dyDescent="0.25">
      <c r="A66" s="1" t="s">
        <v>61</v>
      </c>
      <c r="C66" s="23">
        <f>80+85+75+265+145+90+85+185+90+85+65+61+110+165+50+87+75+60+155+90+83+65+270+165+185+87+175+155+75+87+65+190+185+80+87+75+60+155+45+87+65+1587</f>
        <v>6131</v>
      </c>
      <c r="D66" s="24">
        <f>July!D66+C66</f>
        <v>49397</v>
      </c>
    </row>
    <row r="67" spans="1:4" x14ac:dyDescent="0.25">
      <c r="A67" s="1" t="s">
        <v>62</v>
      </c>
      <c r="C67" s="23">
        <v>300</v>
      </c>
      <c r="D67" s="24">
        <f>July!D67+C67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45" zoomScaleNormal="145" zoomScaleSheetLayoutView="75" workbookViewId="0">
      <pane ySplit="6" topLeftCell="A54" activePane="bottomLeft" state="frozen"/>
      <selection pane="bottomLeft" activeCell="C66" sqref="C66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73</v>
      </c>
      <c r="I2" s="2"/>
    </row>
    <row r="3" spans="1:256" ht="12.9" customHeight="1" x14ac:dyDescent="0.25">
      <c r="F3" t="s">
        <v>81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95" customHeight="1" x14ac:dyDescent="0.25">
      <c r="A7" s="11" t="s">
        <v>6</v>
      </c>
      <c r="B7" s="82">
        <f>2450</f>
        <v>2450</v>
      </c>
      <c r="C7" s="12">
        <f>August!C7+B7</f>
        <v>20786</v>
      </c>
      <c r="D7" s="84"/>
      <c r="E7" s="12">
        <f>August!E7+D7</f>
        <v>0</v>
      </c>
      <c r="F7" s="61"/>
      <c r="G7" s="12">
        <f>August!G7+F7</f>
        <v>0</v>
      </c>
    </row>
    <row r="8" spans="1:256" ht="14.95" customHeight="1" x14ac:dyDescent="0.25">
      <c r="A8" s="11" t="s">
        <v>64</v>
      </c>
      <c r="B8" s="82"/>
      <c r="C8" s="12">
        <f>August!C8+B8</f>
        <v>10213</v>
      </c>
      <c r="D8" s="84"/>
      <c r="E8" s="12">
        <f>August!E8+D8</f>
        <v>22</v>
      </c>
      <c r="F8" s="61"/>
      <c r="G8" s="12">
        <f>August!G8+F8</f>
        <v>0</v>
      </c>
    </row>
    <row r="9" spans="1:256" ht="14.95" customHeight="1" x14ac:dyDescent="0.25">
      <c r="A9" s="11" t="s">
        <v>7</v>
      </c>
      <c r="B9" s="82">
        <f>450+530+850+600+600+850+480+1050+1050+1000+1050+1050+570+480+750+500+520+540+2135</f>
        <v>15055</v>
      </c>
      <c r="C9" s="12">
        <f>August!C9+B9</f>
        <v>185222</v>
      </c>
      <c r="D9" s="84"/>
      <c r="E9" s="12">
        <f>August!E9+D9</f>
        <v>42</v>
      </c>
      <c r="F9" s="61"/>
      <c r="G9" s="12">
        <f>August!G9+F9</f>
        <v>0</v>
      </c>
    </row>
    <row r="10" spans="1:256" ht="14.95" customHeight="1" x14ac:dyDescent="0.25">
      <c r="A10" s="11" t="s">
        <v>8</v>
      </c>
      <c r="B10" s="82"/>
      <c r="C10" s="12">
        <f>August!C10+B10</f>
        <v>0</v>
      </c>
      <c r="D10" s="84"/>
      <c r="E10" s="12">
        <f>August!E10+D10</f>
        <v>89</v>
      </c>
      <c r="F10" s="61"/>
      <c r="G10" s="12">
        <f>August!G10+F10</f>
        <v>0</v>
      </c>
    </row>
    <row r="11" spans="1:256" ht="14.95" customHeight="1" x14ac:dyDescent="0.25">
      <c r="A11" s="99" t="s">
        <v>52</v>
      </c>
      <c r="B11" s="79">
        <v>155359</v>
      </c>
      <c r="C11" s="12">
        <f>August!C11+B11</f>
        <v>1946371</v>
      </c>
      <c r="D11" s="81">
        <v>190</v>
      </c>
      <c r="E11" s="12">
        <f>August!E11+D11</f>
        <v>8528</v>
      </c>
      <c r="F11" s="61">
        <v>6576</v>
      </c>
      <c r="G11" s="12">
        <f>August!G11+F11</f>
        <v>87981</v>
      </c>
    </row>
    <row r="12" spans="1:256" ht="14.95" customHeight="1" x14ac:dyDescent="0.25">
      <c r="A12" s="11" t="s">
        <v>9</v>
      </c>
      <c r="B12" s="82">
        <f>2100+2100+1650+1150+2100+2450+2450+2450+2450+2450+1180+1180+1180+1200+1200+1100+600+1400+1550+1850+1100+2200+1000+2200+56616</f>
        <v>96906</v>
      </c>
      <c r="C12" s="12">
        <f>August!C12+B12</f>
        <v>1065737</v>
      </c>
      <c r="D12" s="84"/>
      <c r="E12" s="12">
        <f>August!E12+D12</f>
        <v>2542</v>
      </c>
      <c r="F12" s="61"/>
      <c r="G12" s="12">
        <f>August!G12+F12</f>
        <v>0</v>
      </c>
    </row>
    <row r="13" spans="1:256" ht="14.95" customHeight="1" x14ac:dyDescent="0.25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4.95" customHeight="1" x14ac:dyDescent="0.25">
      <c r="A14" s="11" t="s">
        <v>11</v>
      </c>
      <c r="B14" s="82"/>
      <c r="C14" s="12">
        <f>August!C14+B14</f>
        <v>0</v>
      </c>
      <c r="D14" s="84"/>
      <c r="E14" s="12">
        <f>August!E14+D14</f>
        <v>4</v>
      </c>
      <c r="F14" s="61"/>
      <c r="G14" s="12">
        <f>August!G14+F14</f>
        <v>0</v>
      </c>
    </row>
    <row r="15" spans="1:256" ht="14.95" customHeight="1" x14ac:dyDescent="0.25">
      <c r="A15" s="11" t="s">
        <v>12</v>
      </c>
      <c r="B15" s="82"/>
      <c r="C15" s="12">
        <f>August!C15+B15</f>
        <v>0</v>
      </c>
      <c r="D15" s="84">
        <v>1</v>
      </c>
      <c r="E15" s="12">
        <f>August!E15+D15</f>
        <v>2</v>
      </c>
      <c r="F15" s="61"/>
      <c r="G15" s="12">
        <f>August!G15+F15</f>
        <v>0</v>
      </c>
    </row>
    <row r="16" spans="1:256" ht="14.95" customHeight="1" x14ac:dyDescent="0.25">
      <c r="A16" s="11" t="s">
        <v>13</v>
      </c>
      <c r="B16" s="82">
        <v>1350</v>
      </c>
      <c r="C16" s="12">
        <f>August!C16+B16</f>
        <v>16600</v>
      </c>
      <c r="D16" s="84"/>
      <c r="E16" s="12">
        <f>August!E16+D16</f>
        <v>2</v>
      </c>
      <c r="F16" s="61"/>
      <c r="G16" s="12">
        <f>August!G16+F16</f>
        <v>0</v>
      </c>
    </row>
    <row r="17" spans="1:7" ht="14.95" customHeight="1" x14ac:dyDescent="0.25">
      <c r="A17" s="11" t="s">
        <v>14</v>
      </c>
      <c r="B17" s="82"/>
      <c r="C17" s="12">
        <f>August!C17+B17</f>
        <v>1</v>
      </c>
      <c r="D17" s="84"/>
      <c r="E17" s="12">
        <f>August!E17+D17</f>
        <v>1</v>
      </c>
      <c r="F17" s="61"/>
      <c r="G17" s="12">
        <f>August!G17+F17</f>
        <v>0</v>
      </c>
    </row>
    <row r="18" spans="1:7" ht="14.95" customHeight="1" x14ac:dyDescent="0.25">
      <c r="A18" s="11" t="s">
        <v>15</v>
      </c>
      <c r="B18" s="82">
        <f>1060+1060+1060+1200+1200+1200+805+1600+1600+625+625+1450+473+767+1533+2220+718+718+1436+270+330+330+270+158+330+330+450+300+1200+808+1200+165+1260+1260+1060+1060+618+628+630+625+708+676+675+290+170+340+170+200+290+290+170+170+290+810+1550+1650+300+1060+380+1060+1060+340+1060+1300+290+380+290+290+290+380+600+46+970+1250+280+626+626+25+775+775+653+654+1075+1075+1075+1075+805+1450+1450+586+656+604+657+200+200+330+260+280+1100+1200+1000+1000+1000+975+900+260+100+200+260+220+330+200+500+623+632+1000+1450+1450+804+640+440+450+440+440+1095+1095+1095+1095+337106</f>
        <v>429719</v>
      </c>
      <c r="C18" s="12">
        <f>August!C18+B18</f>
        <v>3970634</v>
      </c>
      <c r="D18" s="84">
        <f>15+120+110+120+100+1734</f>
        <v>2199</v>
      </c>
      <c r="E18" s="12">
        <f>August!E18+D18</f>
        <v>23290</v>
      </c>
      <c r="F18" s="61"/>
      <c r="G18" s="12">
        <f>August!G18+F18</f>
        <v>0</v>
      </c>
    </row>
    <row r="19" spans="1:7" ht="14.95" customHeight="1" x14ac:dyDescent="0.25">
      <c r="A19" s="11" t="s">
        <v>16</v>
      </c>
      <c r="B19" s="82">
        <v>32188</v>
      </c>
      <c r="C19" s="12">
        <f>August!C19+B19</f>
        <v>244072</v>
      </c>
      <c r="D19" s="84">
        <f>326</f>
        <v>326</v>
      </c>
      <c r="E19" s="12">
        <f>August!E19+D19</f>
        <v>1922</v>
      </c>
      <c r="F19" s="61"/>
      <c r="G19" s="12">
        <f>August!G19+F19</f>
        <v>0</v>
      </c>
    </row>
    <row r="20" spans="1:7" ht="14.95" customHeight="1" x14ac:dyDescent="0.25">
      <c r="A20" s="11" t="s">
        <v>17</v>
      </c>
      <c r="B20" s="82">
        <f>2000+8253</f>
        <v>10253</v>
      </c>
      <c r="C20" s="12">
        <f>August!C20+B20</f>
        <v>164422</v>
      </c>
      <c r="D20" s="84">
        <v>454</v>
      </c>
      <c r="E20" s="12">
        <f>August!E20+D20</f>
        <v>3854</v>
      </c>
      <c r="F20" s="61"/>
      <c r="G20" s="12">
        <f>August!G20+F20</f>
        <v>0</v>
      </c>
    </row>
    <row r="21" spans="1:7" ht="14.95" customHeight="1" x14ac:dyDescent="0.25">
      <c r="A21" s="11" t="s">
        <v>18</v>
      </c>
      <c r="B21" s="82">
        <f>343+150+4037</f>
        <v>4530</v>
      </c>
      <c r="C21" s="12">
        <f>August!C21+B21</f>
        <v>4590</v>
      </c>
      <c r="D21" s="84">
        <v>44</v>
      </c>
      <c r="E21" s="12">
        <f>August!E21+D21</f>
        <v>3515</v>
      </c>
      <c r="F21" s="61"/>
      <c r="G21" s="12">
        <f>August!G21+F21</f>
        <v>0</v>
      </c>
    </row>
    <row r="22" spans="1:7" ht="14.95" customHeight="1" x14ac:dyDescent="0.25">
      <c r="A22" s="11" t="s">
        <v>19</v>
      </c>
      <c r="B22" s="82"/>
      <c r="C22" s="12">
        <f>August!C22+B22</f>
        <v>0</v>
      </c>
      <c r="D22" s="84"/>
      <c r="E22" s="12">
        <f>August!E22+D22</f>
        <v>54</v>
      </c>
      <c r="F22" s="61"/>
      <c r="G22" s="12">
        <f>August!G22+F22</f>
        <v>0</v>
      </c>
    </row>
    <row r="23" spans="1:7" ht="14.95" customHeight="1" x14ac:dyDescent="0.25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4.95" customHeight="1" x14ac:dyDescent="0.25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4.95" customHeight="1" x14ac:dyDescent="0.25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4.95" customHeight="1" x14ac:dyDescent="0.25">
      <c r="A26" s="11" t="s">
        <v>23</v>
      </c>
      <c r="B26" s="82">
        <v>1429</v>
      </c>
      <c r="C26" s="12">
        <f>August!C26+B26</f>
        <v>15389</v>
      </c>
      <c r="D26" s="84">
        <v>2112</v>
      </c>
      <c r="E26" s="12">
        <f>August!E26+D26</f>
        <v>13549</v>
      </c>
      <c r="F26" s="61"/>
      <c r="G26" s="12">
        <f>August!G26+F26</f>
        <v>0</v>
      </c>
    </row>
    <row r="27" spans="1:7" ht="14.95" customHeight="1" x14ac:dyDescent="0.25">
      <c r="A27" s="11" t="s">
        <v>24</v>
      </c>
      <c r="B27" s="82">
        <f>410+910+630+630+630+1300+650+464+278+650+850+650+110+3600+1500+2173+673+4150+660+800+1600+900+850+605+2540+360+420+560+280+650+400+1008+680+694+550+800+550+410+465+280+403+360+540+630+800+465+565+465+650+650+650+650+2028+2028+2140+2096+550+800+540+328+550+186+8+300+2100+650+675+1140+220+1130+2400+2000+2000+400+800+500+500+650+465+650+550+650+210+340+460+630+630+560+2056+2056+2000+2000+2000+2000+1300+1350+1300+400+400+4+2400+2400+650+400+182+182+630+280+650+700+420+346+550+403+400+410+230+650+560+403+450+630+500+2500+2500+650+475+850+1050+1080+112701</f>
        <v>228110</v>
      </c>
      <c r="C27" s="12">
        <f>August!C27+B27</f>
        <v>1924250</v>
      </c>
      <c r="D27" s="84">
        <f>212+212+14+11+1+1+1+1+159+50+205+205+132+388+43+106+100+132+427+280+172+132+165+94+98+132+263+10+212+106+212+212+1+1+4513</f>
        <v>9003</v>
      </c>
      <c r="E27" s="12">
        <f>August!E27+D27</f>
        <v>24007</v>
      </c>
      <c r="F27" s="61"/>
      <c r="G27" s="12">
        <f>August!G27+F27</f>
        <v>2056</v>
      </c>
    </row>
    <row r="28" spans="1:7" ht="14.95" customHeight="1" x14ac:dyDescent="0.25">
      <c r="A28" s="11" t="s">
        <v>25</v>
      </c>
      <c r="B28" s="82">
        <v>74450</v>
      </c>
      <c r="C28" s="12">
        <f>August!C28+B28</f>
        <v>580870</v>
      </c>
      <c r="D28" s="84"/>
      <c r="E28" s="12">
        <f>August!E28+D28</f>
        <v>0</v>
      </c>
      <c r="F28" s="61"/>
      <c r="G28" s="12">
        <f>August!G28+F28</f>
        <v>0</v>
      </c>
    </row>
    <row r="29" spans="1:7" ht="14.95" customHeight="1" x14ac:dyDescent="0.25">
      <c r="A29" s="11" t="s">
        <v>26</v>
      </c>
      <c r="B29" s="82">
        <f>635+1210+2304+1536+780+820+188+850+768+106+768+1054+640+640+640+2824+770+667+700+1096+2124+500+2036+1752+709+2127+348+564+662+2516+1116+1305+1100+631+631+1263+850+1325+2812+1406+1250+1352+675+1250+1250+625+625+760+200+626+625+613+1838+596+1539+760+760+2646+595+712+2846+712+750+750+1543+750+750+2032+731+730+1240+1248+950+666+2304+1000+612+1000+1000+225+1150+1200+1200+1150+925+925+618+619+619+619+1280+1310+655+655+1447+1300+1300+208293</f>
        <v>311174</v>
      </c>
      <c r="C29" s="12">
        <f>August!C29+B29</f>
        <v>3128443</v>
      </c>
      <c r="D29" s="84">
        <v>1305</v>
      </c>
      <c r="E29" s="12">
        <f>August!E29+D29</f>
        <v>2828</v>
      </c>
      <c r="F29" s="61"/>
      <c r="G29" s="12">
        <f>August!G29+F29</f>
        <v>90</v>
      </c>
    </row>
    <row r="30" spans="1:7" ht="14.95" customHeight="1" x14ac:dyDescent="0.25">
      <c r="A30" s="11" t="s">
        <v>27</v>
      </c>
      <c r="B30" s="82">
        <v>5805</v>
      </c>
      <c r="C30" s="12">
        <f>August!C30+B30</f>
        <v>65574</v>
      </c>
      <c r="D30" s="84"/>
      <c r="E30" s="12">
        <f>August!E30+D30</f>
        <v>0</v>
      </c>
      <c r="F30" s="61"/>
      <c r="G30" s="12">
        <f>August!G30+F30</f>
        <v>0</v>
      </c>
    </row>
    <row r="31" spans="1:7" ht="14.95" customHeight="1" x14ac:dyDescent="0.25">
      <c r="A31" s="11" t="s">
        <v>28</v>
      </c>
      <c r="B31" s="82">
        <f>550+146+44+90+40+650+880+950+1225+1250+2525+1250+1200+825+130+45+780+490+625+330+305+600+600+600+500+500+575+115+37+342+700+700+700+700+3+40+1406+500+550+1100+1406+1406+1424+1424+1275+1050+1424+625+1400+210+165+334+300+90+45+334+300+90+45+190+115+900+600+500+800+600+800+490+525+600+600+133968</f>
        <v>178633</v>
      </c>
      <c r="C31" s="12">
        <f>August!C31+B31</f>
        <v>1627392</v>
      </c>
      <c r="D31" s="84">
        <f>18+12+2+2+30+9+12+1+2+55+50+125+3+3+44+33+45+1+30</f>
        <v>477</v>
      </c>
      <c r="E31" s="12">
        <f>August!E31+D31</f>
        <v>53879</v>
      </c>
      <c r="F31" s="61"/>
      <c r="G31" s="12">
        <f>August!G31+F31</f>
        <v>0</v>
      </c>
    </row>
    <row r="32" spans="1:7" ht="14.95" customHeight="1" x14ac:dyDescent="0.25">
      <c r="A32" s="11" t="s">
        <v>29</v>
      </c>
      <c r="B32" s="82"/>
      <c r="C32" s="12">
        <f>August!C32+B32</f>
        <v>0</v>
      </c>
      <c r="D32" s="84"/>
      <c r="E32" s="12">
        <f>August!E32+D32</f>
        <v>1</v>
      </c>
      <c r="F32" s="61"/>
      <c r="G32" s="12">
        <f>August!G32+F32</f>
        <v>0</v>
      </c>
    </row>
    <row r="33" spans="1:7" ht="14.95" customHeight="1" x14ac:dyDescent="0.25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4.95" customHeight="1" x14ac:dyDescent="0.25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4.95" customHeight="1" x14ac:dyDescent="0.25">
      <c r="A35" s="11" t="s">
        <v>32</v>
      </c>
      <c r="B35" s="82"/>
      <c r="C35" s="12">
        <f>August!C35+B35</f>
        <v>0</v>
      </c>
      <c r="D35" s="84"/>
      <c r="E35" s="12">
        <f>August!E35+D35</f>
        <v>6</v>
      </c>
      <c r="F35" s="61"/>
      <c r="G35" s="12">
        <f>August!G35+F35</f>
        <v>0</v>
      </c>
    </row>
    <row r="36" spans="1:7" ht="14.95" customHeight="1" x14ac:dyDescent="0.25">
      <c r="A36" s="11" t="s">
        <v>33</v>
      </c>
      <c r="B36" s="82"/>
      <c r="C36" s="12">
        <f>August!C36+B36</f>
        <v>0</v>
      </c>
      <c r="D36" s="84"/>
      <c r="E36" s="12">
        <f>August!E36+D36</f>
        <v>1</v>
      </c>
      <c r="F36" s="61"/>
      <c r="G36" s="12">
        <f>August!G36+F36</f>
        <v>0</v>
      </c>
    </row>
    <row r="37" spans="1:7" ht="14.95" customHeight="1" x14ac:dyDescent="0.25">
      <c r="A37" s="11" t="s">
        <v>34</v>
      </c>
      <c r="B37" s="82">
        <v>90029</v>
      </c>
      <c r="C37" s="12">
        <f>August!C37+B37</f>
        <v>1037656</v>
      </c>
      <c r="D37" s="84"/>
      <c r="E37" s="12">
        <f>August!E37+D37</f>
        <v>0</v>
      </c>
      <c r="F37" s="61"/>
      <c r="G37" s="12">
        <f>August!G37+F37</f>
        <v>0</v>
      </c>
    </row>
    <row r="38" spans="1:7" ht="14.95" customHeight="1" x14ac:dyDescent="0.25">
      <c r="A38" s="11" t="s">
        <v>35</v>
      </c>
      <c r="B38" s="82">
        <f>1400+1000+1000+1500+1000+1500+1000+1300+1000+1500+550+330+2450+1050+1300+1400+1400+2400+2450+1200+1200+1200</f>
        <v>29130</v>
      </c>
      <c r="C38" s="12">
        <f>August!C38+B38</f>
        <v>290153</v>
      </c>
      <c r="D38" s="84">
        <f>1000+1000+1000+1000+1000</f>
        <v>5000</v>
      </c>
      <c r="E38" s="12">
        <f>August!E38+D38</f>
        <v>16964</v>
      </c>
      <c r="F38" s="61"/>
      <c r="G38" s="12">
        <f>August!G38+F38</f>
        <v>0</v>
      </c>
    </row>
    <row r="39" spans="1:7" ht="14.95" customHeight="1" x14ac:dyDescent="0.25">
      <c r="A39" s="11" t="s">
        <v>36</v>
      </c>
      <c r="B39" s="82">
        <v>16140</v>
      </c>
      <c r="C39" s="12">
        <f>August!C39+B39</f>
        <v>121002</v>
      </c>
      <c r="D39" s="84">
        <f>5+1+1+1</f>
        <v>8</v>
      </c>
      <c r="E39" s="12">
        <f>August!E39+D39</f>
        <v>10319</v>
      </c>
      <c r="F39" s="61"/>
      <c r="G39" s="12">
        <f>August!G39+F39</f>
        <v>0</v>
      </c>
    </row>
    <row r="40" spans="1:7" ht="14.95" customHeight="1" x14ac:dyDescent="0.25">
      <c r="A40" s="11" t="s">
        <v>37</v>
      </c>
      <c r="B40" s="82">
        <f>1417+2160+1500+2160+2160+2160+1370+2160+2160+2175+1560+996+1674+1690+837+1323+2160+581+1720+440+1550+2160+2160+1685+2160+1230+453+1245+960+2160+2160+2160+1600+2160+2160+2160+1640+2064+1580+2020+2160+2140+163578</f>
        <v>235748</v>
      </c>
      <c r="C40" s="12">
        <f>August!C40+B40</f>
        <v>1979892</v>
      </c>
      <c r="D40" s="84"/>
      <c r="E40" s="12">
        <f>August!E40+D40</f>
        <v>14754</v>
      </c>
      <c r="F40" s="61"/>
      <c r="G40" s="12">
        <f>August!G40+F40</f>
        <v>0</v>
      </c>
    </row>
    <row r="41" spans="1:7" ht="14.95" customHeight="1" x14ac:dyDescent="0.25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4.95" customHeight="1" x14ac:dyDescent="0.25">
      <c r="A42" s="11" t="s">
        <v>39</v>
      </c>
      <c r="B42" s="82"/>
      <c r="C42" s="12">
        <f>August!C42+B42</f>
        <v>0</v>
      </c>
      <c r="D42" s="84"/>
      <c r="E42" s="12">
        <f>August!E42+D42</f>
        <v>3097</v>
      </c>
      <c r="F42" s="61"/>
      <c r="G42" s="12">
        <f>August!G42+F42</f>
        <v>0</v>
      </c>
    </row>
    <row r="43" spans="1:7" ht="14.95" customHeight="1" x14ac:dyDescent="0.25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4.95" customHeight="1" x14ac:dyDescent="0.25">
      <c r="A44" s="11" t="s">
        <v>41</v>
      </c>
      <c r="B44" s="82">
        <v>1000</v>
      </c>
      <c r="C44" s="12">
        <f>August!C44+B44</f>
        <v>10800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4.95" customHeight="1" x14ac:dyDescent="0.25">
      <c r="A45" s="11" t="s">
        <v>42</v>
      </c>
      <c r="B45" s="82">
        <f>3000+1200+1350+1350+1350+25+600+1800+600+600+600+640+650+650+15+1364+47124</f>
        <v>62918</v>
      </c>
      <c r="C45" s="12">
        <f>August!C45+B45</f>
        <v>457206</v>
      </c>
      <c r="D45" s="84">
        <f>2935</f>
        <v>2935</v>
      </c>
      <c r="E45" s="12">
        <f>August!E45+D45</f>
        <v>15569</v>
      </c>
      <c r="F45" s="61"/>
      <c r="G45" s="12">
        <f>August!G45+F45</f>
        <v>0</v>
      </c>
    </row>
    <row r="46" spans="1:7" ht="14.95" customHeight="1" x14ac:dyDescent="0.25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4.95" customHeight="1" x14ac:dyDescent="0.25">
      <c r="A47" s="11" t="s">
        <v>44</v>
      </c>
      <c r="B47" s="82">
        <v>86747</v>
      </c>
      <c r="C47" s="12">
        <f>August!C47+B47</f>
        <v>664159</v>
      </c>
      <c r="D47" s="84">
        <f>2+1+1+1+1</f>
        <v>6</v>
      </c>
      <c r="E47" s="12">
        <f>August!E47+D47</f>
        <v>236</v>
      </c>
      <c r="F47" s="61"/>
      <c r="G47" s="12">
        <f>August!G47+F47</f>
        <v>0</v>
      </c>
    </row>
    <row r="48" spans="1:7" ht="14.95" customHeight="1" x14ac:dyDescent="0.25">
      <c r="A48" s="11" t="s">
        <v>45</v>
      </c>
      <c r="B48" s="82">
        <v>34148</v>
      </c>
      <c r="C48" s="12">
        <f>August!C48+B48</f>
        <v>301816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4.95" customHeight="1" x14ac:dyDescent="0.25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4.95" customHeight="1" x14ac:dyDescent="0.25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4.95" customHeight="1" x14ac:dyDescent="0.25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4.95" customHeight="1" x14ac:dyDescent="0.25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4.95" customHeight="1" x14ac:dyDescent="0.25">
      <c r="A53" s="11" t="s">
        <v>50</v>
      </c>
      <c r="B53" s="82">
        <f>145+150+250+125+150+180+200+200+250+60+290+200+50+150+250+150+170+200+130+250+150+100+1200+100+1100+450+1000+800+1250+400+136+36+2400+400+925+1000+130+150+200+100+320+170+200+100+120+70+32+110+800+450+1380</f>
        <v>19329</v>
      </c>
      <c r="C53" s="12">
        <f>August!C53+B53</f>
        <v>126303</v>
      </c>
      <c r="D53" s="84">
        <f>6+18+22</f>
        <v>46</v>
      </c>
      <c r="E53" s="12">
        <f>August!E53+D53</f>
        <v>271</v>
      </c>
      <c r="F53" s="61"/>
      <c r="G53" s="12">
        <f>August!G53+F53</f>
        <v>0</v>
      </c>
    </row>
    <row r="54" spans="1:256" ht="14.95" customHeight="1" thickBot="1" x14ac:dyDescent="0.3">
      <c r="A54" s="11" t="s">
        <v>51</v>
      </c>
      <c r="B54" s="82">
        <v>13382</v>
      </c>
      <c r="C54" s="12">
        <f>August!C54+B54</f>
        <v>219354</v>
      </c>
      <c r="D54" s="84"/>
      <c r="E54" s="12">
        <f>August!E54+D54</f>
        <v>4</v>
      </c>
      <c r="F54" s="61"/>
      <c r="G54" s="12">
        <f>August!G54+F54</f>
        <v>0</v>
      </c>
    </row>
    <row r="55" spans="1:256" ht="14.95" customHeight="1" thickBot="1" x14ac:dyDescent="0.3">
      <c r="A55" s="14" t="s">
        <v>53</v>
      </c>
      <c r="B55" s="15">
        <f>SUM(B7:B54)</f>
        <v>2135982</v>
      </c>
      <c r="C55" s="15">
        <f>August!C55+B55</f>
        <v>20178928</v>
      </c>
      <c r="D55" s="15">
        <f>SUM(D7:D54)</f>
        <v>24106</v>
      </c>
      <c r="E55" s="15">
        <f>August!E55+D55</f>
        <v>199352</v>
      </c>
      <c r="F55" s="15">
        <f>SUM(F7:F54)</f>
        <v>6576</v>
      </c>
      <c r="G55" s="15">
        <f>August!G55+F55</f>
        <v>90127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4.95" customHeight="1" x14ac:dyDescent="0.3">
      <c r="A56" s="17"/>
      <c r="B56" s="18"/>
      <c r="C56" s="18"/>
      <c r="D56" s="18"/>
      <c r="E56" s="18"/>
    </row>
    <row r="57" spans="1:256" ht="14.9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4.95" customHeight="1" x14ac:dyDescent="0.45">
      <c r="A58" s="1" t="s">
        <v>55</v>
      </c>
      <c r="B58" s="22"/>
      <c r="C58" s="23">
        <v>100</v>
      </c>
      <c r="D58" s="24">
        <f>August!D58+C58</f>
        <v>1600</v>
      </c>
      <c r="E58" s="18"/>
      <c r="F58" s="37"/>
      <c r="G58" s="37"/>
    </row>
    <row r="59" spans="1:256" ht="14.95" customHeight="1" x14ac:dyDescent="0.45">
      <c r="A59" s="1" t="s">
        <v>56</v>
      </c>
      <c r="B59" s="23"/>
      <c r="C59" s="23">
        <v>3240</v>
      </c>
      <c r="D59" s="24">
        <f>August!D59+C59</f>
        <v>25325</v>
      </c>
      <c r="F59" s="37"/>
      <c r="G59" s="37"/>
    </row>
    <row r="60" spans="1:256" ht="14.95" customHeight="1" x14ac:dyDescent="0.25">
      <c r="A60" s="1" t="s">
        <v>57</v>
      </c>
      <c r="B60" s="23"/>
      <c r="C60" s="23"/>
      <c r="D60" s="24">
        <f>August!D60+C60</f>
        <v>2490</v>
      </c>
    </row>
    <row r="61" spans="1:256" ht="14.95" customHeight="1" x14ac:dyDescent="0.25">
      <c r="A61" s="1" t="s">
        <v>58</v>
      </c>
      <c r="B61" s="23"/>
      <c r="C61" s="23"/>
      <c r="D61" s="24">
        <f>August!D61+C61</f>
        <v>0</v>
      </c>
    </row>
    <row r="62" spans="1:256" ht="14.95" customHeight="1" x14ac:dyDescent="0.25">
      <c r="A62" s="1" t="s">
        <v>59</v>
      </c>
      <c r="B62" s="23"/>
      <c r="C62" s="23">
        <f>1600+700+320+895+1280+720+204+1060+2300+90+650+70+135+200+115+45+175+120+360+200+10+8+112+116+10+8+8+175+24+112+15+8+115+230+175+360+120+45+250+115+135+120+360+175+45+135+7275</f>
        <v>21500</v>
      </c>
      <c r="D62" s="24">
        <f>August!D62+C62</f>
        <v>214646</v>
      </c>
    </row>
    <row r="63" spans="1:256" ht="14.95" customHeight="1" x14ac:dyDescent="0.25">
      <c r="A63" s="1" t="s">
        <v>65</v>
      </c>
      <c r="B63" s="23"/>
      <c r="C63" s="23">
        <f>45+340+75+275+320+35+75+170+52+275+249+285+299+275+75+170+820+320+151+290+80+290+59+75+170+499+106+45+270+20+75+275+35+170+35+52+170+80+225+343+320+35+20+270+45+106+320+20+75+275+240+45+320+100+75+170+80+352+52+170+75+275+71+20+240+45+100+100+80+36+75+275+419+170+80+20+270+45+106+320</f>
        <v>13582</v>
      </c>
      <c r="D63" s="24">
        <f>August!D63+C63</f>
        <v>135119</v>
      </c>
    </row>
    <row r="64" spans="1:256" ht="14.95" customHeight="1" x14ac:dyDescent="0.25">
      <c r="A64" s="1" t="s">
        <v>63</v>
      </c>
      <c r="B64" s="23"/>
      <c r="C64" s="23">
        <f>130+30+250+115+95+165+185+180+150+115+250+115+130+200+170+205+200+170+90+250+115+95+130+170+185+180+150+55+26+58+150+15+65+63+40+72+90+45+175+100+35+70+140+80+72+90+45+175+85+35+60+140+45+70+35+80+86+60+100+10+70+43+40+175+115+35+60+210+45+35+44+70+161+86+100+10+70+43+40+72+90+45+130+72+130+140+130</f>
        <v>8948</v>
      </c>
      <c r="D64" s="24">
        <f>August!D64+C64</f>
        <v>154459</v>
      </c>
    </row>
    <row r="65" spans="1:4" ht="14.95" customHeight="1" x14ac:dyDescent="0.25">
      <c r="A65" s="1" t="s">
        <v>60</v>
      </c>
      <c r="C65" s="23"/>
      <c r="D65" s="24">
        <f>August!D65+C65</f>
        <v>0</v>
      </c>
    </row>
    <row r="66" spans="1:4" ht="14.95" customHeight="1" x14ac:dyDescent="0.25">
      <c r="A66" s="1" t="s">
        <v>61</v>
      </c>
      <c r="C66" s="23">
        <f>70+69+65+160+185+110+87+75+50+155+40+155+80+87+65+160+185+70+89+75+155+46+65+140+185+25+91+75+160+185+100+89+1059</f>
        <v>4407</v>
      </c>
      <c r="D66" s="24">
        <f>August!D66+C66</f>
        <v>53804</v>
      </c>
    </row>
    <row r="67" spans="1:4" ht="14.95" customHeight="1" x14ac:dyDescent="0.25">
      <c r="A67" s="1" t="s">
        <v>62</v>
      </c>
      <c r="C67" s="23">
        <v>788</v>
      </c>
      <c r="D67" s="24">
        <f>August!D67+C67</f>
        <v>4288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Crawford, Karla</cp:lastModifiedBy>
  <cp:lastPrinted>2011-09-14T17:22:45Z</cp:lastPrinted>
  <dcterms:created xsi:type="dcterms:W3CDTF">2001-01-18T13:50:08Z</dcterms:created>
  <dcterms:modified xsi:type="dcterms:W3CDTF">2013-12-10T18:59:16Z</dcterms:modified>
</cp:coreProperties>
</file>