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0" windowWidth="14640" windowHeight="5835" tabRatio="784" activeTab="3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'January'!$A$1:$K$62</definedName>
  </definedNames>
  <calcPr fullCalcOnLoad="1"/>
</workbook>
</file>

<file path=xl/sharedStrings.xml><?xml version="1.0" encoding="utf-8"?>
<sst xmlns="http://schemas.openxmlformats.org/spreadsheetml/2006/main" count="853" uniqueCount="77">
  <si>
    <t>FEEDER CATTLE</t>
  </si>
  <si>
    <t>BEEF CATTLE</t>
  </si>
  <si>
    <t>DAIRY CATTLE</t>
  </si>
  <si>
    <t>SLAUGHTER CATTLE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</si>
  <si>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</si>
  <si>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</si>
  <si>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</si>
  <si>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</si>
  <si>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</si>
  <si>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</si>
  <si>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</si>
  <si>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</si>
  <si>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</si>
  <si>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</si>
  <si>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</si>
  <si>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</si>
  <si>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</si>
  <si>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</si>
  <si>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</si>
  <si>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</si>
  <si>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</si>
  <si>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</si>
  <si>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</si>
  <si>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</si>
  <si>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</si>
  <si>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</si>
  <si>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</si>
  <si>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</si>
  <si>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</si>
  <si>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</si>
  <si>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</si>
  <si>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</si>
  <si>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</si>
  <si>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</si>
  <si>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</si>
  <si>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</si>
  <si>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</si>
  <si>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</si>
  <si>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</si>
  <si>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</si>
  <si>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</si>
  <si>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</si>
  <si>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</si>
  <si>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</si>
  <si>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</si>
  <si>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</si>
  <si>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</si>
  <si>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</si>
  <si>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</si>
  <si>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</si>
  <si>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</si>
  <si>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</si>
  <si>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</si>
  <si>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</si>
  <si>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</si>
  <si>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</si>
  <si>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</si>
  <si>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</si>
  <si>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</si>
  <si>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</si>
  <si>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</si>
  <si>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</si>
  <si>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</si>
  <si>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</si>
  <si>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</si>
  <si>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</si>
  <si>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</si>
  <si>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</si>
  <si>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</si>
  <si>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</si>
  <si>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</si>
  <si>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</si>
  <si>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</si>
  <si>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KARLA CRAWFORD AND LISA POTTER</t>
  </si>
  <si>
    <t>Karla Crawford and Lisa Potter</t>
  </si>
  <si>
    <t>2013 Cattle Imported Into Iowa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</si>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</sst>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6" fillId="36" borderId="1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46" fillId="34" borderId="10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9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0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1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2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4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2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2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15" name="Line 2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6" name="Line 2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7" name="Line 2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8" name="Line 2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0" name="Line 28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21" name="Line 29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2" name="Line 30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3" name="Line 3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4" name="Line 32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0" y="971550"/>
          <a:ext cx="7029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3"/>
        <xdr:cNvSpPr>
          <a:spLocks/>
        </xdr:cNvSpPr>
      </xdr:nvSpPr>
      <xdr:spPr>
        <a:xfrm>
          <a:off x="40481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4"/>
        <xdr:cNvSpPr>
          <a:spLocks/>
        </xdr:cNvSpPr>
      </xdr:nvSpPr>
      <xdr:spPr>
        <a:xfrm>
          <a:off x="103632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5"/>
        <xdr:cNvSpPr>
          <a:spLocks/>
        </xdr:cNvSpPr>
      </xdr:nvSpPr>
      <xdr:spPr>
        <a:xfrm>
          <a:off x="54197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6"/>
        <xdr:cNvSpPr>
          <a:spLocks/>
        </xdr:cNvSpPr>
      </xdr:nvSpPr>
      <xdr:spPr>
        <a:xfrm>
          <a:off x="54197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28575</xdr:colOff>
      <xdr:row>0</xdr:row>
      <xdr:rowOff>38100</xdr:rowOff>
    </xdr:from>
    <xdr:to>
      <xdr:col>11</xdr:col>
      <xdr:colOff>28575</xdr:colOff>
      <xdr:row>2</xdr:row>
      <xdr:rowOff>47625</xdr:rowOff>
    </xdr:to>
    <xdr:sp>
      <xdr:nvSpPr>
        <xdr:cNvPr id="4" name="Line 8"/>
        <xdr:cNvSpPr>
          <a:spLocks/>
        </xdr:cNvSpPr>
      </xdr:nvSpPr>
      <xdr:spPr>
        <a:xfrm>
          <a:off x="8296275" y="381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142875</xdr:rowOff>
    </xdr:from>
    <xdr:to>
      <xdr:col>11</xdr:col>
      <xdr:colOff>28575</xdr:colOff>
      <xdr:row>3</xdr:row>
      <xdr:rowOff>28575</xdr:rowOff>
    </xdr:to>
    <xdr:sp>
      <xdr:nvSpPr>
        <xdr:cNvPr id="10" name="Line 14"/>
        <xdr:cNvSpPr>
          <a:spLocks/>
        </xdr:cNvSpPr>
      </xdr:nvSpPr>
      <xdr:spPr>
        <a:xfrm>
          <a:off x="8296275" y="6667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576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727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292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292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576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727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292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292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61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 aca="true" t="shared" si="0" ref="C5:C36">B5</f>
        <v>0</v>
      </c>
      <c r="D5" s="15"/>
      <c r="E5" s="9">
        <f aca="true" t="shared" si="1" ref="E5:E36">D5</f>
        <v>0</v>
      </c>
      <c r="F5" s="17"/>
      <c r="G5" s="9">
        <f aca="true" t="shared" si="2" ref="G5:G36">F5</f>
        <v>0</v>
      </c>
      <c r="H5" s="19"/>
      <c r="I5" s="9">
        <f aca="true" t="shared" si="3" ref="I5:I36">H5</f>
        <v>0</v>
      </c>
    </row>
    <row r="6" spans="1:9" s="5" customFormat="1" ht="18" customHeight="1">
      <c r="A6" s="9" t="s">
        <v>8</v>
      </c>
      <c r="B6" s="13"/>
      <c r="C6" s="9">
        <f t="shared" si="0"/>
        <v>0</v>
      </c>
      <c r="D6" s="15"/>
      <c r="E6" s="9">
        <f t="shared" si="1"/>
        <v>0</v>
      </c>
      <c r="F6" s="17"/>
      <c r="G6" s="9">
        <f t="shared" si="2"/>
        <v>0</v>
      </c>
      <c r="H6" s="19"/>
      <c r="I6" s="9">
        <f t="shared" si="3"/>
        <v>0</v>
      </c>
    </row>
    <row r="7" spans="1:9" s="5" customFormat="1" ht="18" customHeight="1">
      <c r="A7" s="9" t="s">
        <v>9</v>
      </c>
      <c r="B7" s="13"/>
      <c r="C7" s="9">
        <f t="shared" si="0"/>
        <v>0</v>
      </c>
      <c r="D7" s="15"/>
      <c r="E7" s="9">
        <f t="shared" si="1"/>
        <v>0</v>
      </c>
      <c r="F7" s="17"/>
      <c r="G7" s="9">
        <f t="shared" si="2"/>
        <v>0</v>
      </c>
      <c r="H7" s="19"/>
      <c r="I7" s="9">
        <f t="shared" si="3"/>
        <v>0</v>
      </c>
    </row>
    <row r="8" spans="1:9" s="5" customFormat="1" ht="18" customHeight="1">
      <c r="A8" s="9" t="s">
        <v>10</v>
      </c>
      <c r="B8" s="13">
        <f>29+76+51+18</f>
        <v>174</v>
      </c>
      <c r="C8" s="9">
        <f t="shared" si="0"/>
        <v>174</v>
      </c>
      <c r="D8" s="15">
        <f>4</f>
        <v>4</v>
      </c>
      <c r="E8" s="9">
        <f t="shared" si="1"/>
        <v>4</v>
      </c>
      <c r="F8" s="17"/>
      <c r="G8" s="9">
        <f t="shared" si="2"/>
        <v>0</v>
      </c>
      <c r="H8" s="19"/>
      <c r="I8" s="9">
        <f t="shared" si="3"/>
        <v>0</v>
      </c>
    </row>
    <row r="9" spans="1:9" s="5" customFormat="1" ht="18" customHeight="1">
      <c r="A9" s="9" t="s">
        <v>11</v>
      </c>
      <c r="B9" s="13"/>
      <c r="C9" s="9">
        <f t="shared" si="0"/>
        <v>0</v>
      </c>
      <c r="D9" s="15"/>
      <c r="E9" s="9">
        <f t="shared" si="1"/>
        <v>0</v>
      </c>
      <c r="F9" s="17">
        <f>1+67+159+70+70+98+130+80</f>
        <v>675</v>
      </c>
      <c r="G9" s="9">
        <f t="shared" si="2"/>
        <v>675</v>
      </c>
      <c r="H9" s="19"/>
      <c r="I9" s="9">
        <f t="shared" si="3"/>
        <v>0</v>
      </c>
    </row>
    <row r="10" spans="1:9" s="5" customFormat="1" ht="18" customHeight="1">
      <c r="A10" s="9" t="s">
        <v>12</v>
      </c>
      <c r="B10" s="13">
        <v>181</v>
      </c>
      <c r="C10" s="9">
        <f t="shared" si="0"/>
        <v>181</v>
      </c>
      <c r="D10" s="15"/>
      <c r="E10" s="9">
        <f t="shared" si="1"/>
        <v>0</v>
      </c>
      <c r="F10" s="17"/>
      <c r="G10" s="9">
        <f t="shared" si="2"/>
        <v>0</v>
      </c>
      <c r="H10" s="19"/>
      <c r="I10" s="9">
        <f t="shared" si="3"/>
        <v>0</v>
      </c>
    </row>
    <row r="11" spans="1:9" s="5" customFormat="1" ht="18" customHeight="1">
      <c r="A11" s="9" t="s">
        <v>13</v>
      </c>
      <c r="B11" s="13">
        <f>88+67+38</f>
        <v>193</v>
      </c>
      <c r="C11" s="9">
        <f t="shared" si="0"/>
        <v>193</v>
      </c>
      <c r="D11" s="15">
        <f>46+45+1+3+1</f>
        <v>96</v>
      </c>
      <c r="E11" s="9">
        <f t="shared" si="1"/>
        <v>96</v>
      </c>
      <c r="F11" s="17"/>
      <c r="G11" s="9">
        <f t="shared" si="2"/>
        <v>0</v>
      </c>
      <c r="H11" s="19"/>
      <c r="I11" s="9">
        <f t="shared" si="3"/>
        <v>0</v>
      </c>
    </row>
    <row r="12" spans="1:9" s="5" customFormat="1" ht="18" customHeight="1">
      <c r="A12" s="9" t="s">
        <v>14</v>
      </c>
      <c r="B12" s="13"/>
      <c r="C12" s="9">
        <f t="shared" si="0"/>
        <v>0</v>
      </c>
      <c r="D12" s="15"/>
      <c r="E12" s="9">
        <f t="shared" si="1"/>
        <v>0</v>
      </c>
      <c r="F12" s="17"/>
      <c r="G12" s="9">
        <f t="shared" si="2"/>
        <v>0</v>
      </c>
      <c r="H12" s="19"/>
      <c r="I12" s="9">
        <f t="shared" si="3"/>
        <v>0</v>
      </c>
    </row>
    <row r="13" spans="1:9" s="5" customFormat="1" ht="18" customHeight="1">
      <c r="A13" s="9" t="s">
        <v>15</v>
      </c>
      <c r="B13" s="13"/>
      <c r="C13" s="9">
        <f t="shared" si="0"/>
        <v>0</v>
      </c>
      <c r="D13" s="15"/>
      <c r="E13" s="9">
        <f t="shared" si="1"/>
        <v>0</v>
      </c>
      <c r="F13" s="17"/>
      <c r="G13" s="9">
        <f t="shared" si="2"/>
        <v>0</v>
      </c>
      <c r="H13" s="19"/>
      <c r="I13" s="9">
        <f t="shared" si="3"/>
        <v>0</v>
      </c>
    </row>
    <row r="14" spans="1:9" s="5" customFormat="1" ht="18" customHeight="1">
      <c r="A14" s="9" t="s">
        <v>16</v>
      </c>
      <c r="B14" s="13"/>
      <c r="C14" s="9">
        <f t="shared" si="0"/>
        <v>0</v>
      </c>
      <c r="D14" s="15"/>
      <c r="E14" s="9">
        <f t="shared" si="1"/>
        <v>0</v>
      </c>
      <c r="F14" s="17"/>
      <c r="G14" s="9">
        <f t="shared" si="2"/>
        <v>0</v>
      </c>
      <c r="H14" s="19"/>
      <c r="I14" s="9">
        <f t="shared" si="3"/>
        <v>0</v>
      </c>
    </row>
    <row r="15" spans="1:9" s="5" customFormat="1" ht="18" customHeight="1">
      <c r="A15" s="9" t="s">
        <v>17</v>
      </c>
      <c r="B15" s="13">
        <f>33+65</f>
        <v>98</v>
      </c>
      <c r="C15" s="9">
        <f t="shared" si="0"/>
        <v>98</v>
      </c>
      <c r="D15" s="15">
        <f>13+2</f>
        <v>15</v>
      </c>
      <c r="E15" s="9">
        <f t="shared" si="1"/>
        <v>15</v>
      </c>
      <c r="F15" s="17"/>
      <c r="G15" s="9">
        <f t="shared" si="2"/>
        <v>0</v>
      </c>
      <c r="H15" s="19"/>
      <c r="I15" s="9">
        <f t="shared" si="3"/>
        <v>0</v>
      </c>
    </row>
    <row r="16" spans="1:9" s="5" customFormat="1" ht="18" customHeight="1">
      <c r="A16" s="9" t="s">
        <v>18</v>
      </c>
      <c r="B16" s="13"/>
      <c r="C16" s="9">
        <f t="shared" si="0"/>
        <v>0</v>
      </c>
      <c r="D16" s="15"/>
      <c r="E16" s="9">
        <f t="shared" si="1"/>
        <v>0</v>
      </c>
      <c r="F16" s="17"/>
      <c r="G16" s="9">
        <f t="shared" si="2"/>
        <v>0</v>
      </c>
      <c r="H16" s="19"/>
      <c r="I16" s="9">
        <f t="shared" si="3"/>
        <v>0</v>
      </c>
    </row>
    <row r="17" spans="1:9" s="5" customFormat="1" ht="18" customHeight="1">
      <c r="A17" s="9" t="s">
        <v>19</v>
      </c>
      <c r="B17" s="13">
        <f>17+5+184+205+272+11</f>
        <v>694</v>
      </c>
      <c r="C17" s="9">
        <f t="shared" si="0"/>
        <v>694</v>
      </c>
      <c r="D17" s="15">
        <f>45+5</f>
        <v>50</v>
      </c>
      <c r="E17" s="9">
        <f t="shared" si="1"/>
        <v>50</v>
      </c>
      <c r="F17" s="17">
        <f>1</f>
        <v>1</v>
      </c>
      <c r="G17" s="9">
        <f t="shared" si="2"/>
        <v>1</v>
      </c>
      <c r="H17" s="19"/>
      <c r="I17" s="9">
        <f t="shared" si="3"/>
        <v>0</v>
      </c>
    </row>
    <row r="18" spans="1:9" s="5" customFormat="1" ht="18" customHeight="1">
      <c r="A18" s="9" t="s">
        <v>20</v>
      </c>
      <c r="B18" s="13">
        <f>3+35+14+19+170+95</f>
        <v>336</v>
      </c>
      <c r="C18" s="9">
        <f t="shared" si="0"/>
        <v>336</v>
      </c>
      <c r="D18" s="15">
        <f>1+6+4</f>
        <v>11</v>
      </c>
      <c r="E18" s="9">
        <f t="shared" si="1"/>
        <v>11</v>
      </c>
      <c r="F18" s="17">
        <f>36+58+1</f>
        <v>95</v>
      </c>
      <c r="G18" s="9">
        <f t="shared" si="2"/>
        <v>95</v>
      </c>
      <c r="H18" s="19"/>
      <c r="I18" s="9">
        <f t="shared" si="3"/>
        <v>0</v>
      </c>
    </row>
    <row r="19" spans="1:9" s="5" customFormat="1" ht="18" customHeight="1">
      <c r="A19" s="9" t="s">
        <v>21</v>
      </c>
      <c r="B19" s="13">
        <f>16+108+150+100+888</f>
        <v>1262</v>
      </c>
      <c r="C19" s="9">
        <f t="shared" si="0"/>
        <v>1262</v>
      </c>
      <c r="D19" s="15">
        <f>1+4</f>
        <v>5</v>
      </c>
      <c r="E19" s="9">
        <f t="shared" si="1"/>
        <v>5</v>
      </c>
      <c r="F19" s="17">
        <f>1</f>
        <v>1</v>
      </c>
      <c r="G19" s="9">
        <f t="shared" si="2"/>
        <v>1</v>
      </c>
      <c r="H19" s="19"/>
      <c r="I19" s="9">
        <f t="shared" si="3"/>
        <v>0</v>
      </c>
    </row>
    <row r="20" spans="1:9" s="5" customFormat="1" ht="18" customHeight="1">
      <c r="A20" s="9" t="s">
        <v>22</v>
      </c>
      <c r="B20" s="13">
        <f>48+280+200+80+54+57+3+180+80+146+60+116+41+64</f>
        <v>1409</v>
      </c>
      <c r="C20" s="9">
        <f t="shared" si="0"/>
        <v>1409</v>
      </c>
      <c r="D20" s="15">
        <f>1+25+2+1+2+2+3+6+2+58+1+78+3</f>
        <v>184</v>
      </c>
      <c r="E20" s="9">
        <f t="shared" si="1"/>
        <v>184</v>
      </c>
      <c r="F20" s="17">
        <f>206+46+115+37+38+102</f>
        <v>544</v>
      </c>
      <c r="G20" s="9">
        <f t="shared" si="2"/>
        <v>544</v>
      </c>
      <c r="H20" s="19"/>
      <c r="I20" s="9">
        <f t="shared" si="3"/>
        <v>0</v>
      </c>
    </row>
    <row r="21" spans="1:9" s="5" customFormat="1" ht="18" customHeight="1">
      <c r="A21" s="9" t="s">
        <v>23</v>
      </c>
      <c r="B21" s="13">
        <f>250+56+110+118+125+71+54+85+196+132+168+50+65+70+220+17+127+54+115+93+41+160+90+78+250+78+116+130+118+129+68+71+69+65+131+225+238+135+126+92+177+67+86</f>
        <v>4916</v>
      </c>
      <c r="C21" s="9">
        <f t="shared" si="0"/>
        <v>4916</v>
      </c>
      <c r="D21" s="15">
        <f>1</f>
        <v>1</v>
      </c>
      <c r="E21" s="9">
        <f t="shared" si="1"/>
        <v>1</v>
      </c>
      <c r="F21" s="17"/>
      <c r="G21" s="9">
        <f t="shared" si="2"/>
        <v>0</v>
      </c>
      <c r="H21" s="19"/>
      <c r="I21" s="9">
        <f t="shared" si="3"/>
        <v>0</v>
      </c>
    </row>
    <row r="22" spans="1:9" s="5" customFormat="1" ht="18" customHeight="1">
      <c r="A22" s="9" t="s">
        <v>24</v>
      </c>
      <c r="B22" s="13"/>
      <c r="C22" s="9">
        <f t="shared" si="0"/>
        <v>0</v>
      </c>
      <c r="D22" s="15"/>
      <c r="E22" s="9">
        <f t="shared" si="1"/>
        <v>0</v>
      </c>
      <c r="F22" s="17"/>
      <c r="G22" s="9">
        <f t="shared" si="2"/>
        <v>0</v>
      </c>
      <c r="H22" s="19"/>
      <c r="I22" s="9">
        <f t="shared" si="3"/>
        <v>0</v>
      </c>
    </row>
    <row r="23" spans="1:9" s="5" customFormat="1" ht="18" customHeight="1">
      <c r="A23" s="9" t="s">
        <v>25</v>
      </c>
      <c r="B23" s="13"/>
      <c r="C23" s="9">
        <f t="shared" si="0"/>
        <v>0</v>
      </c>
      <c r="D23" s="15"/>
      <c r="E23" s="9">
        <f t="shared" si="1"/>
        <v>0</v>
      </c>
      <c r="F23" s="17">
        <f>3</f>
        <v>3</v>
      </c>
      <c r="G23" s="9">
        <f t="shared" si="2"/>
        <v>3</v>
      </c>
      <c r="H23" s="19"/>
      <c r="I23" s="9">
        <f t="shared" si="3"/>
        <v>0</v>
      </c>
    </row>
    <row r="24" spans="1:9" s="5" customFormat="1" ht="18" customHeight="1">
      <c r="A24" s="9" t="s">
        <v>26</v>
      </c>
      <c r="B24" s="13"/>
      <c r="C24" s="9">
        <f t="shared" si="0"/>
        <v>0</v>
      </c>
      <c r="D24" s="15"/>
      <c r="E24" s="9">
        <f t="shared" si="1"/>
        <v>0</v>
      </c>
      <c r="F24" s="17"/>
      <c r="G24" s="9">
        <f t="shared" si="2"/>
        <v>0</v>
      </c>
      <c r="H24" s="19"/>
      <c r="I24" s="9">
        <f t="shared" si="3"/>
        <v>0</v>
      </c>
    </row>
    <row r="25" spans="1:9" s="5" customFormat="1" ht="18" customHeight="1">
      <c r="A25" s="9" t="s">
        <v>27</v>
      </c>
      <c r="B25" s="13"/>
      <c r="C25" s="9">
        <f t="shared" si="0"/>
        <v>0</v>
      </c>
      <c r="D25" s="15"/>
      <c r="E25" s="9">
        <f t="shared" si="1"/>
        <v>0</v>
      </c>
      <c r="F25" s="17"/>
      <c r="G25" s="9">
        <f t="shared" si="2"/>
        <v>0</v>
      </c>
      <c r="H25" s="19"/>
      <c r="I25" s="9">
        <f t="shared" si="3"/>
        <v>0</v>
      </c>
    </row>
    <row r="26" spans="1:9" s="5" customFormat="1" ht="18" customHeight="1">
      <c r="A26" s="9" t="s">
        <v>28</v>
      </c>
      <c r="B26" s="13">
        <f>10+47+252+315</f>
        <v>624</v>
      </c>
      <c r="C26" s="9">
        <f t="shared" si="0"/>
        <v>624</v>
      </c>
      <c r="D26" s="15">
        <f>2+6+16+78</f>
        <v>102</v>
      </c>
      <c r="E26" s="9">
        <f t="shared" si="1"/>
        <v>102</v>
      </c>
      <c r="F26" s="17">
        <f>6</f>
        <v>6</v>
      </c>
      <c r="G26" s="9">
        <f t="shared" si="2"/>
        <v>6</v>
      </c>
      <c r="H26" s="19"/>
      <c r="I26" s="9">
        <f t="shared" si="3"/>
        <v>0</v>
      </c>
    </row>
    <row r="27" spans="1:9" s="5" customFormat="1" ht="18" customHeight="1">
      <c r="A27" s="9" t="s">
        <v>29</v>
      </c>
      <c r="B27" s="13">
        <f>28+52+19+4+25+129+191+68+134+36+59+322+58+88+104+98+77+50+87+26+140+156+111+4+37+84+75+89+40+25+51+49+35+122+107+123+101+17+15+82+43+32+41+18+18+6+16+156+41+146+69+75+86+44+56+96+199+50+196+104+4+6+5+4+6+4+261</f>
        <v>4900</v>
      </c>
      <c r="C27" s="9">
        <f t="shared" si="0"/>
        <v>4900</v>
      </c>
      <c r="D27" s="15">
        <f>23+29+29+60+19+19+32+36+16+18+15+79+46+37+83+13+24+30+21+15+110+88</f>
        <v>842</v>
      </c>
      <c r="E27" s="9">
        <f t="shared" si="1"/>
        <v>842</v>
      </c>
      <c r="F27" s="17">
        <f>34+6+89+79+27+50+50+60+100+38+7+83+82+22+18+10+20+85+149</f>
        <v>1009</v>
      </c>
      <c r="G27" s="9">
        <f t="shared" si="2"/>
        <v>1009</v>
      </c>
      <c r="H27" s="19"/>
      <c r="I27" s="9">
        <f t="shared" si="3"/>
        <v>0</v>
      </c>
    </row>
    <row r="28" spans="1:9" s="5" customFormat="1" ht="18" customHeight="1">
      <c r="A28" s="9" t="s">
        <v>30</v>
      </c>
      <c r="B28" s="13"/>
      <c r="C28" s="9">
        <f t="shared" si="0"/>
        <v>0</v>
      </c>
      <c r="D28" s="15"/>
      <c r="E28" s="9">
        <f t="shared" si="1"/>
        <v>0</v>
      </c>
      <c r="F28" s="17"/>
      <c r="G28" s="9">
        <f t="shared" si="2"/>
        <v>0</v>
      </c>
      <c r="H28" s="19"/>
      <c r="I28" s="9">
        <f t="shared" si="3"/>
        <v>0</v>
      </c>
    </row>
    <row r="29" spans="1:9" s="5" customFormat="1" ht="18" customHeight="1">
      <c r="A29" s="9" t="s">
        <v>31</v>
      </c>
      <c r="B29" s="13">
        <f>71+80+75+255+83+56+70+76+70+70+78+77+75+61+243+80+132+62+89+75+79+39+78+64+26+158+31+14+176+254+276+26+122+57+42+82+323+37+16+88+25+27+32+13+9+27+58+91+95+34+76+71+87+86+47+91+69+69+60+16+35+72+104+59+90+92+77+156+72+75+79+68+77+74+80+83+171+225+67+13+175+162+97+62+75+73+95+174+118+80+58+85+14+74+51+85+80+80+69+245+148+92+81+56+120+34+31+38+96+203+93+84+175+140+74+110+140+68+53+63+50+156+49+50+36+74+85+81+48+2+31+42+37+10+2+83+73+90+52+78+87+45+80+92+149+80+91+69</f>
        <v>12391</v>
      </c>
      <c r="C29" s="9">
        <f t="shared" si="0"/>
        <v>12391</v>
      </c>
      <c r="D29" s="15">
        <f>11+14+45+12+9+4+1+28</f>
        <v>124</v>
      </c>
      <c r="E29" s="9">
        <f t="shared" si="1"/>
        <v>124</v>
      </c>
      <c r="F29" s="17">
        <f>39</f>
        <v>39</v>
      </c>
      <c r="G29" s="9">
        <f t="shared" si="2"/>
        <v>39</v>
      </c>
      <c r="H29" s="19"/>
      <c r="I29" s="9">
        <f t="shared" si="3"/>
        <v>0</v>
      </c>
    </row>
    <row r="30" spans="1:9" s="5" customFormat="1" ht="18" customHeight="1">
      <c r="A30" s="9" t="s">
        <v>32</v>
      </c>
      <c r="B30" s="13">
        <f>37+44+27+146+38+120+53+33+96+112+109+78+56+63+52+77+52+35+115+78+7+66+58+92+170+78+400+170+520+28+38+82+19+15+50+31+40+35+300+260+85+530+85+60+135+128+70+61+92+257+205+8+6+612+32+57+10+78+82+87+62+16+40+220+42+64+11+85+9+82+180+19+510</f>
        <v>7900</v>
      </c>
      <c r="C30" s="9">
        <f t="shared" si="0"/>
        <v>7900</v>
      </c>
      <c r="D30" s="15">
        <f>110+125+320+100+1</f>
        <v>656</v>
      </c>
      <c r="E30" s="9">
        <f t="shared" si="1"/>
        <v>656</v>
      </c>
      <c r="F30" s="17"/>
      <c r="G30" s="9">
        <f t="shared" si="2"/>
        <v>0</v>
      </c>
      <c r="H30" s="19"/>
      <c r="I30" s="9">
        <f t="shared" si="3"/>
        <v>0</v>
      </c>
    </row>
    <row r="31" spans="1:9" s="5" customFormat="1" ht="18" customHeight="1">
      <c r="A31" s="9" t="s">
        <v>33</v>
      </c>
      <c r="B31" s="13">
        <f>181+58+77+553+111+62+17+16+59+35+36+84+10+24+71+85+304+131+27+81+84+80+66+125+217+89+89+71+177+82+84+66+99+104+85+95+62+152+10+53+134+257</f>
        <v>4303</v>
      </c>
      <c r="C31" s="9">
        <f t="shared" si="0"/>
        <v>4303</v>
      </c>
      <c r="D31" s="15">
        <f>8+75+35+37+17+4+7+42+12+2+50+42+54+19+2+10+43+47+138+41+47+80+21+76+42+32+60+60+11+36+40+40+11+44+17+80+40+116+51+90+138+56+94+142+44+47+44+2+76+1+1+1+6+6+5+2+20+48+8+21+855</f>
        <v>3296</v>
      </c>
      <c r="E31" s="9">
        <f t="shared" si="1"/>
        <v>3296</v>
      </c>
      <c r="F31" s="17">
        <f>54+76</f>
        <v>130</v>
      </c>
      <c r="G31" s="9">
        <f t="shared" si="2"/>
        <v>130</v>
      </c>
      <c r="H31" s="19">
        <f>2</f>
        <v>2</v>
      </c>
      <c r="I31" s="9">
        <f t="shared" si="3"/>
        <v>2</v>
      </c>
    </row>
    <row r="32" spans="1:9" s="5" customFormat="1" ht="18" customHeight="1">
      <c r="A32" s="9" t="s">
        <v>34</v>
      </c>
      <c r="B32" s="13"/>
      <c r="C32" s="9">
        <f t="shared" si="0"/>
        <v>0</v>
      </c>
      <c r="D32" s="15"/>
      <c r="E32" s="9">
        <f t="shared" si="1"/>
        <v>0</v>
      </c>
      <c r="F32" s="17"/>
      <c r="G32" s="9">
        <f t="shared" si="2"/>
        <v>0</v>
      </c>
      <c r="H32" s="19"/>
      <c r="I32" s="9">
        <f t="shared" si="3"/>
        <v>0</v>
      </c>
    </row>
    <row r="33" spans="1:9" s="5" customFormat="1" ht="18" customHeight="1">
      <c r="A33" s="9" t="s">
        <v>35</v>
      </c>
      <c r="B33" s="13"/>
      <c r="C33" s="9">
        <f t="shared" si="0"/>
        <v>0</v>
      </c>
      <c r="D33" s="15"/>
      <c r="E33" s="9">
        <f t="shared" si="1"/>
        <v>0</v>
      </c>
      <c r="F33" s="17"/>
      <c r="G33" s="9">
        <f t="shared" si="2"/>
        <v>0</v>
      </c>
      <c r="H33" s="19"/>
      <c r="I33" s="9">
        <f t="shared" si="3"/>
        <v>0</v>
      </c>
    </row>
    <row r="34" spans="1:9" s="5" customFormat="1" ht="18" customHeight="1">
      <c r="A34" s="9" t="s">
        <v>36</v>
      </c>
      <c r="B34" s="13"/>
      <c r="C34" s="9">
        <f t="shared" si="0"/>
        <v>0</v>
      </c>
      <c r="D34" s="15"/>
      <c r="E34" s="9">
        <f t="shared" si="1"/>
        <v>0</v>
      </c>
      <c r="F34" s="17"/>
      <c r="G34" s="9">
        <f t="shared" si="2"/>
        <v>0</v>
      </c>
      <c r="H34" s="19"/>
      <c r="I34" s="9">
        <f t="shared" si="3"/>
        <v>0</v>
      </c>
    </row>
    <row r="35" spans="1:9" s="5" customFormat="1" ht="18" customHeight="1">
      <c r="A35" s="9" t="s">
        <v>37</v>
      </c>
      <c r="B35" s="13"/>
      <c r="C35" s="9">
        <f t="shared" si="0"/>
        <v>0</v>
      </c>
      <c r="D35" s="15"/>
      <c r="E35" s="9">
        <f t="shared" si="1"/>
        <v>0</v>
      </c>
      <c r="F35" s="17"/>
      <c r="G35" s="9">
        <f t="shared" si="2"/>
        <v>0</v>
      </c>
      <c r="H35" s="19"/>
      <c r="I35" s="9">
        <f t="shared" si="3"/>
        <v>0</v>
      </c>
    </row>
    <row r="36" spans="1:9" s="5" customFormat="1" ht="18" customHeight="1">
      <c r="A36" s="9" t="s">
        <v>38</v>
      </c>
      <c r="B36" s="13"/>
      <c r="C36" s="9">
        <f t="shared" si="0"/>
        <v>0</v>
      </c>
      <c r="D36" s="15"/>
      <c r="E36" s="9">
        <f t="shared" si="1"/>
        <v>0</v>
      </c>
      <c r="F36" s="17">
        <f>41+108</f>
        <v>149</v>
      </c>
      <c r="G36" s="9">
        <f t="shared" si="2"/>
        <v>149</v>
      </c>
      <c r="H36" s="19"/>
      <c r="I36" s="9">
        <f t="shared" si="3"/>
        <v>0</v>
      </c>
    </row>
    <row r="37" spans="1:9" s="5" customFormat="1" ht="18" customHeight="1">
      <c r="A37" s="9" t="s">
        <v>39</v>
      </c>
      <c r="B37" s="13"/>
      <c r="C37" s="9">
        <f aca="true" t="shared" si="4" ref="C37:C54">B37</f>
        <v>0</v>
      </c>
      <c r="D37" s="15">
        <f>3+3</f>
        <v>6</v>
      </c>
      <c r="E37" s="9">
        <f aca="true" t="shared" si="5" ref="E37:E54">D37</f>
        <v>6</v>
      </c>
      <c r="F37" s="17"/>
      <c r="G37" s="9">
        <f aca="true" t="shared" si="6" ref="G37:G54">F37</f>
        <v>0</v>
      </c>
      <c r="H37" s="19"/>
      <c r="I37" s="9">
        <f aca="true" t="shared" si="7" ref="I37:I54">H37</f>
        <v>0</v>
      </c>
    </row>
    <row r="38" spans="1:9" s="5" customFormat="1" ht="18" customHeight="1">
      <c r="A38" s="9" t="s">
        <v>40</v>
      </c>
      <c r="B38" s="13">
        <f>151+106+66+69+71+73+68+95+95+86+124+25+110+99+101+464+54+91+43+13+209+130+48+288+88+79+98+595+79+103+96+221+207+120+139+180+85+152+134+211+100+22+30+10+149+91+111+196+89+120+222+79+98+301+17+74+59+61+287+43+199+8+518+95+88+190+63+86+76+243+89+27+47+30+95+160+50+95+500+200+31+150+74+84+272+194+82+74+14+250+83+82+81</f>
        <v>11755</v>
      </c>
      <c r="C38" s="9">
        <f t="shared" si="4"/>
        <v>11755</v>
      </c>
      <c r="D38" s="15">
        <f>38+18+2</f>
        <v>58</v>
      </c>
      <c r="E38" s="9">
        <f t="shared" si="5"/>
        <v>58</v>
      </c>
      <c r="F38" s="17"/>
      <c r="G38" s="9">
        <f t="shared" si="6"/>
        <v>0</v>
      </c>
      <c r="H38" s="19"/>
      <c r="I38" s="9">
        <f t="shared" si="7"/>
        <v>0</v>
      </c>
    </row>
    <row r="39" spans="1:9" s="5" customFormat="1" ht="18" customHeight="1">
      <c r="A39" s="9" t="s">
        <v>41</v>
      </c>
      <c r="B39" s="13"/>
      <c r="C39" s="9">
        <f t="shared" si="4"/>
        <v>0</v>
      </c>
      <c r="D39" s="15"/>
      <c r="E39" s="9">
        <f t="shared" si="5"/>
        <v>0</v>
      </c>
      <c r="F39" s="17"/>
      <c r="G39" s="9">
        <f t="shared" si="6"/>
        <v>0</v>
      </c>
      <c r="H39" s="19"/>
      <c r="I39" s="9">
        <f t="shared" si="7"/>
        <v>0</v>
      </c>
    </row>
    <row r="40" spans="1:9" s="5" customFormat="1" ht="18" customHeight="1">
      <c r="A40" s="9" t="s">
        <v>42</v>
      </c>
      <c r="B40" s="13">
        <f>86+85+89+80+87+78+79+83+69+81+83+81</f>
        <v>981</v>
      </c>
      <c r="C40" s="9">
        <f t="shared" si="4"/>
        <v>981</v>
      </c>
      <c r="D40" s="15">
        <f>1+7+2+16+2+10+19+4+47+25+4</f>
        <v>137</v>
      </c>
      <c r="E40" s="9">
        <f t="shared" si="5"/>
        <v>137</v>
      </c>
      <c r="F40" s="17"/>
      <c r="G40" s="9">
        <f t="shared" si="6"/>
        <v>0</v>
      </c>
      <c r="H40" s="19"/>
      <c r="I40" s="9">
        <f t="shared" si="7"/>
        <v>0</v>
      </c>
    </row>
    <row r="41" spans="1:9" s="5" customFormat="1" ht="18" customHeight="1">
      <c r="A41" s="9" t="s">
        <v>43</v>
      </c>
      <c r="B41" s="13">
        <f>30+74+15+82+8+90+56</f>
        <v>355</v>
      </c>
      <c r="C41" s="9">
        <f t="shared" si="4"/>
        <v>355</v>
      </c>
      <c r="D41" s="21"/>
      <c r="E41" s="9">
        <f t="shared" si="5"/>
        <v>0</v>
      </c>
      <c r="F41" s="17"/>
      <c r="G41" s="9">
        <f t="shared" si="6"/>
        <v>0</v>
      </c>
      <c r="H41" s="19"/>
      <c r="I41" s="9">
        <f t="shared" si="7"/>
        <v>0</v>
      </c>
    </row>
    <row r="42" spans="1:9" s="5" customFormat="1" ht="18" customHeight="1">
      <c r="A42" s="9" t="s">
        <v>44</v>
      </c>
      <c r="B42" s="13">
        <f>88+86</f>
        <v>174</v>
      </c>
      <c r="C42" s="9">
        <f t="shared" si="4"/>
        <v>174</v>
      </c>
      <c r="D42" s="15">
        <f>6+74+12+10+30+30+8</f>
        <v>170</v>
      </c>
      <c r="E42" s="9">
        <f t="shared" si="5"/>
        <v>170</v>
      </c>
      <c r="F42" s="17"/>
      <c r="G42" s="9">
        <f t="shared" si="6"/>
        <v>0</v>
      </c>
      <c r="H42" s="19"/>
      <c r="I42" s="9">
        <f t="shared" si="7"/>
        <v>0</v>
      </c>
    </row>
    <row r="43" spans="1:9" s="5" customFormat="1" ht="18" customHeight="1">
      <c r="A43" s="9" t="s">
        <v>45</v>
      </c>
      <c r="B43" s="13"/>
      <c r="C43" s="9">
        <f t="shared" si="4"/>
        <v>0</v>
      </c>
      <c r="D43" s="15"/>
      <c r="E43" s="9">
        <f t="shared" si="5"/>
        <v>0</v>
      </c>
      <c r="F43" s="17"/>
      <c r="G43" s="9">
        <f t="shared" si="6"/>
        <v>0</v>
      </c>
      <c r="H43" s="19"/>
      <c r="I43" s="9">
        <f t="shared" si="7"/>
        <v>0</v>
      </c>
    </row>
    <row r="44" spans="1:9" s="5" customFormat="1" ht="18" customHeight="1">
      <c r="A44" s="9" t="s">
        <v>46</v>
      </c>
      <c r="B44" s="13">
        <f>86+436</f>
        <v>522</v>
      </c>
      <c r="C44" s="9">
        <f t="shared" si="4"/>
        <v>522</v>
      </c>
      <c r="D44" s="15"/>
      <c r="E44" s="9">
        <f t="shared" si="5"/>
        <v>0</v>
      </c>
      <c r="F44" s="17"/>
      <c r="G44" s="9">
        <f t="shared" si="6"/>
        <v>0</v>
      </c>
      <c r="H44" s="19"/>
      <c r="I44" s="9">
        <f t="shared" si="7"/>
        <v>0</v>
      </c>
    </row>
    <row r="45" spans="1:9" s="5" customFormat="1" ht="18" customHeight="1">
      <c r="A45" s="9" t="s">
        <v>47</v>
      </c>
      <c r="B45" s="13">
        <f>40+16+14+14+26+14+67+28+56+13+14+93+31+44+48+6+78+33+84+20+35+40+13+133+127+172+119+70+25+180+16+64+40+45+11+87+25+1+43+1+8+237+329+29+56+39+35+39+13+94+32+23+11+180+17+3+118+25+7+29+112+18+19+65+42+41+10+118+84+150+169+18+31+86+57+240+25+44+305+84+74+76+104+70+22+120+57+98+53+69+103+81+95+96+32+170+75+155+98+31+79+84+97+109+34+50+421+97+94+56+91+108+39+109+174+30+82+194+83+48+56+32+88+26+38+47+5+79+189+125+115+75+190+11+58+65+89+36+75+63+173+25+2+161+125+77+113+160+62+85+84+73+277+287+26+77+75+107+30+250+217+101+40+86+75+118+237+64+25+79+94+115+59+164+136+35+109+103+80+77+138+33+3+115+83+108+7+19+35+45+53+257+152+3+18+99+87+111+93+83+183+166+91+25+61+8+42+36+81+62+84+24+98+86+77+75+75+152+85+90+81+34+17+38+23+68+6+56+36+11+57+55+95+17+73+133+174+199+96+70+83+7+15+65+164+11+59+70+72+84+87+192+67+45+45+45+76+55+36+35+15+198+129+220+79+109+92+235+155+85+82+205+12+72+150+97+160+16+73+261+577+14+84+80+104+239+106+54+224+21+57+11+199+18+75+240+120+90+90+75+162+33+114+63+84+239+327+43+54+20+479+81+161+90+80+60+74+27+48+92+130+19+19+120+55+63+84+66+71+54+44+47+83+75+77+73+52+158+58+21+47+84+67+39+88+63+104+70+95+249+334+84+145+72+192+781</f>
        <v>31463</v>
      </c>
      <c r="C45" s="9">
        <f t="shared" si="4"/>
        <v>31463</v>
      </c>
      <c r="D45" s="15">
        <f>5+15+6+15+10+12+15+8+21+25+15+2+9+15+6+8+5+1+43+62+10+4+52+52+11+24+15+7+12+18+15+20+32+15+7+15+48+21+7+15+1+24+13+22+52+41+15+10+6+53+40+60+10+75+50+20+32+25+27+34</f>
        <v>1308</v>
      </c>
      <c r="E45" s="9">
        <f t="shared" si="5"/>
        <v>1308</v>
      </c>
      <c r="F45" s="17">
        <f>50</f>
        <v>50</v>
      </c>
      <c r="G45" s="9">
        <f t="shared" si="6"/>
        <v>50</v>
      </c>
      <c r="H45" s="19"/>
      <c r="I45" s="9">
        <f t="shared" si="7"/>
        <v>0</v>
      </c>
    </row>
    <row r="46" spans="1:9" s="5" customFormat="1" ht="18" customHeight="1">
      <c r="A46" s="9" t="s">
        <v>48</v>
      </c>
      <c r="B46" s="13">
        <f>70+82+65+54+104+104+90+124+66+293+76</f>
        <v>1128</v>
      </c>
      <c r="C46" s="9">
        <f t="shared" si="4"/>
        <v>1128</v>
      </c>
      <c r="D46" s="15">
        <f>6</f>
        <v>6</v>
      </c>
      <c r="E46" s="9">
        <f t="shared" si="5"/>
        <v>6</v>
      </c>
      <c r="F46" s="17"/>
      <c r="G46" s="9">
        <f t="shared" si="6"/>
        <v>0</v>
      </c>
      <c r="H46" s="19"/>
      <c r="I46" s="9">
        <f t="shared" si="7"/>
        <v>0</v>
      </c>
    </row>
    <row r="47" spans="1:9" s="5" customFormat="1" ht="18" customHeight="1">
      <c r="A47" s="9" t="s">
        <v>49</v>
      </c>
      <c r="B47" s="13"/>
      <c r="C47" s="9">
        <f t="shared" si="4"/>
        <v>0</v>
      </c>
      <c r="D47" s="15"/>
      <c r="E47" s="9">
        <f t="shared" si="5"/>
        <v>0</v>
      </c>
      <c r="F47" s="17"/>
      <c r="G47" s="9">
        <f t="shared" si="6"/>
        <v>0</v>
      </c>
      <c r="H47" s="19"/>
      <c r="I47" s="9">
        <f t="shared" si="7"/>
        <v>0</v>
      </c>
    </row>
    <row r="48" spans="1:9" s="5" customFormat="1" ht="18" customHeight="1">
      <c r="A48" s="9" t="s">
        <v>50</v>
      </c>
      <c r="B48" s="13">
        <f>90</f>
        <v>90</v>
      </c>
      <c r="C48" s="9">
        <f t="shared" si="4"/>
        <v>90</v>
      </c>
      <c r="D48" s="15"/>
      <c r="E48" s="9">
        <f t="shared" si="5"/>
        <v>0</v>
      </c>
      <c r="F48" s="17"/>
      <c r="G48" s="9">
        <f t="shared" si="6"/>
        <v>0</v>
      </c>
      <c r="H48" s="19"/>
      <c r="I48" s="9">
        <f t="shared" si="7"/>
        <v>0</v>
      </c>
    </row>
    <row r="49" spans="1:9" s="5" customFormat="1" ht="18" customHeight="1">
      <c r="A49" s="9" t="s">
        <v>51</v>
      </c>
      <c r="B49" s="13"/>
      <c r="C49" s="9">
        <f t="shared" si="4"/>
        <v>0</v>
      </c>
      <c r="D49" s="15"/>
      <c r="E49" s="9">
        <f t="shared" si="5"/>
        <v>0</v>
      </c>
      <c r="F49" s="17"/>
      <c r="G49" s="9">
        <f t="shared" si="6"/>
        <v>0</v>
      </c>
      <c r="H49" s="19"/>
      <c r="I49" s="9">
        <f t="shared" si="7"/>
        <v>0</v>
      </c>
    </row>
    <row r="50" spans="1:9" s="5" customFormat="1" ht="18" customHeight="1">
      <c r="A50" s="9" t="s">
        <v>52</v>
      </c>
      <c r="B50" s="13">
        <f>68+124+80+80+165+76+76+64+74+76+140+63+52+130</f>
        <v>1268</v>
      </c>
      <c r="C50" s="9">
        <f t="shared" si="4"/>
        <v>1268</v>
      </c>
      <c r="D50" s="15"/>
      <c r="E50" s="9">
        <f t="shared" si="5"/>
        <v>0</v>
      </c>
      <c r="F50" s="17"/>
      <c r="G50" s="9">
        <f t="shared" si="6"/>
        <v>0</v>
      </c>
      <c r="H50" s="19"/>
      <c r="I50" s="9">
        <f t="shared" si="7"/>
        <v>0</v>
      </c>
    </row>
    <row r="51" spans="1:9" s="5" customFormat="1" ht="18" customHeight="1">
      <c r="A51" s="9" t="s">
        <v>53</v>
      </c>
      <c r="B51" s="13">
        <f>105</f>
        <v>105</v>
      </c>
      <c r="C51" s="9">
        <f t="shared" si="4"/>
        <v>105</v>
      </c>
      <c r="D51" s="15"/>
      <c r="E51" s="9">
        <f t="shared" si="5"/>
        <v>0</v>
      </c>
      <c r="F51" s="17"/>
      <c r="G51" s="9">
        <f t="shared" si="6"/>
        <v>0</v>
      </c>
      <c r="H51" s="19"/>
      <c r="I51" s="9">
        <f t="shared" si="7"/>
        <v>0</v>
      </c>
    </row>
    <row r="52" spans="1:9" s="5" customFormat="1" ht="18" customHeight="1">
      <c r="A52" s="9" t="s">
        <v>54</v>
      </c>
      <c r="B52" s="13">
        <f>55+55+66</f>
        <v>176</v>
      </c>
      <c r="C52" s="9">
        <f t="shared" si="4"/>
        <v>176</v>
      </c>
      <c r="D52" s="15"/>
      <c r="E52" s="9">
        <f t="shared" si="5"/>
        <v>0</v>
      </c>
      <c r="F52" s="17"/>
      <c r="G52" s="9">
        <f t="shared" si="6"/>
        <v>0</v>
      </c>
      <c r="H52" s="19"/>
      <c r="I52" s="9">
        <f t="shared" si="7"/>
        <v>0</v>
      </c>
    </row>
    <row r="53" spans="1:9" s="5" customFormat="1" ht="18" customHeight="1">
      <c r="A53" s="9" t="s">
        <v>55</v>
      </c>
      <c r="B53" s="13">
        <f>24+50+72+150+72+50+74+49+93+72+14+64+18+150+150+80+30+60+80+18+102+21+40+4+31+11+15+11+73+73+17+18+146+99+508+51+150+72+52+12+78+210+119+12+94+231+54+19+79+20+64+50+72+106+39+31+21+102+90+29+506+104+47+46+5+14+9+318</f>
        <v>5445</v>
      </c>
      <c r="C53" s="9">
        <f t="shared" si="4"/>
        <v>5445</v>
      </c>
      <c r="D53" s="15">
        <f>1+11+3+50+9+2+32</f>
        <v>108</v>
      </c>
      <c r="E53" s="9">
        <f t="shared" si="5"/>
        <v>108</v>
      </c>
      <c r="F53" s="17">
        <f>9+7+161</f>
        <v>177</v>
      </c>
      <c r="G53" s="9">
        <f t="shared" si="6"/>
        <v>177</v>
      </c>
      <c r="H53" s="19"/>
      <c r="I53" s="9">
        <f t="shared" si="7"/>
        <v>0</v>
      </c>
    </row>
    <row r="54" spans="1:9" s="5" customFormat="1" ht="18" customHeight="1" thickBot="1">
      <c r="A54" s="10" t="s">
        <v>56</v>
      </c>
      <c r="B54" s="14">
        <f>17+230+19+70+176</f>
        <v>512</v>
      </c>
      <c r="C54" s="9">
        <f t="shared" si="4"/>
        <v>512</v>
      </c>
      <c r="D54" s="16">
        <f>53+61+140+127+8+17</f>
        <v>406</v>
      </c>
      <c r="E54" s="9">
        <f t="shared" si="5"/>
        <v>406</v>
      </c>
      <c r="F54" s="18"/>
      <c r="G54" s="9">
        <f t="shared" si="6"/>
        <v>0</v>
      </c>
      <c r="H54" s="20"/>
      <c r="I54" s="9">
        <f t="shared" si="7"/>
        <v>0</v>
      </c>
    </row>
    <row r="55" spans="1:9" s="5" customFormat="1" ht="18" customHeight="1" thickBot="1" thickTop="1">
      <c r="A55" s="11" t="s">
        <v>57</v>
      </c>
      <c r="B55" s="11">
        <f>SUM(B5:B54)</f>
        <v>93355</v>
      </c>
      <c r="C55" s="11"/>
      <c r="D55" s="11">
        <f>SUM(D5:D54)</f>
        <v>7585</v>
      </c>
      <c r="E55" s="11"/>
      <c r="F55" s="11">
        <f>SUM(F5:F54)</f>
        <v>2879</v>
      </c>
      <c r="G55" s="11"/>
      <c r="H55" s="11">
        <f>SUM(H5:H54)</f>
        <v>2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B55</f>
        <v>93355</v>
      </c>
      <c r="D57" s="11"/>
      <c r="E57" s="11">
        <f>D55</f>
        <v>7585</v>
      </c>
      <c r="F57" s="11"/>
      <c r="G57" s="11">
        <f>F55</f>
        <v>2879</v>
      </c>
      <c r="H57" s="11"/>
      <c r="I57" s="11">
        <f>H55</f>
        <v>2</v>
      </c>
    </row>
    <row r="58" s="5" customFormat="1" ht="18" customHeight="1" thickTop="1"/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10300</v>
      </c>
      <c r="F60" s="5">
        <v>776</v>
      </c>
    </row>
    <row r="61" s="5" customFormat="1" ht="18" customHeight="1"/>
    <row r="62" spans="1:7" s="4" customFormat="1" ht="18" customHeight="1">
      <c r="A62" s="4" t="s">
        <v>60</v>
      </c>
      <c r="E62" s="4">
        <f>D60</f>
        <v>10300</v>
      </c>
      <c r="G62" s="4">
        <f>F60</f>
        <v>776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H3:I3"/>
    <mergeCell ref="B3:C3"/>
    <mergeCell ref="D3:E3"/>
    <mergeCell ref="F3:G3"/>
  </mergeCells>
  <printOptions/>
  <pageMargins left="0.5" right="0.5" top="0.1" bottom="0.1" header="0.5" footer="0.5"/>
  <pageSetup horizontalDpi="600" verticalDpi="600" orientation="portrait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34" activePane="bottomLeft" state="frozen"/>
      <selection pane="topLeft" activeCell="A1" sqref="A1"/>
      <selection pane="bottomLeft" activeCell="A34" sqref="A3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70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September!C5+B5</f>
        <v>334</v>
      </c>
      <c r="D5" s="15"/>
      <c r="E5" s="9">
        <f>September!E5+D5</f>
        <v>26</v>
      </c>
      <c r="F5" s="17"/>
      <c r="G5" s="9">
        <f>September!G5+F5</f>
        <v>0</v>
      </c>
      <c r="H5" s="19"/>
      <c r="I5" s="9">
        <f>September!I5+H5</f>
        <v>0</v>
      </c>
    </row>
    <row r="6" spans="1:9" s="5" customFormat="1" ht="18" customHeight="1">
      <c r="A6" s="9" t="s">
        <v>8</v>
      </c>
      <c r="B6" s="13"/>
      <c r="C6" s="9">
        <f>September!C6+B6</f>
        <v>0</v>
      </c>
      <c r="D6" s="15"/>
      <c r="E6" s="9">
        <f>September!E6+D6</f>
        <v>0</v>
      </c>
      <c r="F6" s="17"/>
      <c r="G6" s="9">
        <f>September!G6+F6</f>
        <v>0</v>
      </c>
      <c r="H6" s="19"/>
      <c r="I6" s="9">
        <f>September!I6+H6</f>
        <v>0</v>
      </c>
    </row>
    <row r="7" spans="1:9" s="5" customFormat="1" ht="18" customHeight="1">
      <c r="A7" s="9" t="s">
        <v>9</v>
      </c>
      <c r="B7" s="13"/>
      <c r="C7" s="9">
        <f>September!C7+B7</f>
        <v>181</v>
      </c>
      <c r="D7" s="15"/>
      <c r="E7" s="9">
        <f>September!E7+D7</f>
        <v>292</v>
      </c>
      <c r="F7" s="17"/>
      <c r="G7" s="9">
        <f>September!G7+F7</f>
        <v>1283</v>
      </c>
      <c r="H7" s="19"/>
      <c r="I7" s="9">
        <f>September!I7+H7</f>
        <v>0</v>
      </c>
    </row>
    <row r="8" spans="1:9" s="5" customFormat="1" ht="18" customHeight="1">
      <c r="A8" s="9" t="s">
        <v>10</v>
      </c>
      <c r="B8" s="13"/>
      <c r="C8" s="9">
        <f>September!C8+B8</f>
        <v>2797</v>
      </c>
      <c r="D8" s="15"/>
      <c r="E8" s="9">
        <f>September!E8+D8</f>
        <v>42</v>
      </c>
      <c r="F8" s="17"/>
      <c r="G8" s="9">
        <f>September!G8+F8</f>
        <v>0</v>
      </c>
      <c r="H8" s="19"/>
      <c r="I8" s="9">
        <f>September!I8+H8</f>
        <v>15</v>
      </c>
    </row>
    <row r="9" spans="1:9" s="5" customFormat="1" ht="18" customHeight="1">
      <c r="A9" s="9" t="s">
        <v>11</v>
      </c>
      <c r="B9" s="13"/>
      <c r="C9" s="9">
        <f>September!C9+B9</f>
        <v>2823</v>
      </c>
      <c r="D9" s="15"/>
      <c r="E9" s="9">
        <f>September!E9+D9</f>
        <v>186</v>
      </c>
      <c r="F9" s="17"/>
      <c r="G9" s="9">
        <f>September!G9+F9</f>
        <v>3497</v>
      </c>
      <c r="H9" s="19"/>
      <c r="I9" s="9">
        <f>September!I9+H9</f>
        <v>0</v>
      </c>
    </row>
    <row r="10" spans="1:9" s="5" customFormat="1" ht="18" customHeight="1">
      <c r="A10" s="9" t="s">
        <v>12</v>
      </c>
      <c r="B10" s="13"/>
      <c r="C10" s="9">
        <f>September!C10+B10</f>
        <v>8352</v>
      </c>
      <c r="D10" s="15"/>
      <c r="E10" s="9">
        <f>September!E10+D10</f>
        <v>28</v>
      </c>
      <c r="F10" s="17"/>
      <c r="G10" s="9">
        <f>September!G10+F10</f>
        <v>14</v>
      </c>
      <c r="H10" s="19"/>
      <c r="I10" s="9">
        <f>September!I10+H10</f>
        <v>0</v>
      </c>
    </row>
    <row r="11" spans="1:9" s="5" customFormat="1" ht="18" customHeight="1">
      <c r="A11" s="9" t="s">
        <v>13</v>
      </c>
      <c r="B11" s="13"/>
      <c r="C11" s="9">
        <f>September!C11+B11</f>
        <v>1049</v>
      </c>
      <c r="D11" s="15"/>
      <c r="E11" s="9">
        <f>September!E11+D11</f>
        <v>936</v>
      </c>
      <c r="F11" s="17"/>
      <c r="G11" s="9">
        <f>September!G11+F11</f>
        <v>263</v>
      </c>
      <c r="H11" s="19"/>
      <c r="I11" s="9">
        <f>September!I11+H11</f>
        <v>0</v>
      </c>
    </row>
    <row r="12" spans="1:9" s="5" customFormat="1" ht="18" customHeight="1">
      <c r="A12" s="9" t="s">
        <v>14</v>
      </c>
      <c r="B12" s="13"/>
      <c r="C12" s="9">
        <f>September!C12+B12</f>
        <v>0</v>
      </c>
      <c r="D12" s="15"/>
      <c r="E12" s="9">
        <f>September!E12+D12</f>
        <v>0</v>
      </c>
      <c r="F12" s="17"/>
      <c r="G12" s="9">
        <f>September!G12+F12</f>
        <v>0</v>
      </c>
      <c r="H12" s="19"/>
      <c r="I12" s="9">
        <f>September!I12+H12</f>
        <v>0</v>
      </c>
    </row>
    <row r="13" spans="1:9" s="5" customFormat="1" ht="18" customHeight="1">
      <c r="A13" s="9" t="s">
        <v>15</v>
      </c>
      <c r="B13" s="13"/>
      <c r="C13" s="9">
        <f>September!C13+B13</f>
        <v>0</v>
      </c>
      <c r="D13" s="15"/>
      <c r="E13" s="9">
        <f>September!E13+D13</f>
        <v>0</v>
      </c>
      <c r="F13" s="17"/>
      <c r="G13" s="9">
        <f>September!G13+F13</f>
        <v>0</v>
      </c>
      <c r="H13" s="19"/>
      <c r="I13" s="9">
        <f>September!I13+H13</f>
        <v>0</v>
      </c>
    </row>
    <row r="14" spans="1:9" s="5" customFormat="1" ht="18" customHeight="1">
      <c r="A14" s="9" t="s">
        <v>16</v>
      </c>
      <c r="B14" s="13"/>
      <c r="C14" s="9">
        <f>September!C14+B14</f>
        <v>1221</v>
      </c>
      <c r="D14" s="15"/>
      <c r="E14" s="9">
        <f>September!E14+D14</f>
        <v>0</v>
      </c>
      <c r="F14" s="17"/>
      <c r="G14" s="9">
        <f>September!G14+F14</f>
        <v>0</v>
      </c>
      <c r="H14" s="19"/>
      <c r="I14" s="9">
        <f>September!I14+H14</f>
        <v>0</v>
      </c>
    </row>
    <row r="15" spans="1:9" s="5" customFormat="1" ht="18" customHeight="1">
      <c r="A15" s="9" t="s">
        <v>17</v>
      </c>
      <c r="B15" s="13"/>
      <c r="C15" s="9">
        <f>September!C15+B15</f>
        <v>969</v>
      </c>
      <c r="D15" s="15"/>
      <c r="E15" s="9">
        <f>September!E15+D15</f>
        <v>67</v>
      </c>
      <c r="F15" s="17"/>
      <c r="G15" s="9">
        <f>September!G15+F15</f>
        <v>1</v>
      </c>
      <c r="H15" s="19"/>
      <c r="I15" s="9">
        <f>September!I15+H15</f>
        <v>0</v>
      </c>
    </row>
    <row r="16" spans="1:9" s="5" customFormat="1" ht="18" customHeight="1">
      <c r="A16" s="9" t="s">
        <v>18</v>
      </c>
      <c r="B16" s="13"/>
      <c r="C16" s="9">
        <f>September!C16+B16</f>
        <v>0</v>
      </c>
      <c r="D16" s="15"/>
      <c r="E16" s="9">
        <f>September!E16+D16</f>
        <v>0</v>
      </c>
      <c r="F16" s="17"/>
      <c r="G16" s="9">
        <f>September!G16+F16</f>
        <v>0</v>
      </c>
      <c r="H16" s="19"/>
      <c r="I16" s="9">
        <f>September!I16+H16</f>
        <v>0</v>
      </c>
    </row>
    <row r="17" spans="1:9" s="5" customFormat="1" ht="18" customHeight="1">
      <c r="A17" s="9" t="s">
        <v>19</v>
      </c>
      <c r="B17" s="13"/>
      <c r="C17" s="9">
        <f>September!C17+B17</f>
        <v>1047</v>
      </c>
      <c r="D17" s="15"/>
      <c r="E17" s="9">
        <f>September!E17+D17</f>
        <v>57</v>
      </c>
      <c r="F17" s="17"/>
      <c r="G17" s="9">
        <f>September!G17+F17</f>
        <v>715</v>
      </c>
      <c r="H17" s="19"/>
      <c r="I17" s="9">
        <f>September!I17+H17</f>
        <v>0</v>
      </c>
    </row>
    <row r="18" spans="1:9" s="5" customFormat="1" ht="18" customHeight="1">
      <c r="A18" s="9" t="s">
        <v>20</v>
      </c>
      <c r="B18" s="13"/>
      <c r="C18" s="9">
        <f>September!C18+B18</f>
        <v>2568</v>
      </c>
      <c r="D18" s="15"/>
      <c r="E18" s="9">
        <f>September!E18+D18</f>
        <v>1215</v>
      </c>
      <c r="F18" s="17"/>
      <c r="G18" s="9">
        <f>September!G18+F18</f>
        <v>284</v>
      </c>
      <c r="H18" s="19"/>
      <c r="I18" s="9">
        <f>September!I18+H18</f>
        <v>0</v>
      </c>
    </row>
    <row r="19" spans="1:9" s="5" customFormat="1" ht="18" customHeight="1">
      <c r="A19" s="9" t="s">
        <v>21</v>
      </c>
      <c r="B19" s="13"/>
      <c r="C19" s="9">
        <f>September!C19+B19</f>
        <v>11064</v>
      </c>
      <c r="D19" s="15"/>
      <c r="E19" s="9">
        <f>September!E19+D19</f>
        <v>98</v>
      </c>
      <c r="F19" s="17"/>
      <c r="G19" s="9">
        <f>September!G19+F19</f>
        <v>817</v>
      </c>
      <c r="H19" s="19"/>
      <c r="I19" s="9">
        <f>September!I19+H19</f>
        <v>0</v>
      </c>
    </row>
    <row r="20" spans="1:9" s="5" customFormat="1" ht="18" customHeight="1">
      <c r="A20" s="9" t="s">
        <v>22</v>
      </c>
      <c r="B20" s="13"/>
      <c r="C20" s="9">
        <f>September!C20+B20</f>
        <v>19959</v>
      </c>
      <c r="D20" s="15"/>
      <c r="E20" s="9">
        <f>September!E20+D20</f>
        <v>1780</v>
      </c>
      <c r="F20" s="17"/>
      <c r="G20" s="9">
        <f>September!G20+F20</f>
        <v>1763</v>
      </c>
      <c r="H20" s="19"/>
      <c r="I20" s="9">
        <f>September!I20+H20</f>
        <v>0</v>
      </c>
    </row>
    <row r="21" spans="1:9" s="5" customFormat="1" ht="18" customHeight="1">
      <c r="A21" s="9" t="s">
        <v>23</v>
      </c>
      <c r="B21" s="13"/>
      <c r="C21" s="9">
        <f>September!C21+B21</f>
        <v>52263</v>
      </c>
      <c r="D21" s="15"/>
      <c r="E21" s="9">
        <f>September!E21+D21</f>
        <v>16</v>
      </c>
      <c r="F21" s="17"/>
      <c r="G21" s="9">
        <f>September!G21+F21</f>
        <v>1</v>
      </c>
      <c r="H21" s="19"/>
      <c r="I21" s="9">
        <f>September!I21+H21</f>
        <v>0</v>
      </c>
    </row>
    <row r="22" spans="1:9" s="5" customFormat="1" ht="18" customHeight="1">
      <c r="A22" s="9" t="s">
        <v>24</v>
      </c>
      <c r="B22" s="13"/>
      <c r="C22" s="9">
        <f>September!C22+B22</f>
        <v>0</v>
      </c>
      <c r="D22" s="15"/>
      <c r="E22" s="9">
        <f>September!E22+D22</f>
        <v>0</v>
      </c>
      <c r="F22" s="17"/>
      <c r="G22" s="9">
        <f>September!G22+F22</f>
        <v>0</v>
      </c>
      <c r="H22" s="19"/>
      <c r="I22" s="9">
        <f>September!I22+H22</f>
        <v>0</v>
      </c>
    </row>
    <row r="23" spans="1:9" s="5" customFormat="1" ht="18" customHeight="1">
      <c r="A23" s="9" t="s">
        <v>25</v>
      </c>
      <c r="B23" s="13"/>
      <c r="C23" s="9">
        <f>September!C23+B23</f>
        <v>0</v>
      </c>
      <c r="D23" s="15"/>
      <c r="E23" s="9">
        <f>September!E23+D23</f>
        <v>0</v>
      </c>
      <c r="F23" s="17"/>
      <c r="G23" s="9">
        <f>September!G23+F23</f>
        <v>3</v>
      </c>
      <c r="H23" s="19"/>
      <c r="I23" s="9">
        <f>September!I23+H23</f>
        <v>0</v>
      </c>
    </row>
    <row r="24" spans="1:9" s="5" customFormat="1" ht="18" customHeight="1">
      <c r="A24" s="9" t="s">
        <v>26</v>
      </c>
      <c r="B24" s="13"/>
      <c r="C24" s="9">
        <f>September!C24+B24</f>
        <v>0</v>
      </c>
      <c r="D24" s="15"/>
      <c r="E24" s="9">
        <f>September!E24+D24</f>
        <v>6</v>
      </c>
      <c r="F24" s="17"/>
      <c r="G24" s="9">
        <f>September!G24+F24</f>
        <v>5</v>
      </c>
      <c r="H24" s="19"/>
      <c r="I24" s="9">
        <f>September!I24+H24</f>
        <v>0</v>
      </c>
    </row>
    <row r="25" spans="1:9" s="5" customFormat="1" ht="18" customHeight="1">
      <c r="A25" s="9" t="s">
        <v>27</v>
      </c>
      <c r="B25" s="13"/>
      <c r="C25" s="9">
        <f>September!C25+B25</f>
        <v>0</v>
      </c>
      <c r="D25" s="15"/>
      <c r="E25" s="9">
        <f>September!E25+D25</f>
        <v>0</v>
      </c>
      <c r="F25" s="17"/>
      <c r="G25" s="9">
        <f>September!G25+F25</f>
        <v>11</v>
      </c>
      <c r="H25" s="19"/>
      <c r="I25" s="9">
        <f>September!I25+H25</f>
        <v>0</v>
      </c>
    </row>
    <row r="26" spans="1:9" s="5" customFormat="1" ht="18" customHeight="1">
      <c r="A26" s="9" t="s">
        <v>28</v>
      </c>
      <c r="B26" s="13"/>
      <c r="C26" s="9">
        <f>September!C26+B26</f>
        <v>1745</v>
      </c>
      <c r="D26" s="15"/>
      <c r="E26" s="9">
        <f>September!E26+D26</f>
        <v>162</v>
      </c>
      <c r="F26" s="17"/>
      <c r="G26" s="9">
        <f>September!G26+F26</f>
        <v>158</v>
      </c>
      <c r="H26" s="19"/>
      <c r="I26" s="9">
        <f>September!I26+H26</f>
        <v>0</v>
      </c>
    </row>
    <row r="27" spans="1:9" s="5" customFormat="1" ht="18" customHeight="1">
      <c r="A27" s="9" t="s">
        <v>29</v>
      </c>
      <c r="B27" s="13"/>
      <c r="C27" s="9">
        <f>September!C27+B27</f>
        <v>18728</v>
      </c>
      <c r="D27" s="15"/>
      <c r="E27" s="9">
        <f>September!E27+D27</f>
        <v>2572</v>
      </c>
      <c r="F27" s="17"/>
      <c r="G27" s="9">
        <f>September!G27+F27</f>
        <v>4145</v>
      </c>
      <c r="H27" s="19"/>
      <c r="I27" s="9">
        <f>September!I27+H27</f>
        <v>0</v>
      </c>
    </row>
    <row r="28" spans="1:9" s="5" customFormat="1" ht="18" customHeight="1">
      <c r="A28" s="9" t="s">
        <v>30</v>
      </c>
      <c r="B28" s="13"/>
      <c r="C28" s="9">
        <f>September!C28+B28</f>
        <v>2327</v>
      </c>
      <c r="D28" s="15"/>
      <c r="E28" s="9">
        <f>September!E28+D28</f>
        <v>5</v>
      </c>
      <c r="F28" s="17"/>
      <c r="G28" s="9">
        <f>September!G28+F28</f>
        <v>0</v>
      </c>
      <c r="H28" s="19"/>
      <c r="I28" s="9">
        <f>September!I28+H28</f>
        <v>0</v>
      </c>
    </row>
    <row r="29" spans="1:9" s="5" customFormat="1" ht="18" customHeight="1">
      <c r="A29" s="9" t="s">
        <v>31</v>
      </c>
      <c r="B29" s="13"/>
      <c r="C29" s="9">
        <f>September!C29+B29</f>
        <v>93781</v>
      </c>
      <c r="D29" s="15"/>
      <c r="E29" s="9">
        <f>September!E29+D29</f>
        <v>2407</v>
      </c>
      <c r="F29" s="17"/>
      <c r="G29" s="9">
        <f>September!G29+F29</f>
        <v>311</v>
      </c>
      <c r="H29" s="19"/>
      <c r="I29" s="9">
        <f>September!I29+H29</f>
        <v>4</v>
      </c>
    </row>
    <row r="30" spans="1:9" s="5" customFormat="1" ht="18" customHeight="1">
      <c r="A30" s="9" t="s">
        <v>32</v>
      </c>
      <c r="B30" s="13"/>
      <c r="C30" s="9">
        <f>September!C30+B30</f>
        <v>31443</v>
      </c>
      <c r="D30" s="15"/>
      <c r="E30" s="9">
        <f>September!E30+D30</f>
        <v>5716</v>
      </c>
      <c r="F30" s="17"/>
      <c r="G30" s="9">
        <f>September!G30+F30</f>
        <v>43</v>
      </c>
      <c r="H30" s="19"/>
      <c r="I30" s="9">
        <f>September!I30+H30</f>
        <v>0</v>
      </c>
    </row>
    <row r="31" spans="1:9" s="5" customFormat="1" ht="18" customHeight="1">
      <c r="A31" s="9" t="s">
        <v>33</v>
      </c>
      <c r="B31" s="13"/>
      <c r="C31" s="9">
        <f>September!C31+B31</f>
        <v>5599</v>
      </c>
      <c r="D31" s="15"/>
      <c r="E31" s="9">
        <f>September!E31+D31</f>
        <v>13136</v>
      </c>
      <c r="F31" s="17"/>
      <c r="G31" s="9">
        <f>September!G31+F31</f>
        <v>686</v>
      </c>
      <c r="H31" s="19"/>
      <c r="I31" s="9">
        <f>September!I31+H31</f>
        <v>62</v>
      </c>
    </row>
    <row r="32" spans="1:9" s="5" customFormat="1" ht="18" customHeight="1">
      <c r="A32" s="9" t="s">
        <v>34</v>
      </c>
      <c r="B32" s="13"/>
      <c r="C32" s="9">
        <f>September!C32+B32</f>
        <v>0</v>
      </c>
      <c r="D32" s="15"/>
      <c r="E32" s="9">
        <f>September!E32+D32</f>
        <v>0</v>
      </c>
      <c r="F32" s="17"/>
      <c r="G32" s="9">
        <f>September!G32+F32</f>
        <v>0</v>
      </c>
      <c r="H32" s="19"/>
      <c r="I32" s="9">
        <f>September!I32+H32</f>
        <v>0</v>
      </c>
    </row>
    <row r="33" spans="1:9" s="5" customFormat="1" ht="18" customHeight="1">
      <c r="A33" s="9" t="s">
        <v>35</v>
      </c>
      <c r="B33" s="13"/>
      <c r="C33" s="9">
        <f>September!C33+B33</f>
        <v>0</v>
      </c>
      <c r="D33" s="15"/>
      <c r="E33" s="9">
        <f>September!E33+D33</f>
        <v>0</v>
      </c>
      <c r="F33" s="17"/>
      <c r="G33" s="9">
        <f>September!G33+F33</f>
        <v>0</v>
      </c>
      <c r="H33" s="19"/>
      <c r="I33" s="9">
        <f>September!I33+H33</f>
        <v>0</v>
      </c>
    </row>
    <row r="34" spans="1:9" s="5" customFormat="1" ht="18" customHeight="1">
      <c r="A34" s="9" t="s">
        <v>36</v>
      </c>
      <c r="B34" s="13"/>
      <c r="C34" s="9">
        <f>September!C34+B34</f>
        <v>0</v>
      </c>
      <c r="D34" s="15"/>
      <c r="E34" s="9">
        <f>September!E34+D34</f>
        <v>0</v>
      </c>
      <c r="F34" s="17"/>
      <c r="G34" s="9">
        <f>September!G34+F34</f>
        <v>0</v>
      </c>
      <c r="H34" s="19"/>
      <c r="I34" s="9">
        <f>September!I34+H34</f>
        <v>0</v>
      </c>
    </row>
    <row r="35" spans="1:9" s="5" customFormat="1" ht="18" customHeight="1">
      <c r="A35" s="9" t="s">
        <v>37</v>
      </c>
      <c r="B35" s="13"/>
      <c r="C35" s="9">
        <f>September!C35+B35</f>
        <v>1251</v>
      </c>
      <c r="D35" s="15"/>
      <c r="E35" s="9">
        <f>September!E35+D35</f>
        <v>22</v>
      </c>
      <c r="F35" s="17"/>
      <c r="G35" s="9">
        <f>September!G35+F35</f>
        <v>389</v>
      </c>
      <c r="H35" s="19"/>
      <c r="I35" s="9">
        <f>September!I35+H35</f>
        <v>0</v>
      </c>
    </row>
    <row r="36" spans="1:9" s="5" customFormat="1" ht="18" customHeight="1">
      <c r="A36" s="9" t="s">
        <v>38</v>
      </c>
      <c r="B36" s="13"/>
      <c r="C36" s="9">
        <f>September!C36+B36</f>
        <v>101</v>
      </c>
      <c r="D36" s="15"/>
      <c r="E36" s="9">
        <f>September!E36+D36</f>
        <v>31</v>
      </c>
      <c r="F36" s="17"/>
      <c r="G36" s="9">
        <f>September!G36+F36</f>
        <v>1035</v>
      </c>
      <c r="H36" s="19"/>
      <c r="I36" s="9">
        <f>September!I36+H36</f>
        <v>0</v>
      </c>
    </row>
    <row r="37" spans="1:9" s="5" customFormat="1" ht="18" customHeight="1">
      <c r="A37" s="9" t="s">
        <v>39</v>
      </c>
      <c r="B37" s="13"/>
      <c r="C37" s="9">
        <f>September!C37+B37</f>
        <v>264</v>
      </c>
      <c r="D37" s="15"/>
      <c r="E37" s="9">
        <f>September!E37+D37</f>
        <v>13</v>
      </c>
      <c r="F37" s="17"/>
      <c r="G37" s="9">
        <f>September!G37+F37</f>
        <v>184</v>
      </c>
      <c r="H37" s="19"/>
      <c r="I37" s="9">
        <f>September!I37+H37</f>
        <v>0</v>
      </c>
    </row>
    <row r="38" spans="1:9" s="5" customFormat="1" ht="18" customHeight="1">
      <c r="A38" s="9" t="s">
        <v>40</v>
      </c>
      <c r="B38" s="13"/>
      <c r="C38" s="9">
        <f>September!C38+B38</f>
        <v>55978</v>
      </c>
      <c r="D38" s="15"/>
      <c r="E38" s="9">
        <f>September!E38+D38</f>
        <v>578</v>
      </c>
      <c r="F38" s="17"/>
      <c r="G38" s="9">
        <f>September!G38+F38</f>
        <v>149</v>
      </c>
      <c r="H38" s="19"/>
      <c r="I38" s="9">
        <f>September!I38+H38</f>
        <v>0</v>
      </c>
    </row>
    <row r="39" spans="1:9" s="5" customFormat="1" ht="18" customHeight="1">
      <c r="A39" s="9" t="s">
        <v>41</v>
      </c>
      <c r="B39" s="13"/>
      <c r="C39" s="9">
        <f>September!C39+B39</f>
        <v>0</v>
      </c>
      <c r="D39" s="15"/>
      <c r="E39" s="9">
        <f>September!E39+D39</f>
        <v>39</v>
      </c>
      <c r="F39" s="17"/>
      <c r="G39" s="9">
        <f>September!G39+F39</f>
        <v>205</v>
      </c>
      <c r="H39" s="19"/>
      <c r="I39" s="9">
        <f>September!I39+H39</f>
        <v>0</v>
      </c>
    </row>
    <row r="40" spans="1:9" s="5" customFormat="1" ht="18" customHeight="1">
      <c r="A40" s="9" t="s">
        <v>42</v>
      </c>
      <c r="B40" s="13"/>
      <c r="C40" s="9">
        <f>September!C40+B40</f>
        <v>42835</v>
      </c>
      <c r="D40" s="15"/>
      <c r="E40" s="9">
        <f>September!E40+D40</f>
        <v>508</v>
      </c>
      <c r="F40" s="17"/>
      <c r="G40" s="9">
        <f>September!G40+F40</f>
        <v>10</v>
      </c>
      <c r="H40" s="19"/>
      <c r="I40" s="9">
        <f>September!I40+H40</f>
        <v>0</v>
      </c>
    </row>
    <row r="41" spans="1:9" s="5" customFormat="1" ht="18" customHeight="1">
      <c r="A41" s="9" t="s">
        <v>43</v>
      </c>
      <c r="B41" s="13"/>
      <c r="C41" s="9">
        <f>September!C41+B41</f>
        <v>1133</v>
      </c>
      <c r="D41" s="15"/>
      <c r="E41" s="9">
        <f>September!E41+D41</f>
        <v>0</v>
      </c>
      <c r="F41" s="17"/>
      <c r="G41" s="9">
        <f>September!G41+F41</f>
        <v>79</v>
      </c>
      <c r="H41" s="19"/>
      <c r="I41" s="9">
        <f>September!I41+H41</f>
        <v>0</v>
      </c>
    </row>
    <row r="42" spans="1:9" s="5" customFormat="1" ht="18" customHeight="1">
      <c r="A42" s="9" t="s">
        <v>44</v>
      </c>
      <c r="B42" s="13"/>
      <c r="C42" s="9">
        <f>September!C42+B42</f>
        <v>488</v>
      </c>
      <c r="D42" s="15"/>
      <c r="E42" s="9">
        <f>September!E42+D42</f>
        <v>188</v>
      </c>
      <c r="F42" s="17"/>
      <c r="G42" s="9">
        <f>September!G42+F42</f>
        <v>1482</v>
      </c>
      <c r="H42" s="19"/>
      <c r="I42" s="9">
        <f>September!I42+H42</f>
        <v>0</v>
      </c>
    </row>
    <row r="43" spans="1:9" s="5" customFormat="1" ht="18" customHeight="1">
      <c r="A43" s="9" t="s">
        <v>45</v>
      </c>
      <c r="B43" s="13"/>
      <c r="C43" s="9">
        <f>September!C43+B43</f>
        <v>0</v>
      </c>
      <c r="D43" s="15"/>
      <c r="E43" s="9">
        <f>September!E43+D43</f>
        <v>0</v>
      </c>
      <c r="F43" s="17"/>
      <c r="G43" s="9">
        <f>September!G43+F43</f>
        <v>0</v>
      </c>
      <c r="H43" s="19"/>
      <c r="I43" s="9">
        <f>September!I43+H43</f>
        <v>0</v>
      </c>
    </row>
    <row r="44" spans="1:9" s="5" customFormat="1" ht="18" customHeight="1">
      <c r="A44" s="9" t="s">
        <v>46</v>
      </c>
      <c r="B44" s="13"/>
      <c r="C44" s="9">
        <f>September!C44+B44</f>
        <v>1311</v>
      </c>
      <c r="D44" s="15"/>
      <c r="E44" s="9">
        <f>September!E44+D44</f>
        <v>0</v>
      </c>
      <c r="F44" s="17"/>
      <c r="G44" s="9">
        <f>September!G44+F44</f>
        <v>0</v>
      </c>
      <c r="H44" s="19"/>
      <c r="I44" s="9">
        <f>September!I44+H44</f>
        <v>0</v>
      </c>
    </row>
    <row r="45" spans="1:9" s="5" customFormat="1" ht="18" customHeight="1">
      <c r="A45" s="9" t="s">
        <v>47</v>
      </c>
      <c r="B45" s="13"/>
      <c r="C45" s="9">
        <f>September!C45+B45</f>
        <v>173230</v>
      </c>
      <c r="D45" s="15"/>
      <c r="E45" s="9">
        <f>September!E45+D45</f>
        <v>9062</v>
      </c>
      <c r="F45" s="17"/>
      <c r="G45" s="9">
        <f>September!G45+F45</f>
        <v>827</v>
      </c>
      <c r="H45" s="19"/>
      <c r="I45" s="9">
        <f>September!I45+H45</f>
        <v>0</v>
      </c>
    </row>
    <row r="46" spans="1:9" s="5" customFormat="1" ht="18" customHeight="1">
      <c r="A46" s="9" t="s">
        <v>48</v>
      </c>
      <c r="B46" s="13"/>
      <c r="C46" s="9">
        <f>September!C46+B46</f>
        <v>9797</v>
      </c>
      <c r="D46" s="15"/>
      <c r="E46" s="9">
        <f>September!E46+D46</f>
        <v>150</v>
      </c>
      <c r="F46" s="17"/>
      <c r="G46" s="9">
        <f>September!G46+F46</f>
        <v>3</v>
      </c>
      <c r="H46" s="19"/>
      <c r="I46" s="9">
        <f>September!I46+H46</f>
        <v>0</v>
      </c>
    </row>
    <row r="47" spans="1:9" s="5" customFormat="1" ht="18" customHeight="1">
      <c r="A47" s="9" t="s">
        <v>49</v>
      </c>
      <c r="B47" s="13"/>
      <c r="C47" s="9">
        <f>September!C47+B47</f>
        <v>4998</v>
      </c>
      <c r="D47" s="15"/>
      <c r="E47" s="9">
        <f>September!E47+D47</f>
        <v>824</v>
      </c>
      <c r="F47" s="17"/>
      <c r="G47" s="9">
        <f>September!G47+F47</f>
        <v>2461</v>
      </c>
      <c r="H47" s="19"/>
      <c r="I47" s="9">
        <f>September!I47+H47</f>
        <v>23</v>
      </c>
    </row>
    <row r="48" spans="1:9" s="5" customFormat="1" ht="18" customHeight="1">
      <c r="A48" s="9" t="s">
        <v>50</v>
      </c>
      <c r="B48" s="13"/>
      <c r="C48" s="9">
        <f>September!C48+B48</f>
        <v>133</v>
      </c>
      <c r="D48" s="15"/>
      <c r="E48" s="9">
        <f>September!E48+D48</f>
        <v>9</v>
      </c>
      <c r="F48" s="17"/>
      <c r="G48" s="9">
        <f>September!G48+F48</f>
        <v>1</v>
      </c>
      <c r="H48" s="19"/>
      <c r="I48" s="9">
        <f>September!I48+H48</f>
        <v>0</v>
      </c>
    </row>
    <row r="49" spans="1:9" s="5" customFormat="1" ht="18" customHeight="1">
      <c r="A49" s="9" t="s">
        <v>51</v>
      </c>
      <c r="B49" s="13"/>
      <c r="C49" s="9">
        <f>September!C49+B49</f>
        <v>0</v>
      </c>
      <c r="D49" s="15"/>
      <c r="E49" s="9">
        <f>September!E49+D49</f>
        <v>0</v>
      </c>
      <c r="F49" s="17"/>
      <c r="G49" s="9">
        <f>September!G49+F49</f>
        <v>0</v>
      </c>
      <c r="H49" s="19"/>
      <c r="I49" s="9">
        <f>September!I49+H49</f>
        <v>0</v>
      </c>
    </row>
    <row r="50" spans="1:9" s="5" customFormat="1" ht="18" customHeight="1">
      <c r="A50" s="9" t="s">
        <v>52</v>
      </c>
      <c r="B50" s="13"/>
      <c r="C50" s="9">
        <f>September!C50+B50</f>
        <v>10097</v>
      </c>
      <c r="D50" s="15"/>
      <c r="E50" s="9">
        <f>September!E50+D50</f>
        <v>0</v>
      </c>
      <c r="F50" s="17"/>
      <c r="G50" s="9">
        <f>September!G50+F50</f>
        <v>2</v>
      </c>
      <c r="H50" s="19"/>
      <c r="I50" s="9">
        <f>September!I50+H50</f>
        <v>0</v>
      </c>
    </row>
    <row r="51" spans="1:9" s="5" customFormat="1" ht="18" customHeight="1">
      <c r="A51" s="9" t="s">
        <v>53</v>
      </c>
      <c r="B51" s="13"/>
      <c r="C51" s="9">
        <f>September!C51+B51</f>
        <v>587</v>
      </c>
      <c r="D51" s="15"/>
      <c r="E51" s="9">
        <f>September!E51+D51</f>
        <v>6</v>
      </c>
      <c r="F51" s="17"/>
      <c r="G51" s="9">
        <f>September!G51+F51</f>
        <v>1</v>
      </c>
      <c r="H51" s="19"/>
      <c r="I51" s="9">
        <f>September!I51+H51</f>
        <v>0</v>
      </c>
    </row>
    <row r="52" spans="1:9" s="5" customFormat="1" ht="18" customHeight="1">
      <c r="A52" s="9" t="s">
        <v>54</v>
      </c>
      <c r="B52" s="13"/>
      <c r="C52" s="9">
        <f>September!C52+B52</f>
        <v>1922</v>
      </c>
      <c r="D52" s="15"/>
      <c r="E52" s="9">
        <f>September!E52+D52</f>
        <v>0</v>
      </c>
      <c r="F52" s="17"/>
      <c r="G52" s="9">
        <f>September!G52+F52</f>
        <v>0</v>
      </c>
      <c r="H52" s="19"/>
      <c r="I52" s="9">
        <f>September!I52+H52</f>
        <v>0</v>
      </c>
    </row>
    <row r="53" spans="1:9" s="5" customFormat="1" ht="18" customHeight="1">
      <c r="A53" s="9" t="s">
        <v>55</v>
      </c>
      <c r="B53" s="13"/>
      <c r="C53" s="9">
        <f>September!C53+B53</f>
        <v>26588</v>
      </c>
      <c r="D53" s="15"/>
      <c r="E53" s="9">
        <f>September!E53+D53</f>
        <v>735</v>
      </c>
      <c r="F53" s="17"/>
      <c r="G53" s="9">
        <f>September!G53+F53</f>
        <v>4141</v>
      </c>
      <c r="H53" s="19"/>
      <c r="I53" s="9">
        <f>September!I53+H53</f>
        <v>0</v>
      </c>
    </row>
    <row r="54" spans="1:9" s="5" customFormat="1" ht="18" customHeight="1" thickBot="1">
      <c r="A54" s="10" t="s">
        <v>56</v>
      </c>
      <c r="B54" s="13"/>
      <c r="C54" s="9">
        <f>September!C54+B54</f>
        <v>4263</v>
      </c>
      <c r="D54" s="16"/>
      <c r="E54" s="9">
        <f>September!E54+D54</f>
        <v>2091</v>
      </c>
      <c r="F54" s="17"/>
      <c r="G54" s="9">
        <f>September!G54+F54</f>
        <v>0</v>
      </c>
      <c r="H54" s="19"/>
      <c r="I54" s="9">
        <f>September!I54+H54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September!C57+B55</f>
        <v>628736</v>
      </c>
      <c r="D57" s="11"/>
      <c r="E57" s="11">
        <f>September!E57+D55</f>
        <v>43003</v>
      </c>
      <c r="F57" s="11"/>
      <c r="G57" s="11">
        <f>September!G57+F55</f>
        <v>24969</v>
      </c>
      <c r="H57" s="11"/>
      <c r="I57" s="11">
        <f>September!I57+H55</f>
        <v>104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September!E62+D60</f>
        <v>16705</v>
      </c>
      <c r="G62" s="4">
        <f>September!G62+F60</f>
        <v>2649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34" activePane="bottomLeft" state="frozen"/>
      <selection pane="topLeft" activeCell="A1" sqref="A1"/>
      <selection pane="bottomLeft" activeCell="A34" sqref="A3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71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October!C5+B5</f>
        <v>334</v>
      </c>
      <c r="D5" s="15"/>
      <c r="E5" s="9">
        <f>October!E5+D5</f>
        <v>26</v>
      </c>
      <c r="F5" s="17"/>
      <c r="G5" s="9">
        <f>October!G5+F5</f>
        <v>0</v>
      </c>
      <c r="H5" s="19"/>
      <c r="I5" s="9">
        <f>October!I5+H5</f>
        <v>0</v>
      </c>
    </row>
    <row r="6" spans="1:9" s="5" customFormat="1" ht="18" customHeight="1">
      <c r="A6" s="9" t="s">
        <v>8</v>
      </c>
      <c r="B6" s="13"/>
      <c r="C6" s="9">
        <f>October!C6+B6</f>
        <v>0</v>
      </c>
      <c r="D6" s="15"/>
      <c r="E6" s="9">
        <f>October!E6+D6</f>
        <v>0</v>
      </c>
      <c r="F6" s="17"/>
      <c r="G6" s="9">
        <f>October!G6+F6</f>
        <v>0</v>
      </c>
      <c r="H6" s="19"/>
      <c r="I6" s="9">
        <f>October!I6+H6</f>
        <v>0</v>
      </c>
    </row>
    <row r="7" spans="1:9" s="5" customFormat="1" ht="18" customHeight="1">
      <c r="A7" s="9" t="s">
        <v>9</v>
      </c>
      <c r="B7" s="13"/>
      <c r="C7" s="9">
        <f>October!C7+B7</f>
        <v>181</v>
      </c>
      <c r="D7" s="15"/>
      <c r="E7" s="9">
        <f>October!E7+D7</f>
        <v>292</v>
      </c>
      <c r="F7" s="17"/>
      <c r="G7" s="9">
        <f>October!G7+F7</f>
        <v>1283</v>
      </c>
      <c r="H7" s="19"/>
      <c r="I7" s="9">
        <f>October!I7+H7</f>
        <v>0</v>
      </c>
    </row>
    <row r="8" spans="1:9" s="5" customFormat="1" ht="18" customHeight="1">
      <c r="A8" s="9" t="s">
        <v>10</v>
      </c>
      <c r="B8" s="13"/>
      <c r="C8" s="9">
        <f>October!C8+B8</f>
        <v>2797</v>
      </c>
      <c r="D8" s="15"/>
      <c r="E8" s="9">
        <f>October!E8+D8</f>
        <v>42</v>
      </c>
      <c r="F8" s="17"/>
      <c r="G8" s="9">
        <f>October!G8+F8</f>
        <v>0</v>
      </c>
      <c r="H8" s="19"/>
      <c r="I8" s="9">
        <f>October!I8+H8</f>
        <v>15</v>
      </c>
    </row>
    <row r="9" spans="1:9" s="5" customFormat="1" ht="18" customHeight="1">
      <c r="A9" s="9" t="s">
        <v>11</v>
      </c>
      <c r="B9" s="13"/>
      <c r="C9" s="9">
        <f>October!C9+B9</f>
        <v>2823</v>
      </c>
      <c r="D9" s="15"/>
      <c r="E9" s="9">
        <f>October!E9+D9</f>
        <v>186</v>
      </c>
      <c r="F9" s="17"/>
      <c r="G9" s="9">
        <f>October!G9+F9</f>
        <v>3497</v>
      </c>
      <c r="H9" s="19"/>
      <c r="I9" s="9">
        <f>October!I9+H9</f>
        <v>0</v>
      </c>
    </row>
    <row r="10" spans="1:9" s="5" customFormat="1" ht="18" customHeight="1">
      <c r="A10" s="9" t="s">
        <v>12</v>
      </c>
      <c r="B10" s="13"/>
      <c r="C10" s="9">
        <f>October!C10+B10</f>
        <v>8352</v>
      </c>
      <c r="D10" s="15"/>
      <c r="E10" s="9">
        <f>October!E10+D10</f>
        <v>28</v>
      </c>
      <c r="F10" s="17"/>
      <c r="G10" s="9">
        <f>October!G10+F10</f>
        <v>14</v>
      </c>
      <c r="H10" s="19"/>
      <c r="I10" s="9">
        <f>October!I10+H10</f>
        <v>0</v>
      </c>
    </row>
    <row r="11" spans="1:9" s="5" customFormat="1" ht="18" customHeight="1">
      <c r="A11" s="9" t="s">
        <v>13</v>
      </c>
      <c r="B11" s="13"/>
      <c r="C11" s="9">
        <f>October!C11+B11</f>
        <v>1049</v>
      </c>
      <c r="D11" s="15"/>
      <c r="E11" s="9">
        <f>October!E11+D11</f>
        <v>936</v>
      </c>
      <c r="F11" s="17"/>
      <c r="G11" s="9">
        <f>October!G11+F11</f>
        <v>263</v>
      </c>
      <c r="H11" s="19"/>
      <c r="I11" s="9">
        <f>October!I11+H11</f>
        <v>0</v>
      </c>
    </row>
    <row r="12" spans="1:9" s="5" customFormat="1" ht="18" customHeight="1">
      <c r="A12" s="9" t="s">
        <v>14</v>
      </c>
      <c r="B12" s="13"/>
      <c r="C12" s="9">
        <f>October!C12+B12</f>
        <v>0</v>
      </c>
      <c r="D12" s="15"/>
      <c r="E12" s="9">
        <f>October!E12+D12</f>
        <v>0</v>
      </c>
      <c r="F12" s="17"/>
      <c r="G12" s="9">
        <f>October!G12+F12</f>
        <v>0</v>
      </c>
      <c r="H12" s="19"/>
      <c r="I12" s="9">
        <f>October!I12+H12</f>
        <v>0</v>
      </c>
    </row>
    <row r="13" spans="1:9" s="5" customFormat="1" ht="18" customHeight="1">
      <c r="A13" s="9" t="s">
        <v>15</v>
      </c>
      <c r="B13" s="13"/>
      <c r="C13" s="9">
        <f>October!C13+B13</f>
        <v>0</v>
      </c>
      <c r="D13" s="15"/>
      <c r="E13" s="9">
        <f>October!E13+D13</f>
        <v>0</v>
      </c>
      <c r="F13" s="17"/>
      <c r="G13" s="9">
        <f>October!G13+F13</f>
        <v>0</v>
      </c>
      <c r="H13" s="19"/>
      <c r="I13" s="9">
        <f>October!I13+H13</f>
        <v>0</v>
      </c>
    </row>
    <row r="14" spans="1:9" s="5" customFormat="1" ht="18" customHeight="1">
      <c r="A14" s="9" t="s">
        <v>16</v>
      </c>
      <c r="B14" s="13"/>
      <c r="C14" s="9">
        <f>October!C14+B14</f>
        <v>1221</v>
      </c>
      <c r="D14" s="15"/>
      <c r="E14" s="9">
        <f>October!E14+D14</f>
        <v>0</v>
      </c>
      <c r="F14" s="17"/>
      <c r="G14" s="9">
        <f>October!G14+F14</f>
        <v>0</v>
      </c>
      <c r="H14" s="19"/>
      <c r="I14" s="9">
        <f>October!I14+H14</f>
        <v>0</v>
      </c>
    </row>
    <row r="15" spans="1:9" s="5" customFormat="1" ht="18" customHeight="1">
      <c r="A15" s="9" t="s">
        <v>17</v>
      </c>
      <c r="B15" s="13"/>
      <c r="C15" s="9">
        <f>October!C15+B15</f>
        <v>969</v>
      </c>
      <c r="D15" s="15"/>
      <c r="E15" s="9">
        <f>October!E15+D15</f>
        <v>67</v>
      </c>
      <c r="F15" s="17"/>
      <c r="G15" s="9">
        <f>October!G15+F15</f>
        <v>1</v>
      </c>
      <c r="H15" s="19"/>
      <c r="I15" s="9">
        <f>October!I15+H15</f>
        <v>0</v>
      </c>
    </row>
    <row r="16" spans="1:9" s="5" customFormat="1" ht="18" customHeight="1">
      <c r="A16" s="9" t="s">
        <v>18</v>
      </c>
      <c r="B16" s="13"/>
      <c r="C16" s="9">
        <f>October!C16+B16</f>
        <v>0</v>
      </c>
      <c r="D16" s="15"/>
      <c r="E16" s="9">
        <f>October!E16+D16</f>
        <v>0</v>
      </c>
      <c r="F16" s="17"/>
      <c r="G16" s="9">
        <f>October!G16+F16</f>
        <v>0</v>
      </c>
      <c r="H16" s="19"/>
      <c r="I16" s="9">
        <f>October!I16+H16</f>
        <v>0</v>
      </c>
    </row>
    <row r="17" spans="1:9" s="5" customFormat="1" ht="18" customHeight="1">
      <c r="A17" s="9" t="s">
        <v>19</v>
      </c>
      <c r="B17" s="13"/>
      <c r="C17" s="9">
        <f>October!C17+B17</f>
        <v>1047</v>
      </c>
      <c r="D17" s="15"/>
      <c r="E17" s="9">
        <f>October!E17+D17</f>
        <v>57</v>
      </c>
      <c r="F17" s="17"/>
      <c r="G17" s="9">
        <f>October!G17+F17</f>
        <v>715</v>
      </c>
      <c r="H17" s="19"/>
      <c r="I17" s="9">
        <f>October!I17+H17</f>
        <v>0</v>
      </c>
    </row>
    <row r="18" spans="1:9" s="5" customFormat="1" ht="18" customHeight="1">
      <c r="A18" s="9" t="s">
        <v>20</v>
      </c>
      <c r="B18" s="13"/>
      <c r="C18" s="9">
        <f>October!C18+B18</f>
        <v>2568</v>
      </c>
      <c r="D18" s="15"/>
      <c r="E18" s="9">
        <f>October!E18+D18</f>
        <v>1215</v>
      </c>
      <c r="F18" s="17"/>
      <c r="G18" s="9">
        <f>October!G18+F18</f>
        <v>284</v>
      </c>
      <c r="H18" s="19"/>
      <c r="I18" s="9">
        <f>October!I18+H18</f>
        <v>0</v>
      </c>
    </row>
    <row r="19" spans="1:9" s="5" customFormat="1" ht="18" customHeight="1">
      <c r="A19" s="9" t="s">
        <v>21</v>
      </c>
      <c r="B19" s="13"/>
      <c r="C19" s="9">
        <f>October!C19+B19</f>
        <v>11064</v>
      </c>
      <c r="D19" s="15"/>
      <c r="E19" s="9">
        <f>October!E19+D19</f>
        <v>98</v>
      </c>
      <c r="F19" s="17"/>
      <c r="G19" s="9">
        <f>October!G19+F19</f>
        <v>817</v>
      </c>
      <c r="H19" s="19"/>
      <c r="I19" s="9">
        <f>October!I19+H19</f>
        <v>0</v>
      </c>
    </row>
    <row r="20" spans="1:9" s="5" customFormat="1" ht="18" customHeight="1">
      <c r="A20" s="9" t="s">
        <v>22</v>
      </c>
      <c r="B20" s="13"/>
      <c r="C20" s="9">
        <f>October!C20+B20</f>
        <v>19959</v>
      </c>
      <c r="D20" s="15"/>
      <c r="E20" s="9">
        <f>October!E20+D20</f>
        <v>1780</v>
      </c>
      <c r="F20" s="17"/>
      <c r="G20" s="9">
        <f>October!G20+F20</f>
        <v>1763</v>
      </c>
      <c r="H20" s="19"/>
      <c r="I20" s="9">
        <f>October!I20+H20</f>
        <v>0</v>
      </c>
    </row>
    <row r="21" spans="1:9" s="5" customFormat="1" ht="18" customHeight="1">
      <c r="A21" s="9" t="s">
        <v>23</v>
      </c>
      <c r="B21" s="13"/>
      <c r="C21" s="9">
        <f>October!C21+B21</f>
        <v>52263</v>
      </c>
      <c r="D21" s="15"/>
      <c r="E21" s="9">
        <f>October!E21+D21</f>
        <v>16</v>
      </c>
      <c r="F21" s="17"/>
      <c r="G21" s="9">
        <f>October!G21+F21</f>
        <v>1</v>
      </c>
      <c r="H21" s="19"/>
      <c r="I21" s="9">
        <f>October!I21+H21</f>
        <v>0</v>
      </c>
    </row>
    <row r="22" spans="1:9" s="5" customFormat="1" ht="18" customHeight="1">
      <c r="A22" s="9" t="s">
        <v>24</v>
      </c>
      <c r="B22" s="13"/>
      <c r="C22" s="9">
        <f>October!C22+B22</f>
        <v>0</v>
      </c>
      <c r="D22" s="15"/>
      <c r="E22" s="9">
        <f>October!E22+D22</f>
        <v>0</v>
      </c>
      <c r="F22" s="17"/>
      <c r="G22" s="9">
        <f>October!G22+F22</f>
        <v>0</v>
      </c>
      <c r="H22" s="19"/>
      <c r="I22" s="9">
        <f>October!I22+H22</f>
        <v>0</v>
      </c>
    </row>
    <row r="23" spans="1:9" s="5" customFormat="1" ht="18" customHeight="1">
      <c r="A23" s="9" t="s">
        <v>25</v>
      </c>
      <c r="B23" s="13"/>
      <c r="C23" s="9">
        <f>October!C23+B23</f>
        <v>0</v>
      </c>
      <c r="D23" s="15"/>
      <c r="E23" s="9">
        <f>October!E23+D23</f>
        <v>0</v>
      </c>
      <c r="F23" s="17"/>
      <c r="G23" s="9">
        <f>October!G23+F23</f>
        <v>3</v>
      </c>
      <c r="H23" s="19"/>
      <c r="I23" s="9">
        <f>October!I23+H23</f>
        <v>0</v>
      </c>
    </row>
    <row r="24" spans="1:9" s="5" customFormat="1" ht="18" customHeight="1">
      <c r="A24" s="9" t="s">
        <v>26</v>
      </c>
      <c r="B24" s="13"/>
      <c r="C24" s="9">
        <f>October!C24+B24</f>
        <v>0</v>
      </c>
      <c r="D24" s="15"/>
      <c r="E24" s="9">
        <f>October!E24+D24</f>
        <v>6</v>
      </c>
      <c r="F24" s="17"/>
      <c r="G24" s="9">
        <f>October!G24+F24</f>
        <v>5</v>
      </c>
      <c r="H24" s="19"/>
      <c r="I24" s="9">
        <f>October!I24+H24</f>
        <v>0</v>
      </c>
    </row>
    <row r="25" spans="1:9" s="5" customFormat="1" ht="18" customHeight="1">
      <c r="A25" s="9" t="s">
        <v>27</v>
      </c>
      <c r="B25" s="13"/>
      <c r="C25" s="9">
        <f>October!C25+B25</f>
        <v>0</v>
      </c>
      <c r="D25" s="15"/>
      <c r="E25" s="9">
        <f>October!E25+D25</f>
        <v>0</v>
      </c>
      <c r="F25" s="17"/>
      <c r="G25" s="9">
        <f>October!G25+F25</f>
        <v>11</v>
      </c>
      <c r="H25" s="19"/>
      <c r="I25" s="9">
        <f>October!I25+H25</f>
        <v>0</v>
      </c>
    </row>
    <row r="26" spans="1:9" s="5" customFormat="1" ht="18" customHeight="1">
      <c r="A26" s="9" t="s">
        <v>28</v>
      </c>
      <c r="B26" s="13"/>
      <c r="C26" s="9">
        <f>October!C26+B26</f>
        <v>1745</v>
      </c>
      <c r="D26" s="15"/>
      <c r="E26" s="9">
        <f>October!E26+D26</f>
        <v>162</v>
      </c>
      <c r="F26" s="17"/>
      <c r="G26" s="9">
        <f>October!G26+F26</f>
        <v>158</v>
      </c>
      <c r="H26" s="19"/>
      <c r="I26" s="9">
        <f>October!I26+H26</f>
        <v>0</v>
      </c>
    </row>
    <row r="27" spans="1:9" s="5" customFormat="1" ht="18" customHeight="1">
      <c r="A27" s="9" t="s">
        <v>29</v>
      </c>
      <c r="B27" s="13"/>
      <c r="C27" s="9">
        <f>October!C27+B27</f>
        <v>18728</v>
      </c>
      <c r="D27" s="15"/>
      <c r="E27" s="9">
        <f>October!E27+D27</f>
        <v>2572</v>
      </c>
      <c r="F27" s="17"/>
      <c r="G27" s="9">
        <f>October!G27+F27</f>
        <v>4145</v>
      </c>
      <c r="H27" s="19"/>
      <c r="I27" s="9">
        <f>October!I27+H27</f>
        <v>0</v>
      </c>
    </row>
    <row r="28" spans="1:9" s="5" customFormat="1" ht="18" customHeight="1">
      <c r="A28" s="9" t="s">
        <v>30</v>
      </c>
      <c r="B28" s="13"/>
      <c r="C28" s="9">
        <f>October!C28+B28</f>
        <v>2327</v>
      </c>
      <c r="D28" s="15"/>
      <c r="E28" s="9">
        <f>October!E28+D28</f>
        <v>5</v>
      </c>
      <c r="F28" s="17"/>
      <c r="G28" s="9">
        <f>October!G28+F28</f>
        <v>0</v>
      </c>
      <c r="H28" s="19"/>
      <c r="I28" s="9">
        <f>October!I28+H28</f>
        <v>0</v>
      </c>
    </row>
    <row r="29" spans="1:9" s="5" customFormat="1" ht="18" customHeight="1">
      <c r="A29" s="9" t="s">
        <v>31</v>
      </c>
      <c r="B29" s="13"/>
      <c r="C29" s="9">
        <f>October!C29+B29</f>
        <v>93781</v>
      </c>
      <c r="D29" s="15"/>
      <c r="E29" s="9">
        <f>October!E29+D29</f>
        <v>2407</v>
      </c>
      <c r="F29" s="17"/>
      <c r="G29" s="9">
        <f>October!G29+F29</f>
        <v>311</v>
      </c>
      <c r="H29" s="19"/>
      <c r="I29" s="9">
        <f>October!I29+H29</f>
        <v>4</v>
      </c>
    </row>
    <row r="30" spans="1:9" s="5" customFormat="1" ht="18" customHeight="1">
      <c r="A30" s="9" t="s">
        <v>32</v>
      </c>
      <c r="B30" s="13"/>
      <c r="C30" s="9">
        <f>October!C30+B30</f>
        <v>31443</v>
      </c>
      <c r="D30" s="15"/>
      <c r="E30" s="9">
        <f>October!E30+D30</f>
        <v>5716</v>
      </c>
      <c r="F30" s="17"/>
      <c r="G30" s="9">
        <f>October!G30+F30</f>
        <v>43</v>
      </c>
      <c r="H30" s="19"/>
      <c r="I30" s="9">
        <f>October!I30+H30</f>
        <v>0</v>
      </c>
    </row>
    <row r="31" spans="1:9" s="5" customFormat="1" ht="18" customHeight="1">
      <c r="A31" s="9" t="s">
        <v>33</v>
      </c>
      <c r="B31" s="13"/>
      <c r="C31" s="9">
        <f>October!C31+B31</f>
        <v>5599</v>
      </c>
      <c r="D31" s="15"/>
      <c r="E31" s="9">
        <f>October!E31+D31</f>
        <v>13136</v>
      </c>
      <c r="F31" s="17"/>
      <c r="G31" s="9">
        <f>October!G31+F31</f>
        <v>686</v>
      </c>
      <c r="H31" s="19"/>
      <c r="I31" s="9">
        <f>October!I31+H31</f>
        <v>62</v>
      </c>
    </row>
    <row r="32" spans="1:9" s="5" customFormat="1" ht="18" customHeight="1">
      <c r="A32" s="9" t="s">
        <v>34</v>
      </c>
      <c r="B32" s="13"/>
      <c r="C32" s="9">
        <f>October!C32+B32</f>
        <v>0</v>
      </c>
      <c r="D32" s="15"/>
      <c r="E32" s="9">
        <f>October!E32+D32</f>
        <v>0</v>
      </c>
      <c r="F32" s="17"/>
      <c r="G32" s="9">
        <f>October!G32+F32</f>
        <v>0</v>
      </c>
      <c r="H32" s="19"/>
      <c r="I32" s="9">
        <f>October!I32+H32</f>
        <v>0</v>
      </c>
    </row>
    <row r="33" spans="1:9" s="5" customFormat="1" ht="18" customHeight="1">
      <c r="A33" s="9" t="s">
        <v>35</v>
      </c>
      <c r="B33" s="13"/>
      <c r="C33" s="9">
        <f>October!C33+B33</f>
        <v>0</v>
      </c>
      <c r="D33" s="15"/>
      <c r="E33" s="9">
        <f>October!E33+D33</f>
        <v>0</v>
      </c>
      <c r="F33" s="17"/>
      <c r="G33" s="9">
        <f>October!G33+F33</f>
        <v>0</v>
      </c>
      <c r="H33" s="19"/>
      <c r="I33" s="9">
        <f>October!I33+H33</f>
        <v>0</v>
      </c>
    </row>
    <row r="34" spans="1:9" s="5" customFormat="1" ht="18" customHeight="1">
      <c r="A34" s="9" t="s">
        <v>36</v>
      </c>
      <c r="B34" s="13"/>
      <c r="C34" s="9">
        <f>October!C34+B34</f>
        <v>0</v>
      </c>
      <c r="D34" s="15"/>
      <c r="E34" s="9">
        <f>October!E34+D34</f>
        <v>0</v>
      </c>
      <c r="F34" s="17"/>
      <c r="G34" s="9">
        <f>October!G34+F34</f>
        <v>0</v>
      </c>
      <c r="H34" s="19"/>
      <c r="I34" s="9">
        <f>October!I34+H34</f>
        <v>0</v>
      </c>
    </row>
    <row r="35" spans="1:9" s="5" customFormat="1" ht="18" customHeight="1">
      <c r="A35" s="9" t="s">
        <v>37</v>
      </c>
      <c r="B35" s="13"/>
      <c r="C35" s="9">
        <f>October!C35+B35</f>
        <v>1251</v>
      </c>
      <c r="D35" s="15"/>
      <c r="E35" s="9">
        <f>October!E35+D35</f>
        <v>22</v>
      </c>
      <c r="F35" s="17"/>
      <c r="G35" s="9">
        <f>October!G35+F35</f>
        <v>389</v>
      </c>
      <c r="H35" s="19"/>
      <c r="I35" s="9">
        <f>October!I35+H35</f>
        <v>0</v>
      </c>
    </row>
    <row r="36" spans="1:9" s="5" customFormat="1" ht="18" customHeight="1">
      <c r="A36" s="9" t="s">
        <v>38</v>
      </c>
      <c r="B36" s="13"/>
      <c r="C36" s="9">
        <f>October!C36+B36</f>
        <v>101</v>
      </c>
      <c r="D36" s="15"/>
      <c r="E36" s="9">
        <f>October!E36+D36</f>
        <v>31</v>
      </c>
      <c r="F36" s="17"/>
      <c r="G36" s="9">
        <f>October!G36+F36</f>
        <v>1035</v>
      </c>
      <c r="H36" s="19"/>
      <c r="I36" s="9">
        <f>October!I36+H36</f>
        <v>0</v>
      </c>
    </row>
    <row r="37" spans="1:9" s="5" customFormat="1" ht="18" customHeight="1">
      <c r="A37" s="9" t="s">
        <v>39</v>
      </c>
      <c r="B37" s="13"/>
      <c r="C37" s="9">
        <f>October!C37+B37</f>
        <v>264</v>
      </c>
      <c r="D37" s="15"/>
      <c r="E37" s="9">
        <f>October!E37+D37</f>
        <v>13</v>
      </c>
      <c r="F37" s="17"/>
      <c r="G37" s="9">
        <f>October!G37+F37</f>
        <v>184</v>
      </c>
      <c r="H37" s="19"/>
      <c r="I37" s="9">
        <f>October!I37+H37</f>
        <v>0</v>
      </c>
    </row>
    <row r="38" spans="1:9" s="5" customFormat="1" ht="18" customHeight="1">
      <c r="A38" s="9" t="s">
        <v>40</v>
      </c>
      <c r="B38" s="13"/>
      <c r="C38" s="9">
        <f>October!C38+B38</f>
        <v>55978</v>
      </c>
      <c r="D38" s="15"/>
      <c r="E38" s="9">
        <f>October!E38+D38</f>
        <v>578</v>
      </c>
      <c r="F38" s="17"/>
      <c r="G38" s="9">
        <f>October!G38+F38</f>
        <v>149</v>
      </c>
      <c r="H38" s="19"/>
      <c r="I38" s="9">
        <f>October!I38+H38</f>
        <v>0</v>
      </c>
    </row>
    <row r="39" spans="1:9" s="5" customFormat="1" ht="18" customHeight="1">
      <c r="A39" s="9" t="s">
        <v>41</v>
      </c>
      <c r="B39" s="13"/>
      <c r="C39" s="9">
        <f>October!C39+B39</f>
        <v>0</v>
      </c>
      <c r="D39" s="15"/>
      <c r="E39" s="9">
        <f>October!E39+D39</f>
        <v>39</v>
      </c>
      <c r="F39" s="17"/>
      <c r="G39" s="9">
        <f>October!G39+F39</f>
        <v>205</v>
      </c>
      <c r="H39" s="19"/>
      <c r="I39" s="9">
        <f>October!I39+H39</f>
        <v>0</v>
      </c>
    </row>
    <row r="40" spans="1:9" s="5" customFormat="1" ht="18" customHeight="1">
      <c r="A40" s="9" t="s">
        <v>42</v>
      </c>
      <c r="B40" s="13"/>
      <c r="C40" s="9">
        <f>October!C40+B40</f>
        <v>42835</v>
      </c>
      <c r="D40" s="15"/>
      <c r="E40" s="9">
        <f>October!E40+D40</f>
        <v>508</v>
      </c>
      <c r="F40" s="17"/>
      <c r="G40" s="9">
        <f>October!G40+F40</f>
        <v>10</v>
      </c>
      <c r="H40" s="19"/>
      <c r="I40" s="9">
        <f>October!I40+H40</f>
        <v>0</v>
      </c>
    </row>
    <row r="41" spans="1:9" s="5" customFormat="1" ht="18" customHeight="1">
      <c r="A41" s="9" t="s">
        <v>43</v>
      </c>
      <c r="B41" s="13"/>
      <c r="C41" s="9">
        <f>October!C41+B41</f>
        <v>1133</v>
      </c>
      <c r="D41" s="15"/>
      <c r="E41" s="9">
        <f>October!E41+D41</f>
        <v>0</v>
      </c>
      <c r="F41" s="17"/>
      <c r="G41" s="9">
        <f>October!G41+F41</f>
        <v>79</v>
      </c>
      <c r="H41" s="19"/>
      <c r="I41" s="9">
        <f>October!I41+H41</f>
        <v>0</v>
      </c>
    </row>
    <row r="42" spans="1:9" s="5" customFormat="1" ht="18" customHeight="1">
      <c r="A42" s="9" t="s">
        <v>44</v>
      </c>
      <c r="B42" s="13"/>
      <c r="C42" s="9">
        <f>October!C42+B42</f>
        <v>488</v>
      </c>
      <c r="D42" s="15"/>
      <c r="E42" s="9">
        <f>October!E42+D42</f>
        <v>188</v>
      </c>
      <c r="F42" s="17"/>
      <c r="G42" s="9">
        <f>October!G42+F42</f>
        <v>1482</v>
      </c>
      <c r="H42" s="19"/>
      <c r="I42" s="9">
        <f>October!I42+H42</f>
        <v>0</v>
      </c>
    </row>
    <row r="43" spans="1:9" s="5" customFormat="1" ht="18" customHeight="1">
      <c r="A43" s="9" t="s">
        <v>45</v>
      </c>
      <c r="B43" s="13"/>
      <c r="C43" s="9">
        <f>October!C43+B43</f>
        <v>0</v>
      </c>
      <c r="D43" s="15"/>
      <c r="E43" s="9">
        <f>October!E43+D43</f>
        <v>0</v>
      </c>
      <c r="F43" s="17"/>
      <c r="G43" s="9">
        <f>October!G43+F43</f>
        <v>0</v>
      </c>
      <c r="H43" s="19"/>
      <c r="I43" s="9">
        <f>October!I43+H43</f>
        <v>0</v>
      </c>
    </row>
    <row r="44" spans="1:9" s="5" customFormat="1" ht="18" customHeight="1">
      <c r="A44" s="9" t="s">
        <v>46</v>
      </c>
      <c r="B44" s="13"/>
      <c r="C44" s="9">
        <f>October!C44+B44</f>
        <v>1311</v>
      </c>
      <c r="D44" s="15"/>
      <c r="E44" s="9">
        <f>October!E44+D44</f>
        <v>0</v>
      </c>
      <c r="F44" s="17"/>
      <c r="G44" s="9">
        <f>October!G44+F44</f>
        <v>0</v>
      </c>
      <c r="H44" s="19"/>
      <c r="I44" s="9">
        <f>October!I44+H44</f>
        <v>0</v>
      </c>
    </row>
    <row r="45" spans="1:9" s="5" customFormat="1" ht="18" customHeight="1">
      <c r="A45" s="9" t="s">
        <v>47</v>
      </c>
      <c r="B45" s="13"/>
      <c r="C45" s="9">
        <f>October!C45+B45</f>
        <v>173230</v>
      </c>
      <c r="D45" s="15"/>
      <c r="E45" s="9">
        <f>October!E45+D45</f>
        <v>9062</v>
      </c>
      <c r="F45" s="17"/>
      <c r="G45" s="9">
        <f>October!G45+F45</f>
        <v>827</v>
      </c>
      <c r="H45" s="19"/>
      <c r="I45" s="9">
        <f>October!I45+H45</f>
        <v>0</v>
      </c>
    </row>
    <row r="46" spans="1:9" s="5" customFormat="1" ht="18" customHeight="1">
      <c r="A46" s="9" t="s">
        <v>48</v>
      </c>
      <c r="B46" s="13"/>
      <c r="C46" s="9">
        <f>October!C46+B46</f>
        <v>9797</v>
      </c>
      <c r="D46" s="15"/>
      <c r="E46" s="9">
        <f>October!E46+D46</f>
        <v>150</v>
      </c>
      <c r="F46" s="17"/>
      <c r="G46" s="9">
        <f>October!G46+F46</f>
        <v>3</v>
      </c>
      <c r="H46" s="19"/>
      <c r="I46" s="9">
        <f>October!I46+H46</f>
        <v>0</v>
      </c>
    </row>
    <row r="47" spans="1:9" s="5" customFormat="1" ht="18" customHeight="1">
      <c r="A47" s="9" t="s">
        <v>49</v>
      </c>
      <c r="B47" s="13"/>
      <c r="C47" s="9">
        <f>October!C47+B47</f>
        <v>4998</v>
      </c>
      <c r="D47" s="15"/>
      <c r="E47" s="9">
        <f>October!E47+D47</f>
        <v>824</v>
      </c>
      <c r="F47" s="17"/>
      <c r="G47" s="9">
        <f>October!G47+F47</f>
        <v>2461</v>
      </c>
      <c r="H47" s="19"/>
      <c r="I47" s="9">
        <f>October!I47+H47</f>
        <v>23</v>
      </c>
    </row>
    <row r="48" spans="1:9" s="5" customFormat="1" ht="18" customHeight="1">
      <c r="A48" s="9" t="s">
        <v>50</v>
      </c>
      <c r="B48" s="13"/>
      <c r="C48" s="9">
        <f>October!C48+B48</f>
        <v>133</v>
      </c>
      <c r="D48" s="15"/>
      <c r="E48" s="9">
        <f>October!E48+D48</f>
        <v>9</v>
      </c>
      <c r="F48" s="17"/>
      <c r="G48" s="9">
        <f>October!G48+F48</f>
        <v>1</v>
      </c>
      <c r="H48" s="19"/>
      <c r="I48" s="9">
        <f>October!I48+H48</f>
        <v>0</v>
      </c>
    </row>
    <row r="49" spans="1:9" s="5" customFormat="1" ht="18" customHeight="1">
      <c r="A49" s="9" t="s">
        <v>51</v>
      </c>
      <c r="B49" s="13"/>
      <c r="C49" s="9">
        <f>October!C49+B49</f>
        <v>0</v>
      </c>
      <c r="D49" s="15"/>
      <c r="E49" s="9">
        <f>October!E49+D49</f>
        <v>0</v>
      </c>
      <c r="F49" s="17"/>
      <c r="G49" s="9">
        <f>October!G49+F49</f>
        <v>0</v>
      </c>
      <c r="H49" s="19"/>
      <c r="I49" s="9">
        <f>October!I49+H49</f>
        <v>0</v>
      </c>
    </row>
    <row r="50" spans="1:9" s="5" customFormat="1" ht="18" customHeight="1">
      <c r="A50" s="9" t="s">
        <v>52</v>
      </c>
      <c r="B50" s="13"/>
      <c r="C50" s="9">
        <f>October!C50+B50</f>
        <v>10097</v>
      </c>
      <c r="D50" s="15"/>
      <c r="E50" s="9">
        <f>October!E50+D50</f>
        <v>0</v>
      </c>
      <c r="F50" s="17"/>
      <c r="G50" s="9">
        <f>October!G50+F50</f>
        <v>2</v>
      </c>
      <c r="H50" s="19"/>
      <c r="I50" s="9">
        <f>October!I50+H50</f>
        <v>0</v>
      </c>
    </row>
    <row r="51" spans="1:9" s="5" customFormat="1" ht="18" customHeight="1">
      <c r="A51" s="9" t="s">
        <v>53</v>
      </c>
      <c r="B51" s="13"/>
      <c r="C51" s="9">
        <f>October!C51+B51</f>
        <v>587</v>
      </c>
      <c r="D51" s="15"/>
      <c r="E51" s="9">
        <f>October!E51+D51</f>
        <v>6</v>
      </c>
      <c r="F51" s="17"/>
      <c r="G51" s="9">
        <f>October!G51+F51</f>
        <v>1</v>
      </c>
      <c r="H51" s="19"/>
      <c r="I51" s="9">
        <f>October!I51+H51</f>
        <v>0</v>
      </c>
    </row>
    <row r="52" spans="1:9" s="5" customFormat="1" ht="18" customHeight="1">
      <c r="A52" s="9" t="s">
        <v>54</v>
      </c>
      <c r="B52" s="13"/>
      <c r="C52" s="9">
        <f>October!C52+B52</f>
        <v>1922</v>
      </c>
      <c r="D52" s="15"/>
      <c r="E52" s="9">
        <f>October!E52+D52</f>
        <v>0</v>
      </c>
      <c r="F52" s="17"/>
      <c r="G52" s="9">
        <f>October!G52+F52</f>
        <v>0</v>
      </c>
      <c r="H52" s="19"/>
      <c r="I52" s="9">
        <f>October!I52+H52</f>
        <v>0</v>
      </c>
    </row>
    <row r="53" spans="1:9" s="5" customFormat="1" ht="18" customHeight="1">
      <c r="A53" s="9" t="s">
        <v>55</v>
      </c>
      <c r="B53" s="13"/>
      <c r="C53" s="9">
        <f>October!C53+B53</f>
        <v>26588</v>
      </c>
      <c r="D53" s="15"/>
      <c r="E53" s="9">
        <f>October!E53+D53</f>
        <v>735</v>
      </c>
      <c r="F53" s="17"/>
      <c r="G53" s="9">
        <f>October!G53+F53</f>
        <v>4141</v>
      </c>
      <c r="H53" s="19"/>
      <c r="I53" s="9">
        <f>October!I53+H53</f>
        <v>0</v>
      </c>
    </row>
    <row r="54" spans="1:9" s="5" customFormat="1" ht="18" customHeight="1" thickBot="1">
      <c r="A54" s="10" t="s">
        <v>56</v>
      </c>
      <c r="B54" s="13"/>
      <c r="C54" s="9">
        <f>October!C54+B54</f>
        <v>4263</v>
      </c>
      <c r="D54" s="16"/>
      <c r="E54" s="9">
        <f>October!E54+D54</f>
        <v>2091</v>
      </c>
      <c r="F54" s="17"/>
      <c r="G54" s="9">
        <f>October!G54+F54</f>
        <v>0</v>
      </c>
      <c r="H54" s="19"/>
      <c r="I54" s="9">
        <f>October!I54+H54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October!C57+B55</f>
        <v>628736</v>
      </c>
      <c r="D57" s="11"/>
      <c r="E57" s="11">
        <f>October!E57+D55</f>
        <v>43003</v>
      </c>
      <c r="F57" s="11"/>
      <c r="G57" s="11">
        <f>October!G57+F55</f>
        <v>24969</v>
      </c>
      <c r="H57" s="11"/>
      <c r="I57" s="11">
        <f>October!I57+H55</f>
        <v>104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October!E62+D60</f>
        <v>16705</v>
      </c>
      <c r="G62" s="4">
        <f>October!G62+F60</f>
        <v>2649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34">
      <selection activeCell="A34" sqref="A3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72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November!C5+B5</f>
        <v>334</v>
      </c>
      <c r="D5" s="15"/>
      <c r="E5" s="9">
        <f>November!E5+D5</f>
        <v>26</v>
      </c>
      <c r="F5" s="17"/>
      <c r="G5" s="9">
        <f>November!G5+F5</f>
        <v>0</v>
      </c>
      <c r="H5" s="19"/>
      <c r="I5" s="9">
        <f>November!I5+H5</f>
        <v>0</v>
      </c>
    </row>
    <row r="6" spans="1:9" s="5" customFormat="1" ht="18" customHeight="1">
      <c r="A6" s="9" t="s">
        <v>8</v>
      </c>
      <c r="B6" s="13"/>
      <c r="C6" s="9">
        <f>November!C6+B6</f>
        <v>0</v>
      </c>
      <c r="D6" s="15"/>
      <c r="E6" s="9">
        <f>November!E6+D6</f>
        <v>0</v>
      </c>
      <c r="F6" s="17"/>
      <c r="G6" s="9">
        <f>November!G6+F6</f>
        <v>0</v>
      </c>
      <c r="H6" s="19"/>
      <c r="I6" s="9">
        <f>November!I6+H6</f>
        <v>0</v>
      </c>
    </row>
    <row r="7" spans="1:9" s="5" customFormat="1" ht="18" customHeight="1">
      <c r="A7" s="9" t="s">
        <v>9</v>
      </c>
      <c r="B7" s="13"/>
      <c r="C7" s="9">
        <f>November!C7+B7</f>
        <v>181</v>
      </c>
      <c r="D7" s="15"/>
      <c r="E7" s="9">
        <f>November!E7+D7</f>
        <v>292</v>
      </c>
      <c r="F7" s="17"/>
      <c r="G7" s="9"/>
      <c r="H7" s="19"/>
      <c r="I7" s="9">
        <f>November!I7+H7</f>
        <v>0</v>
      </c>
    </row>
    <row r="8" spans="1:9" s="5" customFormat="1" ht="18" customHeight="1">
      <c r="A8" s="9" t="s">
        <v>10</v>
      </c>
      <c r="B8" s="13"/>
      <c r="C8" s="9">
        <f>November!C8+B8</f>
        <v>2797</v>
      </c>
      <c r="D8" s="15"/>
      <c r="E8" s="9">
        <f>November!E8+D8</f>
        <v>42</v>
      </c>
      <c r="F8" s="17"/>
      <c r="G8" s="9">
        <f>November!G8+F8</f>
        <v>0</v>
      </c>
      <c r="H8" s="19"/>
      <c r="I8" s="9">
        <f>November!I8+H8</f>
        <v>15</v>
      </c>
    </row>
    <row r="9" spans="1:9" s="5" customFormat="1" ht="18" customHeight="1">
      <c r="A9" s="9" t="s">
        <v>11</v>
      </c>
      <c r="B9" s="13"/>
      <c r="C9" s="9">
        <f>November!C9+B9</f>
        <v>2823</v>
      </c>
      <c r="D9" s="15"/>
      <c r="E9" s="9">
        <f>November!E9+D9</f>
        <v>186</v>
      </c>
      <c r="F9" s="17"/>
      <c r="G9" s="9">
        <f>November!G9+F9</f>
        <v>3497</v>
      </c>
      <c r="H9" s="19"/>
      <c r="I9" s="9">
        <f>November!I9+H9</f>
        <v>0</v>
      </c>
    </row>
    <row r="10" spans="1:9" s="5" customFormat="1" ht="18" customHeight="1">
      <c r="A10" s="9" t="s">
        <v>12</v>
      </c>
      <c r="B10" s="13"/>
      <c r="C10" s="9">
        <f>November!C10+B10</f>
        <v>8352</v>
      </c>
      <c r="D10" s="15"/>
      <c r="E10" s="9">
        <f>November!E10+D10</f>
        <v>28</v>
      </c>
      <c r="F10" s="17"/>
      <c r="G10" s="9">
        <f>November!G10+F10</f>
        <v>14</v>
      </c>
      <c r="H10" s="19"/>
      <c r="I10" s="9">
        <f>November!I10+H10</f>
        <v>0</v>
      </c>
    </row>
    <row r="11" spans="1:9" s="5" customFormat="1" ht="18" customHeight="1">
      <c r="A11" s="9" t="s">
        <v>13</v>
      </c>
      <c r="B11" s="13"/>
      <c r="C11" s="9">
        <f>November!C11+B11</f>
        <v>1049</v>
      </c>
      <c r="D11" s="15"/>
      <c r="E11" s="9">
        <f>November!E11+D11</f>
        <v>936</v>
      </c>
      <c r="F11" s="17"/>
      <c r="G11" s="9">
        <f>November!G11+F11</f>
        <v>263</v>
      </c>
      <c r="H11" s="19"/>
      <c r="I11" s="9">
        <f>November!I11+H11</f>
        <v>0</v>
      </c>
    </row>
    <row r="12" spans="1:9" s="5" customFormat="1" ht="18" customHeight="1">
      <c r="A12" s="9" t="s">
        <v>14</v>
      </c>
      <c r="B12" s="13"/>
      <c r="C12" s="9">
        <f>November!C12+B12</f>
        <v>0</v>
      </c>
      <c r="D12" s="15"/>
      <c r="E12" s="9">
        <f>November!E12+D12</f>
        <v>0</v>
      </c>
      <c r="F12" s="17"/>
      <c r="G12" s="9">
        <f>November!G12+F12</f>
        <v>0</v>
      </c>
      <c r="H12" s="19"/>
      <c r="I12" s="9">
        <f>November!I12+H12</f>
        <v>0</v>
      </c>
    </row>
    <row r="13" spans="1:9" s="5" customFormat="1" ht="18" customHeight="1">
      <c r="A13" s="9" t="s">
        <v>15</v>
      </c>
      <c r="B13" s="13"/>
      <c r="C13" s="9">
        <f>November!C13+B13</f>
        <v>0</v>
      </c>
      <c r="D13" s="15"/>
      <c r="E13" s="9">
        <f>November!E13+D13</f>
        <v>0</v>
      </c>
      <c r="F13" s="17"/>
      <c r="G13" s="9">
        <f>November!G13+F13</f>
        <v>0</v>
      </c>
      <c r="H13" s="19"/>
      <c r="I13" s="9">
        <f>November!I13+H13</f>
        <v>0</v>
      </c>
    </row>
    <row r="14" spans="1:9" s="5" customFormat="1" ht="18" customHeight="1">
      <c r="A14" s="9" t="s">
        <v>16</v>
      </c>
      <c r="B14" s="13"/>
      <c r="C14" s="9">
        <f>November!C14+B14</f>
        <v>1221</v>
      </c>
      <c r="D14" s="15"/>
      <c r="E14" s="9">
        <f>November!E14+D14</f>
        <v>0</v>
      </c>
      <c r="F14" s="17"/>
      <c r="G14" s="9">
        <f>November!G14+F14</f>
        <v>0</v>
      </c>
      <c r="H14" s="19"/>
      <c r="I14" s="9">
        <f>November!I14+H14</f>
        <v>0</v>
      </c>
    </row>
    <row r="15" spans="1:9" s="5" customFormat="1" ht="18" customHeight="1">
      <c r="A15" s="9" t="s">
        <v>17</v>
      </c>
      <c r="B15" s="13"/>
      <c r="C15" s="9">
        <f>November!C15+B15</f>
        <v>969</v>
      </c>
      <c r="D15" s="15"/>
      <c r="E15" s="9">
        <f>November!E15+D15</f>
        <v>67</v>
      </c>
      <c r="F15" s="17"/>
      <c r="G15" s="9">
        <f>November!G15+F15</f>
        <v>1</v>
      </c>
      <c r="H15" s="19"/>
      <c r="I15" s="9">
        <f>November!I15+H15</f>
        <v>0</v>
      </c>
    </row>
    <row r="16" spans="1:9" s="5" customFormat="1" ht="18" customHeight="1">
      <c r="A16" s="9" t="s">
        <v>18</v>
      </c>
      <c r="B16" s="13"/>
      <c r="C16" s="9">
        <f>November!C16+B16</f>
        <v>0</v>
      </c>
      <c r="D16" s="15"/>
      <c r="E16" s="9">
        <f>November!E16+D16</f>
        <v>0</v>
      </c>
      <c r="F16" s="17"/>
      <c r="G16" s="9">
        <f>November!G16+F16</f>
        <v>0</v>
      </c>
      <c r="H16" s="19"/>
      <c r="I16" s="9">
        <f>November!I16+H16</f>
        <v>0</v>
      </c>
    </row>
    <row r="17" spans="1:9" s="5" customFormat="1" ht="18" customHeight="1">
      <c r="A17" s="9" t="s">
        <v>19</v>
      </c>
      <c r="B17" s="13"/>
      <c r="C17" s="9">
        <f>November!C17+B17</f>
        <v>1047</v>
      </c>
      <c r="D17" s="15"/>
      <c r="E17" s="9">
        <f>November!E17+D17</f>
        <v>57</v>
      </c>
      <c r="F17" s="17"/>
      <c r="G17" s="9">
        <f>November!G17+F17</f>
        <v>715</v>
      </c>
      <c r="H17" s="19"/>
      <c r="I17" s="9">
        <f>November!I17+H17</f>
        <v>0</v>
      </c>
    </row>
    <row r="18" spans="1:9" s="5" customFormat="1" ht="18" customHeight="1">
      <c r="A18" s="9" t="s">
        <v>20</v>
      </c>
      <c r="B18" s="13"/>
      <c r="C18" s="9">
        <f>November!C18+B18</f>
        <v>2568</v>
      </c>
      <c r="D18" s="15"/>
      <c r="E18" s="9">
        <f>November!E18+D18</f>
        <v>1215</v>
      </c>
      <c r="F18" s="17"/>
      <c r="G18" s="9">
        <f>November!G18+F18</f>
        <v>284</v>
      </c>
      <c r="H18" s="19"/>
      <c r="I18" s="9">
        <f>November!I18+H18</f>
        <v>0</v>
      </c>
    </row>
    <row r="19" spans="1:9" s="5" customFormat="1" ht="18" customHeight="1">
      <c r="A19" s="9" t="s">
        <v>21</v>
      </c>
      <c r="B19" s="13"/>
      <c r="C19" s="9">
        <f>November!C19+B19</f>
        <v>11064</v>
      </c>
      <c r="D19" s="15"/>
      <c r="E19" s="9">
        <f>November!E19+D19</f>
        <v>98</v>
      </c>
      <c r="F19" s="17"/>
      <c r="G19" s="9">
        <f>November!G19+F19</f>
        <v>817</v>
      </c>
      <c r="H19" s="19"/>
      <c r="I19" s="9">
        <f>November!I19+H19</f>
        <v>0</v>
      </c>
    </row>
    <row r="20" spans="1:9" s="5" customFormat="1" ht="18" customHeight="1">
      <c r="A20" s="9" t="s">
        <v>22</v>
      </c>
      <c r="B20" s="13"/>
      <c r="C20" s="9">
        <f>November!C20+B20</f>
        <v>19959</v>
      </c>
      <c r="D20" s="15"/>
      <c r="E20" s="9">
        <f>November!E20+D20</f>
        <v>1780</v>
      </c>
      <c r="F20" s="17"/>
      <c r="G20" s="9">
        <f>November!G20+F20</f>
        <v>1763</v>
      </c>
      <c r="H20" s="19"/>
      <c r="I20" s="9">
        <f>November!I20+H20</f>
        <v>0</v>
      </c>
    </row>
    <row r="21" spans="1:9" s="5" customFormat="1" ht="18" customHeight="1">
      <c r="A21" s="9" t="s">
        <v>23</v>
      </c>
      <c r="B21" s="13"/>
      <c r="C21" s="9">
        <f>November!C21+B21</f>
        <v>52263</v>
      </c>
      <c r="D21" s="15"/>
      <c r="E21" s="9">
        <f>November!E21+D21</f>
        <v>16</v>
      </c>
      <c r="F21" s="17"/>
      <c r="G21" s="9">
        <f>November!G21+F21</f>
        <v>1</v>
      </c>
      <c r="H21" s="19"/>
      <c r="I21" s="9">
        <f>November!I21+H21</f>
        <v>0</v>
      </c>
    </row>
    <row r="22" spans="1:9" s="5" customFormat="1" ht="18" customHeight="1">
      <c r="A22" s="9" t="s">
        <v>24</v>
      </c>
      <c r="B22" s="13"/>
      <c r="C22" s="9">
        <f>November!C22+B22</f>
        <v>0</v>
      </c>
      <c r="D22" s="15"/>
      <c r="E22" s="9">
        <f>November!E22+D22</f>
        <v>0</v>
      </c>
      <c r="F22" s="17"/>
      <c r="G22" s="9">
        <f>November!G22+F22</f>
        <v>0</v>
      </c>
      <c r="H22" s="19"/>
      <c r="I22" s="9">
        <f>November!I22+H22</f>
        <v>0</v>
      </c>
    </row>
    <row r="23" spans="1:9" s="5" customFormat="1" ht="18" customHeight="1">
      <c r="A23" s="9" t="s">
        <v>25</v>
      </c>
      <c r="B23" s="13"/>
      <c r="C23" s="9">
        <f>November!C23+B23</f>
        <v>0</v>
      </c>
      <c r="D23" s="15"/>
      <c r="E23" s="9">
        <f>November!E23+D23</f>
        <v>0</v>
      </c>
      <c r="F23" s="17"/>
      <c r="G23" s="9">
        <f>November!G23+F23</f>
        <v>3</v>
      </c>
      <c r="H23" s="19"/>
      <c r="I23" s="9">
        <f>November!I23+H23</f>
        <v>0</v>
      </c>
    </row>
    <row r="24" spans="1:9" s="5" customFormat="1" ht="18" customHeight="1">
      <c r="A24" s="9" t="s">
        <v>26</v>
      </c>
      <c r="B24" s="13"/>
      <c r="C24" s="9">
        <f>November!C24+B24</f>
        <v>0</v>
      </c>
      <c r="D24" s="15"/>
      <c r="E24" s="9">
        <f>November!E24+D24</f>
        <v>6</v>
      </c>
      <c r="F24" s="17"/>
      <c r="G24" s="9">
        <f>November!G24+F24</f>
        <v>5</v>
      </c>
      <c r="H24" s="19"/>
      <c r="I24" s="9">
        <f>November!I24+H24</f>
        <v>0</v>
      </c>
    </row>
    <row r="25" spans="1:9" s="5" customFormat="1" ht="18" customHeight="1">
      <c r="A25" s="9" t="s">
        <v>27</v>
      </c>
      <c r="B25" s="13"/>
      <c r="C25" s="9">
        <f>November!C25+B25</f>
        <v>0</v>
      </c>
      <c r="D25" s="15"/>
      <c r="E25" s="9">
        <f>November!E25+D25</f>
        <v>0</v>
      </c>
      <c r="F25" s="17"/>
      <c r="G25" s="9">
        <f>November!G25+F25</f>
        <v>11</v>
      </c>
      <c r="H25" s="19"/>
      <c r="I25" s="9">
        <f>November!I25+H25</f>
        <v>0</v>
      </c>
    </row>
    <row r="26" spans="1:9" s="5" customFormat="1" ht="18" customHeight="1">
      <c r="A26" s="9" t="s">
        <v>28</v>
      </c>
      <c r="B26" s="13"/>
      <c r="C26" s="9">
        <f>November!C26+B26</f>
        <v>1745</v>
      </c>
      <c r="D26" s="15"/>
      <c r="E26" s="9">
        <f>November!E26+D26</f>
        <v>162</v>
      </c>
      <c r="F26" s="17"/>
      <c r="G26" s="9">
        <f>November!G26+F26</f>
        <v>158</v>
      </c>
      <c r="H26" s="19"/>
      <c r="I26" s="9">
        <f>November!I26+H26</f>
        <v>0</v>
      </c>
    </row>
    <row r="27" spans="1:9" s="5" customFormat="1" ht="18" customHeight="1">
      <c r="A27" s="9" t="s">
        <v>29</v>
      </c>
      <c r="B27" s="13"/>
      <c r="C27" s="9">
        <f>November!C27+B27</f>
        <v>18728</v>
      </c>
      <c r="D27" s="15"/>
      <c r="E27" s="9">
        <f>November!E27+D27</f>
        <v>2572</v>
      </c>
      <c r="F27" s="17"/>
      <c r="G27" s="9">
        <f>November!G27+F27</f>
        <v>4145</v>
      </c>
      <c r="H27" s="19"/>
      <c r="I27" s="9">
        <f>November!I27+H27</f>
        <v>0</v>
      </c>
    </row>
    <row r="28" spans="1:9" s="5" customFormat="1" ht="18" customHeight="1">
      <c r="A28" s="9" t="s">
        <v>30</v>
      </c>
      <c r="B28" s="13"/>
      <c r="C28" s="9">
        <f>November!C28+B28</f>
        <v>2327</v>
      </c>
      <c r="D28" s="15"/>
      <c r="E28" s="9">
        <f>November!E28+D28</f>
        <v>5</v>
      </c>
      <c r="F28" s="17"/>
      <c r="G28" s="9">
        <f>November!G28+F28</f>
        <v>0</v>
      </c>
      <c r="H28" s="19"/>
      <c r="I28" s="9">
        <f>November!I28+H28</f>
        <v>0</v>
      </c>
    </row>
    <row r="29" spans="1:9" s="5" customFormat="1" ht="18" customHeight="1">
      <c r="A29" s="9" t="s">
        <v>31</v>
      </c>
      <c r="B29" s="13"/>
      <c r="C29" s="9">
        <f>November!C29+B29</f>
        <v>93781</v>
      </c>
      <c r="D29" s="15"/>
      <c r="E29" s="9">
        <f>November!E29+D29</f>
        <v>2407</v>
      </c>
      <c r="F29" s="17"/>
      <c r="G29" s="9">
        <f>November!G29+F29</f>
        <v>311</v>
      </c>
      <c r="H29" s="19"/>
      <c r="I29" s="9">
        <f>November!I29+H29</f>
        <v>4</v>
      </c>
    </row>
    <row r="30" spans="1:9" s="5" customFormat="1" ht="18" customHeight="1">
      <c r="A30" s="9" t="s">
        <v>32</v>
      </c>
      <c r="B30" s="13"/>
      <c r="C30" s="9">
        <f>November!C30+B30</f>
        <v>31443</v>
      </c>
      <c r="D30" s="15"/>
      <c r="E30" s="9">
        <f>November!E30+D30</f>
        <v>5716</v>
      </c>
      <c r="F30" s="17"/>
      <c r="G30" s="9">
        <f>November!G30+F30</f>
        <v>43</v>
      </c>
      <c r="H30" s="19"/>
      <c r="I30" s="9">
        <f>November!I30+H30</f>
        <v>0</v>
      </c>
    </row>
    <row r="31" spans="1:9" s="5" customFormat="1" ht="18" customHeight="1">
      <c r="A31" s="9" t="s">
        <v>33</v>
      </c>
      <c r="B31" s="13"/>
      <c r="C31" s="9">
        <f>November!C31+B31</f>
        <v>5599</v>
      </c>
      <c r="D31" s="15"/>
      <c r="E31" s="9">
        <f>November!E31+D31</f>
        <v>13136</v>
      </c>
      <c r="F31" s="17"/>
      <c r="G31" s="9">
        <f>November!G31+F31</f>
        <v>686</v>
      </c>
      <c r="H31" s="19"/>
      <c r="I31" s="9">
        <f>November!I31+H31</f>
        <v>62</v>
      </c>
    </row>
    <row r="32" spans="1:9" s="5" customFormat="1" ht="18" customHeight="1">
      <c r="A32" s="9" t="s">
        <v>34</v>
      </c>
      <c r="B32" s="13"/>
      <c r="C32" s="9">
        <f>November!C32+B32</f>
        <v>0</v>
      </c>
      <c r="D32" s="22"/>
      <c r="E32" s="9">
        <f>November!E32+D32</f>
        <v>0</v>
      </c>
      <c r="F32" s="17"/>
      <c r="G32" s="9">
        <f>November!G32+F32</f>
        <v>0</v>
      </c>
      <c r="H32" s="19"/>
      <c r="I32" s="9">
        <f>November!I32+H32</f>
        <v>0</v>
      </c>
    </row>
    <row r="33" spans="1:9" s="5" customFormat="1" ht="18" customHeight="1">
      <c r="A33" s="9" t="s">
        <v>35</v>
      </c>
      <c r="B33" s="13"/>
      <c r="C33" s="9">
        <f>November!C33+B33</f>
        <v>0</v>
      </c>
      <c r="D33" s="15"/>
      <c r="E33" s="9">
        <f>November!E33+D33</f>
        <v>0</v>
      </c>
      <c r="F33" s="17"/>
      <c r="G33" s="9">
        <f>November!G33+F33</f>
        <v>0</v>
      </c>
      <c r="H33" s="19"/>
      <c r="I33" s="9">
        <f>November!I33+H33</f>
        <v>0</v>
      </c>
    </row>
    <row r="34" spans="1:9" s="5" customFormat="1" ht="18" customHeight="1">
      <c r="A34" s="9" t="s">
        <v>36</v>
      </c>
      <c r="B34" s="13"/>
      <c r="C34" s="9">
        <f>November!C34+B34</f>
        <v>0</v>
      </c>
      <c r="D34" s="15"/>
      <c r="E34" s="9">
        <f>November!E34+D34</f>
        <v>0</v>
      </c>
      <c r="F34" s="17"/>
      <c r="G34" s="9">
        <f>November!G34+F34</f>
        <v>0</v>
      </c>
      <c r="H34" s="19"/>
      <c r="I34" s="9">
        <f>November!I34+H34</f>
        <v>0</v>
      </c>
    </row>
    <row r="35" spans="1:9" s="5" customFormat="1" ht="18" customHeight="1">
      <c r="A35" s="9" t="s">
        <v>37</v>
      </c>
      <c r="B35" s="13"/>
      <c r="C35" s="9">
        <f>November!C35+B35</f>
        <v>1251</v>
      </c>
      <c r="D35" s="15"/>
      <c r="E35" s="9">
        <f>November!E35+D35</f>
        <v>22</v>
      </c>
      <c r="F35" s="17"/>
      <c r="G35" s="9">
        <f>November!G35+F35</f>
        <v>389</v>
      </c>
      <c r="H35" s="19"/>
      <c r="I35" s="9">
        <f>November!I35+H35</f>
        <v>0</v>
      </c>
    </row>
    <row r="36" spans="1:9" s="5" customFormat="1" ht="18" customHeight="1">
      <c r="A36" s="9" t="s">
        <v>38</v>
      </c>
      <c r="B36" s="13"/>
      <c r="C36" s="9">
        <f>November!C36+B36</f>
        <v>101</v>
      </c>
      <c r="D36" s="15"/>
      <c r="E36" s="9">
        <f>November!E36+D36</f>
        <v>31</v>
      </c>
      <c r="F36" s="17"/>
      <c r="G36" s="9">
        <f>November!G36+F36</f>
        <v>1035</v>
      </c>
      <c r="H36" s="19"/>
      <c r="I36" s="9">
        <f>November!I36+H36</f>
        <v>0</v>
      </c>
    </row>
    <row r="37" spans="1:9" s="5" customFormat="1" ht="18" customHeight="1">
      <c r="A37" s="9" t="s">
        <v>39</v>
      </c>
      <c r="B37" s="13"/>
      <c r="C37" s="9">
        <f>November!C37+B37</f>
        <v>264</v>
      </c>
      <c r="D37" s="15"/>
      <c r="E37" s="9">
        <f>November!E37+D37</f>
        <v>13</v>
      </c>
      <c r="F37" s="17"/>
      <c r="G37" s="9">
        <f>November!G37+F37</f>
        <v>184</v>
      </c>
      <c r="H37" s="19"/>
      <c r="I37" s="9">
        <f>November!I37+H37</f>
        <v>0</v>
      </c>
    </row>
    <row r="38" spans="1:9" s="5" customFormat="1" ht="18" customHeight="1">
      <c r="A38" s="9" t="s">
        <v>40</v>
      </c>
      <c r="B38" s="13"/>
      <c r="C38" s="9">
        <f>November!C38+B38</f>
        <v>55978</v>
      </c>
      <c r="D38" s="15"/>
      <c r="E38" s="9">
        <f>November!E38+D38</f>
        <v>578</v>
      </c>
      <c r="F38" s="17"/>
      <c r="G38" s="9">
        <f>November!G38+F38</f>
        <v>149</v>
      </c>
      <c r="H38" s="19"/>
      <c r="I38" s="9">
        <f>November!I38+H38</f>
        <v>0</v>
      </c>
    </row>
    <row r="39" spans="1:9" s="5" customFormat="1" ht="18" customHeight="1">
      <c r="A39" s="9" t="s">
        <v>41</v>
      </c>
      <c r="B39" s="13"/>
      <c r="C39" s="9">
        <f>November!C39+B39</f>
        <v>0</v>
      </c>
      <c r="D39" s="15"/>
      <c r="E39" s="9">
        <f>November!E39+D39</f>
        <v>39</v>
      </c>
      <c r="F39" s="17"/>
      <c r="G39" s="9">
        <f>November!G39+F39</f>
        <v>205</v>
      </c>
      <c r="H39" s="19"/>
      <c r="I39" s="9">
        <f>November!I39+H39</f>
        <v>0</v>
      </c>
    </row>
    <row r="40" spans="1:9" s="5" customFormat="1" ht="18" customHeight="1">
      <c r="A40" s="9" t="s">
        <v>42</v>
      </c>
      <c r="B40" s="13"/>
      <c r="C40" s="9">
        <f>November!C40+B40</f>
        <v>42835</v>
      </c>
      <c r="D40" s="15"/>
      <c r="E40" s="9">
        <f>November!E40+D40</f>
        <v>508</v>
      </c>
      <c r="F40" s="17"/>
      <c r="G40" s="9">
        <f>November!G40+F40</f>
        <v>10</v>
      </c>
      <c r="H40" s="19"/>
      <c r="I40" s="9">
        <f>November!I40+H40</f>
        <v>0</v>
      </c>
    </row>
    <row r="41" spans="1:9" s="5" customFormat="1" ht="18" customHeight="1">
      <c r="A41" s="9" t="s">
        <v>43</v>
      </c>
      <c r="B41" s="13"/>
      <c r="C41" s="9">
        <f>November!C41+B41</f>
        <v>1133</v>
      </c>
      <c r="D41" s="15"/>
      <c r="E41" s="9">
        <f>November!E41+D41</f>
        <v>0</v>
      </c>
      <c r="F41" s="17"/>
      <c r="G41" s="9">
        <f>November!G41+F41</f>
        <v>79</v>
      </c>
      <c r="H41" s="19"/>
      <c r="I41" s="9">
        <f>November!I41+H41</f>
        <v>0</v>
      </c>
    </row>
    <row r="42" spans="1:9" s="5" customFormat="1" ht="18" customHeight="1">
      <c r="A42" s="9" t="s">
        <v>44</v>
      </c>
      <c r="B42" s="13"/>
      <c r="C42" s="9">
        <f>November!C42+B42</f>
        <v>488</v>
      </c>
      <c r="D42" s="15"/>
      <c r="E42" s="9">
        <f>November!E42+D42</f>
        <v>188</v>
      </c>
      <c r="F42" s="17"/>
      <c r="G42" s="9">
        <f>November!G42+F42</f>
        <v>1482</v>
      </c>
      <c r="H42" s="19"/>
      <c r="I42" s="9">
        <f>November!I42+H42</f>
        <v>0</v>
      </c>
    </row>
    <row r="43" spans="1:9" s="5" customFormat="1" ht="18" customHeight="1">
      <c r="A43" s="9" t="s">
        <v>45</v>
      </c>
      <c r="B43" s="13"/>
      <c r="C43" s="9">
        <f>November!C43+B43</f>
        <v>0</v>
      </c>
      <c r="D43" s="15"/>
      <c r="E43" s="9">
        <f>November!E43+D43</f>
        <v>0</v>
      </c>
      <c r="F43" s="17"/>
      <c r="G43" s="9">
        <f>November!G43+F43</f>
        <v>0</v>
      </c>
      <c r="H43" s="19"/>
      <c r="I43" s="9">
        <f>November!I43+H43</f>
        <v>0</v>
      </c>
    </row>
    <row r="44" spans="1:9" s="5" customFormat="1" ht="18" customHeight="1">
      <c r="A44" s="9" t="s">
        <v>46</v>
      </c>
      <c r="B44" s="13"/>
      <c r="C44" s="9">
        <f>November!C44+B44</f>
        <v>1311</v>
      </c>
      <c r="D44" s="15"/>
      <c r="E44" s="9">
        <f>November!E44+D44</f>
        <v>0</v>
      </c>
      <c r="F44" s="17"/>
      <c r="G44" s="9">
        <f>November!G44+F44</f>
        <v>0</v>
      </c>
      <c r="H44" s="19"/>
      <c r="I44" s="9">
        <f>November!I44+H44</f>
        <v>0</v>
      </c>
    </row>
    <row r="45" spans="1:9" s="5" customFormat="1" ht="18" customHeight="1">
      <c r="A45" s="9" t="s">
        <v>47</v>
      </c>
      <c r="B45" s="13"/>
      <c r="C45" s="9">
        <f>November!C45+B45</f>
        <v>173230</v>
      </c>
      <c r="D45" s="15"/>
      <c r="E45" s="9">
        <f>November!E45+D45</f>
        <v>9062</v>
      </c>
      <c r="F45" s="17"/>
      <c r="G45" s="9">
        <f>November!G45+F45</f>
        <v>827</v>
      </c>
      <c r="H45" s="19"/>
      <c r="I45" s="9">
        <f>November!I45+H45</f>
        <v>0</v>
      </c>
    </row>
    <row r="46" spans="1:9" s="5" customFormat="1" ht="18" customHeight="1">
      <c r="A46" s="9" t="s">
        <v>48</v>
      </c>
      <c r="B46" s="13"/>
      <c r="C46" s="9">
        <f>November!C46+B46</f>
        <v>9797</v>
      </c>
      <c r="D46" s="15"/>
      <c r="E46" s="9">
        <f>November!E46+D46</f>
        <v>150</v>
      </c>
      <c r="F46" s="17"/>
      <c r="G46" s="9">
        <f>November!G46+F46</f>
        <v>3</v>
      </c>
      <c r="H46" s="19"/>
      <c r="I46" s="9">
        <f>November!I46+H46</f>
        <v>0</v>
      </c>
    </row>
    <row r="47" spans="1:9" s="5" customFormat="1" ht="18" customHeight="1">
      <c r="A47" s="9" t="s">
        <v>49</v>
      </c>
      <c r="B47" s="13"/>
      <c r="C47" s="9">
        <f>November!C47+B47</f>
        <v>4998</v>
      </c>
      <c r="D47" s="15"/>
      <c r="E47" s="9">
        <f>November!E47+D47</f>
        <v>824</v>
      </c>
      <c r="F47" s="17"/>
      <c r="G47" s="9">
        <f>November!G47+F47</f>
        <v>2461</v>
      </c>
      <c r="H47" s="19"/>
      <c r="I47" s="9">
        <f>November!I47+H47</f>
        <v>23</v>
      </c>
    </row>
    <row r="48" spans="1:9" s="5" customFormat="1" ht="18" customHeight="1">
      <c r="A48" s="9" t="s">
        <v>50</v>
      </c>
      <c r="B48" s="13"/>
      <c r="C48" s="9">
        <f>November!C48+B48</f>
        <v>133</v>
      </c>
      <c r="D48" s="15"/>
      <c r="E48" s="9">
        <f>November!E48+D48</f>
        <v>9</v>
      </c>
      <c r="F48" s="17"/>
      <c r="G48" s="9">
        <f>November!G48+F48</f>
        <v>1</v>
      </c>
      <c r="H48" s="19"/>
      <c r="I48" s="9">
        <f>November!I48+H48</f>
        <v>0</v>
      </c>
    </row>
    <row r="49" spans="1:9" s="5" customFormat="1" ht="18" customHeight="1">
      <c r="A49" s="9" t="s">
        <v>51</v>
      </c>
      <c r="B49" s="13"/>
      <c r="C49" s="9">
        <f>November!C49+B49</f>
        <v>0</v>
      </c>
      <c r="D49" s="15"/>
      <c r="E49" s="9">
        <f>November!E49+D49</f>
        <v>0</v>
      </c>
      <c r="F49" s="17"/>
      <c r="G49" s="9">
        <f>November!G49+F49</f>
        <v>0</v>
      </c>
      <c r="H49" s="19"/>
      <c r="I49" s="9">
        <f>November!I49+H49</f>
        <v>0</v>
      </c>
    </row>
    <row r="50" spans="1:9" s="5" customFormat="1" ht="18" customHeight="1">
      <c r="A50" s="9" t="s">
        <v>52</v>
      </c>
      <c r="B50" s="13"/>
      <c r="C50" s="9">
        <f>November!C50+B50</f>
        <v>10097</v>
      </c>
      <c r="D50" s="15"/>
      <c r="E50" s="9">
        <f>November!E50+D50</f>
        <v>0</v>
      </c>
      <c r="F50" s="17"/>
      <c r="G50" s="9">
        <f>November!G50+F50</f>
        <v>2</v>
      </c>
      <c r="H50" s="19"/>
      <c r="I50" s="9">
        <f>November!I50+H50</f>
        <v>0</v>
      </c>
    </row>
    <row r="51" spans="1:9" s="5" customFormat="1" ht="18" customHeight="1">
      <c r="A51" s="9" t="s">
        <v>53</v>
      </c>
      <c r="B51" s="13"/>
      <c r="C51" s="9">
        <f>November!C51+B51</f>
        <v>587</v>
      </c>
      <c r="D51" s="15"/>
      <c r="E51" s="9">
        <f>November!E51+D51</f>
        <v>6</v>
      </c>
      <c r="F51" s="17"/>
      <c r="G51" s="9">
        <f>November!G51+F51</f>
        <v>1</v>
      </c>
      <c r="H51" s="19"/>
      <c r="I51" s="9">
        <f>November!I51+H51</f>
        <v>0</v>
      </c>
    </row>
    <row r="52" spans="1:9" s="5" customFormat="1" ht="18" customHeight="1">
      <c r="A52" s="9" t="s">
        <v>54</v>
      </c>
      <c r="B52" s="13"/>
      <c r="C52" s="9">
        <f>November!C52+B52</f>
        <v>1922</v>
      </c>
      <c r="D52" s="15"/>
      <c r="E52" s="9">
        <f>November!E52+D52</f>
        <v>0</v>
      </c>
      <c r="F52" s="17"/>
      <c r="G52" s="9">
        <f>November!G52+F52</f>
        <v>0</v>
      </c>
      <c r="H52" s="19"/>
      <c r="I52" s="9">
        <f>November!I52+H52</f>
        <v>0</v>
      </c>
    </row>
    <row r="53" spans="1:9" s="5" customFormat="1" ht="18" customHeight="1">
      <c r="A53" s="9" t="s">
        <v>55</v>
      </c>
      <c r="B53" s="13"/>
      <c r="C53" s="9">
        <f>November!C53+B53</f>
        <v>26588</v>
      </c>
      <c r="D53" s="15"/>
      <c r="E53" s="9">
        <f>November!E53+D53</f>
        <v>735</v>
      </c>
      <c r="F53" s="17"/>
      <c r="G53" s="9">
        <f>November!G53+F53</f>
        <v>4141</v>
      </c>
      <c r="H53" s="19"/>
      <c r="I53" s="9">
        <f>November!I53+H53</f>
        <v>0</v>
      </c>
    </row>
    <row r="54" spans="1:9" s="5" customFormat="1" ht="18" customHeight="1" thickBot="1">
      <c r="A54" s="10" t="s">
        <v>56</v>
      </c>
      <c r="B54" s="13"/>
      <c r="C54" s="9">
        <f>November!C54+B54</f>
        <v>4263</v>
      </c>
      <c r="D54" s="16"/>
      <c r="E54" s="9">
        <f>November!E54+D54</f>
        <v>2091</v>
      </c>
      <c r="F54" s="17"/>
      <c r="G54" s="9">
        <f>November!G54+F54</f>
        <v>0</v>
      </c>
      <c r="H54" s="19"/>
      <c r="I54" s="9">
        <f>November!I54+H54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November!C57+B55</f>
        <v>628736</v>
      </c>
      <c r="D57" s="11"/>
      <c r="E57" s="11">
        <f>November!E57+D55</f>
        <v>43003</v>
      </c>
      <c r="F57" s="11"/>
      <c r="G57" s="11">
        <f>November!G57+F55</f>
        <v>24969</v>
      </c>
      <c r="H57" s="11"/>
      <c r="I57" s="11">
        <f>November!I57+H55</f>
        <v>104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November!E62+D60</f>
        <v>16705</v>
      </c>
      <c r="G62" s="4">
        <f>November!G62+F60</f>
        <v>2649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="115" zoomScaleNormal="115" zoomScalePageLayoutView="0" workbookViewId="0" topLeftCell="A1">
      <pane ySplit="4" topLeftCell="A44" activePane="bottomLeft" state="frozen"/>
      <selection pane="topLeft" activeCell="A1" sqref="A1"/>
      <selection pane="bottomLeft" activeCell="B54" sqref="B5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62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>
        <f>52</f>
        <v>52</v>
      </c>
      <c r="C5" s="9">
        <f>January!C5+B5</f>
        <v>52</v>
      </c>
      <c r="D5" s="15"/>
      <c r="E5" s="9">
        <f>January!E5+D5</f>
        <v>0</v>
      </c>
      <c r="F5" s="17"/>
      <c r="G5" s="9">
        <f>January!G5+F5</f>
        <v>0</v>
      </c>
      <c r="H5" s="19"/>
      <c r="I5" s="9">
        <f>January!I5+H5</f>
        <v>0</v>
      </c>
    </row>
    <row r="6" spans="1:9" s="5" customFormat="1" ht="18" customHeight="1">
      <c r="A6" s="9" t="s">
        <v>8</v>
      </c>
      <c r="B6" s="13"/>
      <c r="C6" s="9">
        <f>January!C6+B6</f>
        <v>0</v>
      </c>
      <c r="D6" s="15"/>
      <c r="E6" s="9">
        <f>January!E6+D6</f>
        <v>0</v>
      </c>
      <c r="F6" s="17"/>
      <c r="G6" s="9">
        <f>January!G6+F6</f>
        <v>0</v>
      </c>
      <c r="H6" s="19"/>
      <c r="I6" s="9">
        <f>January!I6+H6</f>
        <v>0</v>
      </c>
    </row>
    <row r="7" spans="1:9" s="5" customFormat="1" ht="18" customHeight="1">
      <c r="A7" s="9" t="s">
        <v>9</v>
      </c>
      <c r="B7" s="13"/>
      <c r="C7" s="9">
        <f>January!C7+B7</f>
        <v>0</v>
      </c>
      <c r="D7" s="15"/>
      <c r="E7" s="9">
        <f>January!E7+D7</f>
        <v>0</v>
      </c>
      <c r="F7" s="17">
        <f>161</f>
        <v>161</v>
      </c>
      <c r="G7" s="9">
        <f>January!G7+F7</f>
        <v>161</v>
      </c>
      <c r="H7" s="19"/>
      <c r="I7" s="9">
        <f>January!I7+H7</f>
        <v>0</v>
      </c>
    </row>
    <row r="8" spans="1:9" s="5" customFormat="1" ht="18" customHeight="1">
      <c r="A8" s="9" t="s">
        <v>10</v>
      </c>
      <c r="B8" s="13">
        <f>81+84+80+65</f>
        <v>310</v>
      </c>
      <c r="C8" s="9">
        <f>January!C8+B8</f>
        <v>484</v>
      </c>
      <c r="D8" s="15">
        <f>2</f>
        <v>2</v>
      </c>
      <c r="E8" s="9">
        <f>January!E8+D8</f>
        <v>6</v>
      </c>
      <c r="F8" s="17"/>
      <c r="G8" s="9">
        <f>January!G8+F8</f>
        <v>0</v>
      </c>
      <c r="H8" s="19"/>
      <c r="I8" s="9">
        <f>January!I8+H8</f>
        <v>0</v>
      </c>
    </row>
    <row r="9" spans="1:9" s="5" customFormat="1" ht="18" customHeight="1">
      <c r="A9" s="9" t="s">
        <v>11</v>
      </c>
      <c r="B9" s="13">
        <v>450</v>
      </c>
      <c r="C9" s="9">
        <f>January!C9+B9</f>
        <v>450</v>
      </c>
      <c r="D9" s="15">
        <v>3</v>
      </c>
      <c r="E9" s="9">
        <f>January!E9+D9</f>
        <v>3</v>
      </c>
      <c r="F9" s="17">
        <v>1</v>
      </c>
      <c r="G9" s="9">
        <f>January!G9+F9</f>
        <v>676</v>
      </c>
      <c r="H9" s="19"/>
      <c r="I9" s="9">
        <f>January!I9+H9</f>
        <v>0</v>
      </c>
    </row>
    <row r="10" spans="1:9" s="5" customFormat="1" ht="18" customHeight="1">
      <c r="A10" s="9" t="s">
        <v>12</v>
      </c>
      <c r="B10" s="13"/>
      <c r="C10" s="9">
        <f>January!C10+B10</f>
        <v>181</v>
      </c>
      <c r="D10" s="15"/>
      <c r="E10" s="9">
        <f>January!E10+D10</f>
        <v>0</v>
      </c>
      <c r="F10" s="17"/>
      <c r="G10" s="9">
        <f>January!G10+F10</f>
        <v>0</v>
      </c>
      <c r="H10" s="19"/>
      <c r="I10" s="9">
        <f>January!I10+H10</f>
        <v>0</v>
      </c>
    </row>
    <row r="11" spans="1:9" s="5" customFormat="1" ht="18" customHeight="1">
      <c r="A11" s="9" t="s">
        <v>13</v>
      </c>
      <c r="B11" s="13">
        <f>65</f>
        <v>65</v>
      </c>
      <c r="C11" s="9">
        <f>January!C11+B11</f>
        <v>258</v>
      </c>
      <c r="D11" s="15">
        <f>1+90+2+8+150+47</f>
        <v>298</v>
      </c>
      <c r="E11" s="9">
        <f>January!E11+D11</f>
        <v>394</v>
      </c>
      <c r="F11" s="17">
        <f>29</f>
        <v>29</v>
      </c>
      <c r="G11" s="9">
        <f>January!G11+F11</f>
        <v>29</v>
      </c>
      <c r="H11" s="19"/>
      <c r="I11" s="9">
        <f>January!I11+H11</f>
        <v>0</v>
      </c>
    </row>
    <row r="12" spans="1:9" s="5" customFormat="1" ht="18" customHeight="1">
      <c r="A12" s="9" t="s">
        <v>14</v>
      </c>
      <c r="B12" s="13"/>
      <c r="C12" s="9">
        <f>January!C12+B12</f>
        <v>0</v>
      </c>
      <c r="D12" s="15"/>
      <c r="E12" s="9">
        <f>January!E12+D12</f>
        <v>0</v>
      </c>
      <c r="F12" s="17"/>
      <c r="G12" s="9">
        <f>January!G12+F12</f>
        <v>0</v>
      </c>
      <c r="H12" s="19"/>
      <c r="I12" s="9">
        <f>January!I12+H12</f>
        <v>0</v>
      </c>
    </row>
    <row r="13" spans="1:9" s="5" customFormat="1" ht="18" customHeight="1">
      <c r="A13" s="9" t="s">
        <v>15</v>
      </c>
      <c r="B13" s="13"/>
      <c r="C13" s="9">
        <f>January!C13+B13</f>
        <v>0</v>
      </c>
      <c r="D13" s="15"/>
      <c r="E13" s="9">
        <f>January!E13+D13</f>
        <v>0</v>
      </c>
      <c r="F13" s="17"/>
      <c r="G13" s="9">
        <f>January!G13+F13</f>
        <v>0</v>
      </c>
      <c r="H13" s="19"/>
      <c r="I13" s="9">
        <f>January!I13+H13</f>
        <v>0</v>
      </c>
    </row>
    <row r="14" spans="1:9" s="5" customFormat="1" ht="18" customHeight="1">
      <c r="A14" s="9" t="s">
        <v>16</v>
      </c>
      <c r="B14" s="13"/>
      <c r="C14" s="9">
        <f>January!C14+B14</f>
        <v>0</v>
      </c>
      <c r="D14" s="15"/>
      <c r="E14" s="9">
        <f>January!E14+D14</f>
        <v>0</v>
      </c>
      <c r="F14" s="17"/>
      <c r="G14" s="9">
        <f>January!G14+F14</f>
        <v>0</v>
      </c>
      <c r="H14" s="19"/>
      <c r="I14" s="9">
        <f>January!I14+H14</f>
        <v>0</v>
      </c>
    </row>
    <row r="15" spans="1:9" s="5" customFormat="1" ht="18" customHeight="1">
      <c r="A15" s="9" t="s">
        <v>17</v>
      </c>
      <c r="B15" s="13">
        <f>17</f>
        <v>17</v>
      </c>
      <c r="C15" s="9">
        <f>January!C15+B15</f>
        <v>115</v>
      </c>
      <c r="D15" s="15"/>
      <c r="E15" s="9">
        <f>January!E15+D15</f>
        <v>15</v>
      </c>
      <c r="F15" s="17"/>
      <c r="G15" s="9">
        <f>January!G15+F15</f>
        <v>0</v>
      </c>
      <c r="H15" s="19"/>
      <c r="I15" s="9">
        <f>January!I15+H15</f>
        <v>0</v>
      </c>
    </row>
    <row r="16" spans="1:9" s="5" customFormat="1" ht="18" customHeight="1">
      <c r="A16" s="9" t="s">
        <v>18</v>
      </c>
      <c r="B16" s="13"/>
      <c r="C16" s="9">
        <f>January!C16+B16</f>
        <v>0</v>
      </c>
      <c r="D16" s="15"/>
      <c r="E16" s="9">
        <f>January!E16+D16</f>
        <v>0</v>
      </c>
      <c r="F16" s="17"/>
      <c r="G16" s="9">
        <f>January!G16+F16</f>
        <v>0</v>
      </c>
      <c r="H16" s="19"/>
      <c r="I16" s="9">
        <f>January!I16+H16</f>
        <v>0</v>
      </c>
    </row>
    <row r="17" spans="1:9" s="5" customFormat="1" ht="18" customHeight="1">
      <c r="A17" s="9" t="s">
        <v>19</v>
      </c>
      <c r="B17" s="13">
        <f>129</f>
        <v>129</v>
      </c>
      <c r="C17" s="9">
        <f>January!C17+B17</f>
        <v>823</v>
      </c>
      <c r="D17" s="15"/>
      <c r="E17" s="9">
        <f>January!E17+D17</f>
        <v>50</v>
      </c>
      <c r="F17" s="17">
        <f>714</f>
        <v>714</v>
      </c>
      <c r="G17" s="9">
        <f>January!G17+F17</f>
        <v>715</v>
      </c>
      <c r="H17" s="19"/>
      <c r="I17" s="9">
        <f>January!I17+H17</f>
        <v>0</v>
      </c>
    </row>
    <row r="18" spans="1:9" s="5" customFormat="1" ht="18" customHeight="1">
      <c r="A18" s="9" t="s">
        <v>20</v>
      </c>
      <c r="B18" s="13">
        <f>37+39+5+218+139+32+100</f>
        <v>570</v>
      </c>
      <c r="C18" s="9">
        <f>January!C18+B18</f>
        <v>906</v>
      </c>
      <c r="D18" s="15">
        <f>4+3+14+12+36+3</f>
        <v>72</v>
      </c>
      <c r="E18" s="9">
        <f>January!E18+D18</f>
        <v>83</v>
      </c>
      <c r="F18" s="17">
        <f>9+17</f>
        <v>26</v>
      </c>
      <c r="G18" s="9">
        <f>January!G18+F18</f>
        <v>121</v>
      </c>
      <c r="H18" s="19"/>
      <c r="I18" s="9">
        <f>January!I18+H18</f>
        <v>0</v>
      </c>
    </row>
    <row r="19" spans="1:9" s="5" customFormat="1" ht="18" customHeight="1">
      <c r="A19" s="9" t="s">
        <v>21</v>
      </c>
      <c r="B19" s="13">
        <f>145+151+150+145+68+1333</f>
        <v>1992</v>
      </c>
      <c r="C19" s="9">
        <f>January!C19+B19</f>
        <v>3254</v>
      </c>
      <c r="D19" s="15">
        <f>4</f>
        <v>4</v>
      </c>
      <c r="E19" s="9">
        <f>January!E19+D19</f>
        <v>9</v>
      </c>
      <c r="F19" s="17">
        <f>120</f>
        <v>120</v>
      </c>
      <c r="G19" s="9">
        <f>January!G19+F19</f>
        <v>121</v>
      </c>
      <c r="H19" s="19"/>
      <c r="I19" s="9">
        <f>January!I19+H19</f>
        <v>0</v>
      </c>
    </row>
    <row r="20" spans="1:9" s="5" customFormat="1" ht="18" customHeight="1">
      <c r="A20" s="9" t="s">
        <v>22</v>
      </c>
      <c r="B20" s="13">
        <f>97+156+62+87+113</f>
        <v>515</v>
      </c>
      <c r="C20" s="9">
        <f>January!C20+B20</f>
        <v>1924</v>
      </c>
      <c r="D20" s="15">
        <f>3+84</f>
        <v>87</v>
      </c>
      <c r="E20" s="9">
        <f>January!E20+D20</f>
        <v>271</v>
      </c>
      <c r="F20" s="17">
        <f>52+42+1</f>
        <v>95</v>
      </c>
      <c r="G20" s="9">
        <f>January!G20+F20</f>
        <v>639</v>
      </c>
      <c r="H20" s="19"/>
      <c r="I20" s="9">
        <f>January!I20+H20</f>
        <v>0</v>
      </c>
    </row>
    <row r="21" spans="1:9" s="5" customFormat="1" ht="18" customHeight="1">
      <c r="A21" s="9" t="s">
        <v>23</v>
      </c>
      <c r="B21" s="13">
        <f>77+104+56+90+77+110+73+88+225+70+145+63+253+108+67+63+875+91</f>
        <v>2635</v>
      </c>
      <c r="C21" s="9">
        <f>January!C21+B21</f>
        <v>7551</v>
      </c>
      <c r="D21" s="15">
        <f>3</f>
        <v>3</v>
      </c>
      <c r="E21" s="9">
        <f>January!E21+D21</f>
        <v>4</v>
      </c>
      <c r="F21" s="17"/>
      <c r="G21" s="9">
        <f>January!G21+F21</f>
        <v>0</v>
      </c>
      <c r="H21" s="19"/>
      <c r="I21" s="9">
        <f>January!I21+H21</f>
        <v>0</v>
      </c>
    </row>
    <row r="22" spans="1:9" s="5" customFormat="1" ht="18" customHeight="1">
      <c r="A22" s="9" t="s">
        <v>24</v>
      </c>
      <c r="B22" s="13"/>
      <c r="C22" s="9">
        <f>January!C22+B22</f>
        <v>0</v>
      </c>
      <c r="D22" s="15"/>
      <c r="E22" s="9">
        <f>January!E22+D22</f>
        <v>0</v>
      </c>
      <c r="F22" s="17"/>
      <c r="G22" s="9">
        <f>January!G22+F22</f>
        <v>0</v>
      </c>
      <c r="H22" s="19"/>
      <c r="I22" s="9">
        <f>January!I22+H22</f>
        <v>0</v>
      </c>
    </row>
    <row r="23" spans="1:9" s="5" customFormat="1" ht="18" customHeight="1">
      <c r="A23" s="9" t="s">
        <v>25</v>
      </c>
      <c r="B23" s="13"/>
      <c r="C23" s="9">
        <f>January!C23+B23</f>
        <v>0</v>
      </c>
      <c r="D23" s="15"/>
      <c r="E23" s="9">
        <f>January!E23+D23</f>
        <v>0</v>
      </c>
      <c r="F23" s="17"/>
      <c r="G23" s="9">
        <f>January!G23+F23</f>
        <v>3</v>
      </c>
      <c r="H23" s="19"/>
      <c r="I23" s="9">
        <f>January!I23+H23</f>
        <v>0</v>
      </c>
    </row>
    <row r="24" spans="1:9" s="5" customFormat="1" ht="18" customHeight="1">
      <c r="A24" s="9" t="s">
        <v>26</v>
      </c>
      <c r="B24" s="13"/>
      <c r="C24" s="9">
        <f>January!C24+B24</f>
        <v>0</v>
      </c>
      <c r="D24" s="15">
        <f>1</f>
        <v>1</v>
      </c>
      <c r="E24" s="9">
        <f>January!E24+D24</f>
        <v>1</v>
      </c>
      <c r="F24" s="17">
        <f>1</f>
        <v>1</v>
      </c>
      <c r="G24" s="9">
        <f>January!G24+F24</f>
        <v>1</v>
      </c>
      <c r="H24" s="19"/>
      <c r="I24" s="9">
        <f>January!I24+H24</f>
        <v>0</v>
      </c>
    </row>
    <row r="25" spans="1:9" s="5" customFormat="1" ht="18" customHeight="1">
      <c r="A25" s="9" t="s">
        <v>27</v>
      </c>
      <c r="B25" s="13"/>
      <c r="C25" s="9">
        <f>January!C25+B25</f>
        <v>0</v>
      </c>
      <c r="D25" s="15"/>
      <c r="E25" s="9">
        <f>January!E25+D25</f>
        <v>0</v>
      </c>
      <c r="F25" s="17"/>
      <c r="G25" s="9">
        <f>January!G25+F25</f>
        <v>0</v>
      </c>
      <c r="H25" s="19"/>
      <c r="I25" s="9">
        <f>January!I25+H25</f>
        <v>0</v>
      </c>
    </row>
    <row r="26" spans="1:9" s="5" customFormat="1" ht="18" customHeight="1">
      <c r="A26" s="9" t="s">
        <v>28</v>
      </c>
      <c r="B26" s="13">
        <f>123+100</f>
        <v>223</v>
      </c>
      <c r="C26" s="9">
        <f>January!C26+B26</f>
        <v>847</v>
      </c>
      <c r="D26" s="15">
        <f>2</f>
        <v>2</v>
      </c>
      <c r="E26" s="9">
        <f>January!E26+D26</f>
        <v>104</v>
      </c>
      <c r="F26" s="17">
        <f>2</f>
        <v>2</v>
      </c>
      <c r="G26" s="9">
        <f>January!G26+F26</f>
        <v>8</v>
      </c>
      <c r="H26" s="19"/>
      <c r="I26" s="9">
        <f>January!I26+H26</f>
        <v>0</v>
      </c>
    </row>
    <row r="27" spans="1:9" s="5" customFormat="1" ht="18" customHeight="1">
      <c r="A27" s="9" t="s">
        <v>29</v>
      </c>
      <c r="B27" s="13">
        <f>10+10+7+2+24+44+15+9+25+55+64+9+93+53+51+44+61+38+7+14+9+5+55+7+34+11+4+11+11+3+18+27+25+124+74+45+53+48+61+67</f>
        <v>1327</v>
      </c>
      <c r="C27" s="9">
        <f>January!C27+B27</f>
        <v>6227</v>
      </c>
      <c r="D27" s="15">
        <f>2+35+34+17+7+17+21+48+7+4+28+6+3+11+21+47+26+7+44+13+17+5</f>
        <v>420</v>
      </c>
      <c r="E27" s="9">
        <f>January!E27+D27</f>
        <v>1262</v>
      </c>
      <c r="F27" s="17">
        <f>75+11+15+24+75+34+75+32+161</f>
        <v>502</v>
      </c>
      <c r="G27" s="9">
        <f>January!G27+F27</f>
        <v>1511</v>
      </c>
      <c r="H27" s="19"/>
      <c r="I27" s="9">
        <f>January!I27+H27</f>
        <v>0</v>
      </c>
    </row>
    <row r="28" spans="1:9" s="5" customFormat="1" ht="18" customHeight="1">
      <c r="A28" s="9" t="s">
        <v>30</v>
      </c>
      <c r="B28" s="13">
        <f>150+170</f>
        <v>320</v>
      </c>
      <c r="C28" s="9">
        <f>January!C28+B28</f>
        <v>320</v>
      </c>
      <c r="D28" s="15"/>
      <c r="E28" s="9">
        <f>January!E28+D28</f>
        <v>0</v>
      </c>
      <c r="F28" s="17"/>
      <c r="G28" s="9">
        <f>January!G28+F28</f>
        <v>0</v>
      </c>
      <c r="H28" s="19"/>
      <c r="I28" s="9">
        <f>January!I28+H28</f>
        <v>0</v>
      </c>
    </row>
    <row r="29" spans="1:9" s="5" customFormat="1" ht="18" customHeight="1">
      <c r="A29" s="9" t="s">
        <v>31</v>
      </c>
      <c r="B29" s="13">
        <f>75+145+63+64+79+86+72+78+68+42+70+39+41+81+172+99+9+11+90+82+51+135+64+83+69+38+60+144+201+28+76+68+228+70+60+69+70+180+72+55+230+130+350+70+65+140+60+140+140+153+99+139+34+120+84+70+240+25+36+70+92+26+16+11+29+58+77+90+48+19+7+69+150+119+34+123+34+66+72+117+75+80+81+172+76+13+218+65+38+69+92+82+95+297+30+121+65+143+65+41+32+71+52+79+72+71+80+72+77+76+76+77+76+81+73+78+68+73+135+27+63+77+244+46+60+62+110+25+92+64+46+38+137+86+94+169+85</f>
        <v>11801</v>
      </c>
      <c r="C29" s="9">
        <f>January!C29+B29</f>
        <v>24192</v>
      </c>
      <c r="D29" s="15">
        <f>7+10+10+19+36+21+9+1+5+57+16+15+12+9+9+2+3+2+2+2+18+14+5+2+5+30+31+21+54+120+19+22+3+23+1</f>
        <v>615</v>
      </c>
      <c r="E29" s="9">
        <f>January!E29+D29</f>
        <v>739</v>
      </c>
      <c r="F29" s="17">
        <f>64</f>
        <v>64</v>
      </c>
      <c r="G29" s="9">
        <f>January!G29+F29</f>
        <v>103</v>
      </c>
      <c r="H29" s="19"/>
      <c r="I29" s="9">
        <f>January!I29+H29</f>
        <v>0</v>
      </c>
    </row>
    <row r="30" spans="1:9" s="5" customFormat="1" ht="18" customHeight="1">
      <c r="A30" s="9" t="s">
        <v>32</v>
      </c>
      <c r="B30" s="13">
        <f>33+152+60+35+33+40+12+12+34+26+165+505+73+77+90+163+82+114+85+14+14+201+110+15+23+82+36+80+85+32+69+21+81+134+90+223+48+321</f>
        <v>3470</v>
      </c>
      <c r="C30" s="9">
        <f>January!C30+B30</f>
        <v>11370</v>
      </c>
      <c r="D30" s="15">
        <f>9+139+99+120+75+111+115+109+55+163+32+10+132</f>
        <v>1169</v>
      </c>
      <c r="E30" s="9">
        <f>January!E30+D30</f>
        <v>1825</v>
      </c>
      <c r="F30" s="17"/>
      <c r="G30" s="9">
        <f>January!G30+F30</f>
        <v>0</v>
      </c>
      <c r="H30" s="19"/>
      <c r="I30" s="9">
        <f>January!I30+H30</f>
        <v>0</v>
      </c>
    </row>
    <row r="31" spans="1:9" s="5" customFormat="1" ht="18" customHeight="1">
      <c r="A31" s="9" t="s">
        <v>33</v>
      </c>
      <c r="B31" s="13">
        <f>212+200+2+27+163+68+178+74+69+222+154+74+26+91+343+87+69+144+69+392+46+58+160+80+276+112+79+112+68+181+70+183+160+62+174+79+205+82+58+72+163+88+37+133+70+78+92+95+92+149+109+61+144+260+227+115+106+61+197+119+167+147+78+65+151+44+600+231+105+53+110+180+110+82+122+1655</f>
        <v>11277</v>
      </c>
      <c r="C31" s="9">
        <f>January!C31+B31</f>
        <v>15580</v>
      </c>
      <c r="D31" s="15">
        <f>1+4+23+46+39+12+86+16+42+1+81+2+4+4+60+1+2+1+44+1+7+2+1+4+2+4+95+38+47+16+41+4+2+165+79+2+85+10+133+12+55+85+51+5+1+3+5+104+120+12+12+26+91</f>
        <v>1789</v>
      </c>
      <c r="E31" s="9">
        <f>January!E31+D31</f>
        <v>5085</v>
      </c>
      <c r="F31" s="17">
        <v>159</v>
      </c>
      <c r="G31" s="9">
        <f>January!G31+F31</f>
        <v>289</v>
      </c>
      <c r="H31" s="19">
        <f>60</f>
        <v>60</v>
      </c>
      <c r="I31" s="9">
        <f>January!I31+H31</f>
        <v>62</v>
      </c>
    </row>
    <row r="32" spans="1:9" s="5" customFormat="1" ht="18" customHeight="1">
      <c r="A32" s="9" t="s">
        <v>34</v>
      </c>
      <c r="B32" s="13"/>
      <c r="C32" s="9">
        <f>January!C32+B32</f>
        <v>0</v>
      </c>
      <c r="D32" s="15"/>
      <c r="E32" s="9">
        <f>January!E32+D32</f>
        <v>0</v>
      </c>
      <c r="F32" s="17"/>
      <c r="G32" s="9">
        <f>January!G32+F32</f>
        <v>0</v>
      </c>
      <c r="H32" s="19"/>
      <c r="I32" s="9">
        <f>January!I32+H32</f>
        <v>0</v>
      </c>
    </row>
    <row r="33" spans="1:9" s="5" customFormat="1" ht="18" customHeight="1">
      <c r="A33" s="9" t="s">
        <v>35</v>
      </c>
      <c r="B33" s="13"/>
      <c r="C33" s="9">
        <f>January!C33+B33</f>
        <v>0</v>
      </c>
      <c r="D33" s="15"/>
      <c r="E33" s="9">
        <f>January!E33+D33</f>
        <v>0</v>
      </c>
      <c r="F33" s="17"/>
      <c r="G33" s="9">
        <f>January!G33+F33</f>
        <v>0</v>
      </c>
      <c r="H33" s="19"/>
      <c r="I33" s="9">
        <f>January!I33+H33</f>
        <v>0</v>
      </c>
    </row>
    <row r="34" spans="1:9" s="5" customFormat="1" ht="18" customHeight="1">
      <c r="A34" s="9" t="s">
        <v>36</v>
      </c>
      <c r="B34" s="13"/>
      <c r="C34" s="9">
        <f>January!C34+B34</f>
        <v>0</v>
      </c>
      <c r="D34" s="15"/>
      <c r="E34" s="9">
        <f>January!E34+D34</f>
        <v>0</v>
      </c>
      <c r="F34" s="17"/>
      <c r="G34" s="9">
        <f>January!G34+F34</f>
        <v>0</v>
      </c>
      <c r="H34" s="19"/>
      <c r="I34" s="9">
        <f>January!I34+H34</f>
        <v>0</v>
      </c>
    </row>
    <row r="35" spans="1:9" s="5" customFormat="1" ht="18" customHeight="1">
      <c r="A35" s="9" t="s">
        <v>37</v>
      </c>
      <c r="B35" s="13">
        <f>6+1</f>
        <v>7</v>
      </c>
      <c r="C35" s="9">
        <f>January!C35+B35</f>
        <v>7</v>
      </c>
      <c r="D35" s="15">
        <f>1</f>
        <v>1</v>
      </c>
      <c r="E35" s="9">
        <f>January!E35+D35</f>
        <v>1</v>
      </c>
      <c r="F35" s="17">
        <f>8+280</f>
        <v>288</v>
      </c>
      <c r="G35" s="9">
        <f>January!G35+F35</f>
        <v>288</v>
      </c>
      <c r="H35" s="19"/>
      <c r="I35" s="9">
        <f>January!I35+H35</f>
        <v>0</v>
      </c>
    </row>
    <row r="36" spans="1:9" s="5" customFormat="1" ht="18" customHeight="1">
      <c r="A36" s="9" t="s">
        <v>38</v>
      </c>
      <c r="B36" s="13"/>
      <c r="C36" s="9">
        <f>January!C36+B36</f>
        <v>0</v>
      </c>
      <c r="D36" s="15">
        <f>20</f>
        <v>20</v>
      </c>
      <c r="E36" s="9">
        <f>January!E36+D36</f>
        <v>20</v>
      </c>
      <c r="F36" s="17">
        <f>1+30+60+42+38</f>
        <v>171</v>
      </c>
      <c r="G36" s="9">
        <f>January!G36+F36</f>
        <v>320</v>
      </c>
      <c r="H36" s="19"/>
      <c r="I36" s="9">
        <f>January!I36+H36</f>
        <v>0</v>
      </c>
    </row>
    <row r="37" spans="1:9" s="5" customFormat="1" ht="18" customHeight="1">
      <c r="A37" s="9" t="s">
        <v>39</v>
      </c>
      <c r="B37" s="13"/>
      <c r="C37" s="9">
        <f>January!C37+B37</f>
        <v>0</v>
      </c>
      <c r="D37" s="15"/>
      <c r="E37" s="9">
        <f>January!E37+D37</f>
        <v>6</v>
      </c>
      <c r="F37" s="17"/>
      <c r="G37" s="9">
        <f>January!G37+F37</f>
        <v>0</v>
      </c>
      <c r="H37" s="19"/>
      <c r="I37" s="9">
        <f>January!I37+H37</f>
        <v>0</v>
      </c>
    </row>
    <row r="38" spans="1:9" s="5" customFormat="1" ht="18" customHeight="1">
      <c r="A38" s="9" t="s">
        <v>40</v>
      </c>
      <c r="B38" s="13">
        <f>145+82+448+114+90+207+102+100+103+82+94+92+341+97+96+93+360+47+169+164+59+87+123+55+149+99+88+88+145+210+375+194+116+110+45+78+147+88+141+88+189+205+56+73+49+56+288+112+68+45+85+92+223+84+42+299+34+79+140+89+135+49+43+160+271+500+123+77+75+86+140+142+89+66+204+99+41+177+109+73+143+366+116+73+69+76+78+152+74+422+120+75+79+15+86+19+72+158+88+129+75+155+168+78+20+169+144+150+37+185+87+96+58+38+70+165+52+77+75+115+85+341+59+75+730+99+411+104+75+192+444+79</f>
        <v>17596</v>
      </c>
      <c r="C38" s="9">
        <f>January!C38+B38</f>
        <v>29351</v>
      </c>
      <c r="D38" s="15">
        <f>53+37+58</f>
        <v>148</v>
      </c>
      <c r="E38" s="9">
        <f>January!E38+D38</f>
        <v>206</v>
      </c>
      <c r="F38" s="17"/>
      <c r="G38" s="9">
        <f>January!G38+F38</f>
        <v>0</v>
      </c>
      <c r="H38" s="19"/>
      <c r="I38" s="9">
        <f>January!I38+H38</f>
        <v>0</v>
      </c>
    </row>
    <row r="39" spans="1:9" s="5" customFormat="1" ht="18" customHeight="1">
      <c r="A39" s="9" t="s">
        <v>41</v>
      </c>
      <c r="B39" s="13"/>
      <c r="C39" s="9">
        <f>January!C39+B39</f>
        <v>0</v>
      </c>
      <c r="D39" s="15"/>
      <c r="E39" s="9">
        <f>January!E39+D39</f>
        <v>0</v>
      </c>
      <c r="F39" s="17"/>
      <c r="G39" s="9">
        <f>January!G39+F39</f>
        <v>0</v>
      </c>
      <c r="H39" s="19"/>
      <c r="I39" s="9">
        <f>January!I39+H39</f>
        <v>0</v>
      </c>
    </row>
    <row r="40" spans="1:9" s="5" customFormat="1" ht="18" customHeight="1">
      <c r="A40" s="9" t="s">
        <v>42</v>
      </c>
      <c r="B40" s="13">
        <f>185+57+76+96+1+63+73</f>
        <v>551</v>
      </c>
      <c r="C40" s="9">
        <f>January!C40+B40</f>
        <v>1532</v>
      </c>
      <c r="D40" s="15">
        <f>1+18+1+7+1+1</f>
        <v>29</v>
      </c>
      <c r="E40" s="9">
        <f>January!E40+D40</f>
        <v>166</v>
      </c>
      <c r="F40" s="17">
        <f>5</f>
        <v>5</v>
      </c>
      <c r="G40" s="9">
        <f>January!G40+F40</f>
        <v>5</v>
      </c>
      <c r="H40" s="19"/>
      <c r="I40" s="9">
        <f>January!I40+H40</f>
        <v>0</v>
      </c>
    </row>
    <row r="41" spans="1:9" s="5" customFormat="1" ht="18" customHeight="1">
      <c r="A41" s="9" t="s">
        <v>43</v>
      </c>
      <c r="B41" s="13">
        <f>23+37</f>
        <v>60</v>
      </c>
      <c r="C41" s="9">
        <f>January!C41+B41</f>
        <v>415</v>
      </c>
      <c r="D41" s="15"/>
      <c r="E41" s="9">
        <f>January!E41+D41</f>
        <v>0</v>
      </c>
      <c r="F41" s="17">
        <f>1</f>
        <v>1</v>
      </c>
      <c r="G41" s="9">
        <f>January!G41+F41</f>
        <v>1</v>
      </c>
      <c r="H41" s="19"/>
      <c r="I41" s="9">
        <f>January!I41+H41</f>
        <v>0</v>
      </c>
    </row>
    <row r="42" spans="1:9" s="5" customFormat="1" ht="18" customHeight="1">
      <c r="A42" s="9" t="s">
        <v>44</v>
      </c>
      <c r="B42" s="13">
        <f>87</f>
        <v>87</v>
      </c>
      <c r="C42" s="9">
        <f>January!C42+B42</f>
        <v>261</v>
      </c>
      <c r="D42" s="15"/>
      <c r="E42" s="9">
        <f>January!E42+D42</f>
        <v>170</v>
      </c>
      <c r="F42" s="17">
        <f>1+323</f>
        <v>324</v>
      </c>
      <c r="G42" s="9">
        <f>January!G42+F42</f>
        <v>324</v>
      </c>
      <c r="H42" s="19"/>
      <c r="I42" s="9">
        <f>January!I42+H42</f>
        <v>0</v>
      </c>
    </row>
    <row r="43" spans="1:9" s="5" customFormat="1" ht="18" customHeight="1">
      <c r="A43" s="9" t="s">
        <v>45</v>
      </c>
      <c r="B43" s="13"/>
      <c r="C43" s="9">
        <f>January!C43+B43</f>
        <v>0</v>
      </c>
      <c r="D43" s="15"/>
      <c r="E43" s="9">
        <f>January!E43+D43</f>
        <v>0</v>
      </c>
      <c r="F43" s="17"/>
      <c r="G43" s="9">
        <f>January!G43+F43</f>
        <v>0</v>
      </c>
      <c r="H43" s="19"/>
      <c r="I43" s="9">
        <f>January!I43+H43</f>
        <v>0</v>
      </c>
    </row>
    <row r="44" spans="1:9" s="5" customFormat="1" ht="18" customHeight="1">
      <c r="A44" s="9" t="s">
        <v>46</v>
      </c>
      <c r="B44" s="13">
        <f>124+70</f>
        <v>194</v>
      </c>
      <c r="C44" s="9">
        <f>January!C44+B44</f>
        <v>716</v>
      </c>
      <c r="D44" s="15"/>
      <c r="E44" s="9">
        <f>January!E44+D44</f>
        <v>0</v>
      </c>
      <c r="F44" s="17"/>
      <c r="G44" s="9">
        <f>January!G44+F44</f>
        <v>0</v>
      </c>
      <c r="H44" s="19"/>
      <c r="I44" s="9">
        <f>January!I44+H44</f>
        <v>0</v>
      </c>
    </row>
    <row r="45" spans="1:9" s="5" customFormat="1" ht="18" customHeight="1">
      <c r="A45" s="9" t="s">
        <v>47</v>
      </c>
      <c r="B45" s="13">
        <f>64+59+73+66+226+90+65+61+92+69+179+27+78+140+119+40+89+71+189+7+108+17+82+60+55+64+75+167+165+29+74+44+24+9+166+71+5+77+80+158+280+93+74+73+186+350+78+48+43+87+199+60+93+66+138+80+36+121+149+99+71+70+121+87+128+73+162+49+185+22+36+41+83+222+83+106+140+198+78+67+157+104+29+82+89+90+62+36+44+10+121+75+22+59+36+31+8+127+86+40+91+75+93+139+126+73+76+74+593+54+81+83+71+41+934+63+46+26+12+26+47+69+305+159+45+287+64+55+24+112+83+26+7+176+69+97+148+64+135+65+120+55+117+63+12+72+108+155+75+75+79+79+61+141+94+86+74+31+69+49+25+32+62+17+75+259+16+52+25+93+25+59+61+71+379+55+124+213+250+63+293+50+70+15+77+63+85+185+258+90+220+302+65+73+111+113+70+84+109+43+87+145+69+12+88+6+85+24+40+45+33+12+92+50+159+163+83+37+126+62+96+73+77+261+23+11+14+221+47+19+75+14+57+29+425+37+110+106+129+80+146+27+41+121+12+132+25+105+129+86+81+321+76+78+52+76+19+107+217+85+160+53+57+73+140+70+75+151+88+16+138+235+216+88+224+80+72+58+98+73+58+53+82+452+66+66+113+99+65+72+81+141+90+1433</f>
        <v>30072</v>
      </c>
      <c r="C45" s="9">
        <f>January!C45+B45</f>
        <v>61535</v>
      </c>
      <c r="D45" s="15">
        <f>42+2+39+4+23+19+15+4+10+6+49+8+2+15+15+27+78+4+5+18+45+30+30+13+15+12+1+80+16+1+1+2+6+1+4+2+40+53+24+57</f>
        <v>818</v>
      </c>
      <c r="E45" s="9">
        <f>January!E45+D45</f>
        <v>2126</v>
      </c>
      <c r="F45" s="17"/>
      <c r="G45" s="9">
        <f>January!G45+F45</f>
        <v>50</v>
      </c>
      <c r="H45" s="19"/>
      <c r="I45" s="9">
        <f>January!I45+H45</f>
        <v>0</v>
      </c>
    </row>
    <row r="46" spans="1:9" s="5" customFormat="1" ht="18" customHeight="1">
      <c r="A46" s="9" t="s">
        <v>48</v>
      </c>
      <c r="B46" s="13">
        <f>110+180+83+260+34+185+82</f>
        <v>934</v>
      </c>
      <c r="C46" s="9">
        <f>January!C46+B46</f>
        <v>2062</v>
      </c>
      <c r="D46" s="15"/>
      <c r="E46" s="9">
        <f>January!E46+D46</f>
        <v>6</v>
      </c>
      <c r="F46" s="17"/>
      <c r="G46" s="9">
        <f>January!G46+F46</f>
        <v>0</v>
      </c>
      <c r="H46" s="19"/>
      <c r="I46" s="9">
        <f>January!I46+H46</f>
        <v>0</v>
      </c>
    </row>
    <row r="47" spans="1:9" s="5" customFormat="1" ht="18" customHeight="1">
      <c r="A47" s="9" t="s">
        <v>49</v>
      </c>
      <c r="B47" s="13">
        <f>200+190+119</f>
        <v>509</v>
      </c>
      <c r="C47" s="9">
        <f>January!C47+B47</f>
        <v>509</v>
      </c>
      <c r="D47" s="15">
        <f>12</f>
        <v>12</v>
      </c>
      <c r="E47" s="9">
        <f>D47+January!E47</f>
        <v>12</v>
      </c>
      <c r="F47" s="17"/>
      <c r="G47" s="9">
        <f>January!G47+F47</f>
        <v>0</v>
      </c>
      <c r="H47" s="19"/>
      <c r="I47" s="9">
        <f>January!I47+H47</f>
        <v>0</v>
      </c>
    </row>
    <row r="48" spans="1:9" s="5" customFormat="1" ht="18" customHeight="1">
      <c r="A48" s="9" t="s">
        <v>50</v>
      </c>
      <c r="B48" s="13">
        <f>27</f>
        <v>27</v>
      </c>
      <c r="C48" s="9">
        <f>January!C48+B48</f>
        <v>117</v>
      </c>
      <c r="D48" s="15">
        <f>1+2</f>
        <v>3</v>
      </c>
      <c r="E48" s="9">
        <f>January!E48+D48</f>
        <v>3</v>
      </c>
      <c r="F48" s="17"/>
      <c r="G48" s="9">
        <f>January!G48+F48</f>
        <v>0</v>
      </c>
      <c r="H48" s="19"/>
      <c r="I48" s="9">
        <f>January!I48+H48</f>
        <v>0</v>
      </c>
    </row>
    <row r="49" spans="1:9" s="5" customFormat="1" ht="18" customHeight="1">
      <c r="A49" s="9" t="s">
        <v>51</v>
      </c>
      <c r="B49" s="13"/>
      <c r="C49" s="9">
        <f>January!C49+B49</f>
        <v>0</v>
      </c>
      <c r="D49" s="15"/>
      <c r="E49" s="9">
        <f>January!E49+D49</f>
        <v>0</v>
      </c>
      <c r="F49" s="17"/>
      <c r="G49" s="9">
        <f>January!G49+F49</f>
        <v>0</v>
      </c>
      <c r="H49" s="19"/>
      <c r="I49" s="9">
        <f>January!I49+H49</f>
        <v>0</v>
      </c>
    </row>
    <row r="50" spans="1:9" s="5" customFormat="1" ht="18" customHeight="1">
      <c r="A50" s="9" t="s">
        <v>52</v>
      </c>
      <c r="B50" s="13">
        <f>76+117+116+240+116+175+70+72+465</f>
        <v>1447</v>
      </c>
      <c r="C50" s="9">
        <f>January!C50+B50</f>
        <v>2715</v>
      </c>
      <c r="D50" s="15"/>
      <c r="E50" s="9">
        <f>January!E50+D50</f>
        <v>0</v>
      </c>
      <c r="F50" s="17">
        <f>1</f>
        <v>1</v>
      </c>
      <c r="G50" s="9">
        <f>January!G50+F50</f>
        <v>1</v>
      </c>
      <c r="H50" s="19"/>
      <c r="I50" s="9">
        <f>January!I50+H50</f>
        <v>0</v>
      </c>
    </row>
    <row r="51" spans="1:9" s="5" customFormat="1" ht="18" customHeight="1">
      <c r="A51" s="9" t="s">
        <v>53</v>
      </c>
      <c r="B51" s="13">
        <f>12+7+108</f>
        <v>127</v>
      </c>
      <c r="C51" s="9">
        <f>January!C51+B51</f>
        <v>232</v>
      </c>
      <c r="D51" s="15"/>
      <c r="E51" s="9">
        <f>January!E51+D51</f>
        <v>0</v>
      </c>
      <c r="F51" s="17"/>
      <c r="G51" s="9">
        <f>January!G51+F51</f>
        <v>0</v>
      </c>
      <c r="H51" s="19"/>
      <c r="I51" s="9">
        <f>January!I51+H51</f>
        <v>0</v>
      </c>
    </row>
    <row r="52" spans="1:9" s="5" customFormat="1" ht="18" customHeight="1">
      <c r="A52" s="9" t="s">
        <v>54</v>
      </c>
      <c r="B52" s="13">
        <f>70</f>
        <v>70</v>
      </c>
      <c r="C52" s="9">
        <f>January!C52+B52</f>
        <v>246</v>
      </c>
      <c r="D52" s="15"/>
      <c r="E52" s="9">
        <f>January!E52+D52</f>
        <v>0</v>
      </c>
      <c r="F52" s="17"/>
      <c r="G52" s="9">
        <f>January!G52+F52</f>
        <v>0</v>
      </c>
      <c r="H52" s="19"/>
      <c r="I52" s="9">
        <f>January!I52+H52</f>
        <v>0</v>
      </c>
    </row>
    <row r="53" spans="1:9" s="5" customFormat="1" ht="18" customHeight="1">
      <c r="A53" s="9" t="s">
        <v>55</v>
      </c>
      <c r="B53" s="13">
        <f>28+11+15+74+15+34+8+20+120+125+26+52+136+55+11+120+69+20+187+11+46+17+38+50+40+160+23+50+72+150+72+12+114+27+15+20+6+59+11+145+105+259</f>
        <v>2628</v>
      </c>
      <c r="C53" s="9">
        <f>January!C53+B53</f>
        <v>8073</v>
      </c>
      <c r="D53" s="15">
        <f>12+21+5+7+19+6+8+9+38+23+8+3+14</f>
        <v>173</v>
      </c>
      <c r="E53" s="9">
        <f>January!E53+D53</f>
        <v>281</v>
      </c>
      <c r="F53" s="17">
        <f>72+23+19+22+4+15+40+3+33+21+42+24+22+84+26+33+2+40+35+29+1+160</f>
        <v>750</v>
      </c>
      <c r="G53" s="9">
        <f>January!G53+F53</f>
        <v>927</v>
      </c>
      <c r="H53" s="19"/>
      <c r="I53" s="9">
        <f>January!I53+H53</f>
        <v>0</v>
      </c>
    </row>
    <row r="54" spans="1:9" s="5" customFormat="1" ht="18" customHeight="1" thickBot="1">
      <c r="A54" s="10" t="s">
        <v>56</v>
      </c>
      <c r="B54" s="13">
        <f>185+157+222+92+460+50</f>
        <v>1166</v>
      </c>
      <c r="C54" s="9">
        <f>January!C54+B54</f>
        <v>1678</v>
      </c>
      <c r="D54" s="15">
        <f>46+40+88+65+42+42+38</f>
        <v>361</v>
      </c>
      <c r="E54" s="9">
        <f>January!E54+D54</f>
        <v>767</v>
      </c>
      <c r="F54" s="17"/>
      <c r="G54" s="9">
        <f>January!G54+F54</f>
        <v>0</v>
      </c>
      <c r="H54" s="19"/>
      <c r="I54" s="9">
        <f>January!I54+H54</f>
        <v>0</v>
      </c>
    </row>
    <row r="55" spans="1:9" s="5" customFormat="1" ht="18" customHeight="1" thickBot="1" thickTop="1">
      <c r="A55" s="11" t="s">
        <v>57</v>
      </c>
      <c r="B55" s="11">
        <f>SUM(B5:B54)</f>
        <v>90628</v>
      </c>
      <c r="C55" s="11"/>
      <c r="D55" s="11">
        <f>SUM(D5:D54)</f>
        <v>6030</v>
      </c>
      <c r="E55" s="11"/>
      <c r="F55" s="11">
        <f>SUM(F5:F54)</f>
        <v>3414</v>
      </c>
      <c r="G55" s="11"/>
      <c r="H55" s="11">
        <f>SUM(H5:H54)</f>
        <v>60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January!C57+B55</f>
        <v>183983</v>
      </c>
      <c r="D57" s="11"/>
      <c r="E57" s="11">
        <f>January!E57+D55</f>
        <v>13615</v>
      </c>
      <c r="F57" s="11"/>
      <c r="G57" s="11">
        <f>January!G57+F55</f>
        <v>6293</v>
      </c>
      <c r="H57" s="11"/>
      <c r="I57" s="11">
        <f>January!I57+H55</f>
        <v>62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663</v>
      </c>
    </row>
    <row r="61" s="5" customFormat="1" ht="18" customHeight="1"/>
    <row r="62" spans="1:7" s="4" customFormat="1" ht="18" customHeight="1">
      <c r="A62" s="4" t="s">
        <v>60</v>
      </c>
      <c r="E62" s="4">
        <f>January!E62+D60</f>
        <v>10963</v>
      </c>
      <c r="G62" s="4">
        <f>January!G62+F60</f>
        <v>776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="130" zoomScaleNormal="130" zoomScalePageLayoutView="0" workbookViewId="0" topLeftCell="A1">
      <pane ySplit="4" topLeftCell="A16" activePane="bottomLeft" state="frozen"/>
      <selection pane="topLeft" activeCell="A1" sqref="A1"/>
      <selection pane="bottomLeft" activeCell="B54" sqref="B5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63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February!C5+B5</f>
        <v>52</v>
      </c>
      <c r="D5" s="15"/>
      <c r="E5" s="9">
        <f>February!E5+D5</f>
        <v>0</v>
      </c>
      <c r="F5" s="17"/>
      <c r="G5" s="9">
        <f>February!G5+F5</f>
        <v>0</v>
      </c>
      <c r="H5" s="19"/>
      <c r="I5" s="9">
        <f>February!I5+H5</f>
        <v>0</v>
      </c>
    </row>
    <row r="6" spans="1:9" s="5" customFormat="1" ht="18" customHeight="1">
      <c r="A6" s="9" t="s">
        <v>8</v>
      </c>
      <c r="B6" s="13"/>
      <c r="C6" s="9">
        <f>February!C6+B6</f>
        <v>0</v>
      </c>
      <c r="D6" s="15"/>
      <c r="E6" s="9">
        <f>February!E6+D6</f>
        <v>0</v>
      </c>
      <c r="F6" s="17"/>
      <c r="G6" s="9">
        <f>February!G6+F6</f>
        <v>0</v>
      </c>
      <c r="H6" s="19"/>
      <c r="I6" s="9">
        <f>February!I6+H6</f>
        <v>0</v>
      </c>
    </row>
    <row r="7" spans="1:9" s="5" customFormat="1" ht="18" customHeight="1">
      <c r="A7" s="9" t="s">
        <v>9</v>
      </c>
      <c r="B7" s="13"/>
      <c r="C7" s="9">
        <f>February!C7+B7</f>
        <v>0</v>
      </c>
      <c r="D7" s="15">
        <f>128+164</f>
        <v>292</v>
      </c>
      <c r="E7" s="9">
        <f>February!E7+D7</f>
        <v>292</v>
      </c>
      <c r="F7" s="17">
        <f>395+31+24+360+21+24</f>
        <v>855</v>
      </c>
      <c r="G7" s="9">
        <f>February!G7+F7</f>
        <v>1016</v>
      </c>
      <c r="H7" s="19"/>
      <c r="I7" s="9">
        <f>February!I7+H7</f>
        <v>0</v>
      </c>
    </row>
    <row r="8" spans="1:9" s="5" customFormat="1" ht="18" customHeight="1">
      <c r="A8" s="9" t="s">
        <v>10</v>
      </c>
      <c r="B8" s="13">
        <f>79+18+64+85+72+72+72+124</f>
        <v>586</v>
      </c>
      <c r="C8" s="9">
        <f>February!C8+B8</f>
        <v>1070</v>
      </c>
      <c r="D8" s="15"/>
      <c r="E8" s="9">
        <f>February!E8+D8</f>
        <v>6</v>
      </c>
      <c r="F8" s="17"/>
      <c r="G8" s="9">
        <f>February!G8+F8</f>
        <v>0</v>
      </c>
      <c r="H8" s="19"/>
      <c r="I8" s="9">
        <f>February!I8+H8</f>
        <v>0</v>
      </c>
    </row>
    <row r="9" spans="1:9" s="5" customFormat="1" ht="18" customHeight="1">
      <c r="A9" s="9" t="s">
        <v>11</v>
      </c>
      <c r="B9" s="13"/>
      <c r="C9" s="9">
        <f>February!C9+B9</f>
        <v>450</v>
      </c>
      <c r="D9" s="15">
        <f>2</f>
        <v>2</v>
      </c>
      <c r="E9" s="9">
        <f>February!E9+D9</f>
        <v>5</v>
      </c>
      <c r="F9" s="17">
        <f>85+621</f>
        <v>706</v>
      </c>
      <c r="G9" s="9">
        <f>February!G9+F9</f>
        <v>1382</v>
      </c>
      <c r="H9" s="19"/>
      <c r="I9" s="9">
        <f>February!I9+H9</f>
        <v>0</v>
      </c>
    </row>
    <row r="10" spans="1:9" s="5" customFormat="1" ht="18" customHeight="1">
      <c r="A10" s="9" t="s">
        <v>12</v>
      </c>
      <c r="B10" s="13">
        <v>886</v>
      </c>
      <c r="C10" s="9">
        <f>February!C10+B10</f>
        <v>1067</v>
      </c>
      <c r="D10" s="15">
        <v>3</v>
      </c>
      <c r="E10" s="9">
        <f>February!E10+D10</f>
        <v>3</v>
      </c>
      <c r="F10" s="17"/>
      <c r="G10" s="9">
        <f>February!G10+F10</f>
        <v>0</v>
      </c>
      <c r="H10" s="19"/>
      <c r="I10" s="9">
        <f>February!I10+H10</f>
        <v>0</v>
      </c>
    </row>
    <row r="11" spans="1:9" s="5" customFormat="1" ht="18" customHeight="1">
      <c r="A11" s="9" t="s">
        <v>13</v>
      </c>
      <c r="B11" s="13">
        <f>84</f>
        <v>84</v>
      </c>
      <c r="C11" s="9">
        <f>February!C11+B11</f>
        <v>342</v>
      </c>
      <c r="D11" s="15">
        <f>1+3+1</f>
        <v>5</v>
      </c>
      <c r="E11" s="9">
        <f>February!E11+D11</f>
        <v>399</v>
      </c>
      <c r="F11" s="17"/>
      <c r="G11" s="9">
        <f>February!G11+F11</f>
        <v>29</v>
      </c>
      <c r="H11" s="19"/>
      <c r="I11" s="9">
        <f>February!I11+H11</f>
        <v>0</v>
      </c>
    </row>
    <row r="12" spans="1:9" s="5" customFormat="1" ht="18" customHeight="1">
      <c r="A12" s="9" t="s">
        <v>14</v>
      </c>
      <c r="B12" s="13"/>
      <c r="C12" s="9">
        <f>February!C12+B12</f>
        <v>0</v>
      </c>
      <c r="D12" s="15"/>
      <c r="E12" s="9">
        <f>February!E12+D12</f>
        <v>0</v>
      </c>
      <c r="F12" s="17"/>
      <c r="G12" s="9">
        <f>February!G12+F12</f>
        <v>0</v>
      </c>
      <c r="H12" s="19"/>
      <c r="I12" s="9">
        <f>February!I12+H12</f>
        <v>0</v>
      </c>
    </row>
    <row r="13" spans="1:9" s="5" customFormat="1" ht="18" customHeight="1">
      <c r="A13" s="9" t="s">
        <v>15</v>
      </c>
      <c r="B13" s="13"/>
      <c r="C13" s="9">
        <f>February!C13+B13</f>
        <v>0</v>
      </c>
      <c r="D13" s="15"/>
      <c r="E13" s="9">
        <f>February!E13+D13</f>
        <v>0</v>
      </c>
      <c r="F13" s="17"/>
      <c r="G13" s="9">
        <f>February!G13+F13</f>
        <v>0</v>
      </c>
      <c r="H13" s="19"/>
      <c r="I13" s="9">
        <f>February!I13+H13</f>
        <v>0</v>
      </c>
    </row>
    <row r="14" spans="1:9" s="5" customFormat="1" ht="18" customHeight="1">
      <c r="A14" s="9" t="s">
        <v>16</v>
      </c>
      <c r="B14" s="13"/>
      <c r="C14" s="9">
        <f>February!C14+B14</f>
        <v>0</v>
      </c>
      <c r="D14" s="15"/>
      <c r="E14" s="9">
        <f>February!E14+D14</f>
        <v>0</v>
      </c>
      <c r="F14" s="17"/>
      <c r="G14" s="9">
        <f>February!G14+F14</f>
        <v>0</v>
      </c>
      <c r="H14" s="19"/>
      <c r="I14" s="9">
        <f>February!I14+H14</f>
        <v>0</v>
      </c>
    </row>
    <row r="15" spans="1:9" s="5" customFormat="1" ht="18" customHeight="1">
      <c r="A15" s="9" t="s">
        <v>17</v>
      </c>
      <c r="B15" s="13">
        <f>73</f>
        <v>73</v>
      </c>
      <c r="C15" s="9">
        <f>February!C15+B15</f>
        <v>188</v>
      </c>
      <c r="D15" s="15">
        <f>1</f>
        <v>1</v>
      </c>
      <c r="E15" s="9">
        <f>February!E15+D15</f>
        <v>16</v>
      </c>
      <c r="F15" s="17"/>
      <c r="G15" s="9">
        <f>February!G15+F15</f>
        <v>0</v>
      </c>
      <c r="H15" s="19"/>
      <c r="I15" s="9">
        <f>February!I15+H15</f>
        <v>0</v>
      </c>
    </row>
    <row r="16" spans="1:9" s="5" customFormat="1" ht="18" customHeight="1">
      <c r="A16" s="9" t="s">
        <v>18</v>
      </c>
      <c r="B16" s="13"/>
      <c r="C16" s="9">
        <f>February!C16+B16</f>
        <v>0</v>
      </c>
      <c r="D16" s="15"/>
      <c r="E16" s="9">
        <f>February!E16+D16</f>
        <v>0</v>
      </c>
      <c r="F16" s="17"/>
      <c r="G16" s="9">
        <f>February!G16+F16</f>
        <v>0</v>
      </c>
      <c r="H16" s="19"/>
      <c r="I16" s="9">
        <f>February!I16+H16</f>
        <v>0</v>
      </c>
    </row>
    <row r="17" spans="1:9" s="5" customFormat="1" ht="18" customHeight="1">
      <c r="A17" s="9" t="s">
        <v>19</v>
      </c>
      <c r="B17" s="13">
        <f>128</f>
        <v>128</v>
      </c>
      <c r="C17" s="9">
        <f>February!C17+B17</f>
        <v>951</v>
      </c>
      <c r="D17" s="15">
        <f>2</f>
        <v>2</v>
      </c>
      <c r="E17" s="9">
        <f>February!E17+D17</f>
        <v>52</v>
      </c>
      <c r="F17" s="17"/>
      <c r="G17" s="9">
        <f>February!G17+F17</f>
        <v>715</v>
      </c>
      <c r="H17" s="19"/>
      <c r="I17" s="9">
        <f>February!I17+H17</f>
        <v>0</v>
      </c>
    </row>
    <row r="18" spans="1:9" s="5" customFormat="1" ht="18" customHeight="1">
      <c r="A18" s="9" t="s">
        <v>20</v>
      </c>
      <c r="B18" s="13">
        <f>82+207+9+4+75+70+67+83+65+65+80</f>
        <v>807</v>
      </c>
      <c r="C18" s="9">
        <f>February!C18+B18</f>
        <v>1713</v>
      </c>
      <c r="D18" s="15">
        <f>14+24+6+8+35+17+10</f>
        <v>114</v>
      </c>
      <c r="E18" s="9">
        <f>February!E18+D18</f>
        <v>197</v>
      </c>
      <c r="F18" s="17">
        <f>1+2+16</f>
        <v>19</v>
      </c>
      <c r="G18" s="9">
        <f>February!G18+F18</f>
        <v>140</v>
      </c>
      <c r="H18" s="19"/>
      <c r="I18" s="9">
        <f>February!I18+H18</f>
        <v>0</v>
      </c>
    </row>
    <row r="19" spans="1:9" s="5" customFormat="1" ht="18" customHeight="1">
      <c r="A19" s="9" t="s">
        <v>21</v>
      </c>
      <c r="B19" s="13">
        <f>150+150+140+140+140+140+68+68+405</f>
        <v>1401</v>
      </c>
      <c r="C19" s="9">
        <f>February!C19+B19</f>
        <v>4655</v>
      </c>
      <c r="D19" s="15">
        <f>1+2+20+1</f>
        <v>24</v>
      </c>
      <c r="E19" s="9">
        <f>February!E19+D19</f>
        <v>33</v>
      </c>
      <c r="F19" s="17">
        <v>37</v>
      </c>
      <c r="G19" s="9">
        <f>February!G19+F19</f>
        <v>158</v>
      </c>
      <c r="H19" s="19"/>
      <c r="I19" s="9">
        <f>February!I19+H19</f>
        <v>0</v>
      </c>
    </row>
    <row r="20" spans="1:9" s="5" customFormat="1" ht="18" customHeight="1">
      <c r="A20" s="9" t="s">
        <v>22</v>
      </c>
      <c r="B20" s="13">
        <f>60+78+88+69+42+60+62+21+60+204+130+70+237+70+72+34+64</f>
        <v>1421</v>
      </c>
      <c r="C20" s="9">
        <f>February!C20+B20</f>
        <v>3345</v>
      </c>
      <c r="D20" s="15">
        <f>66+36+14+1+2+4+6+1+229</f>
        <v>359</v>
      </c>
      <c r="E20" s="9">
        <f>February!E20+D20</f>
        <v>630</v>
      </c>
      <c r="F20" s="17">
        <f>67+68+106+79+43+49+61+40+88</f>
        <v>601</v>
      </c>
      <c r="G20" s="9">
        <f>February!G20+F20</f>
        <v>1240</v>
      </c>
      <c r="H20" s="19"/>
      <c r="I20" s="9">
        <f>February!I20+H20</f>
        <v>0</v>
      </c>
    </row>
    <row r="21" spans="1:9" s="5" customFormat="1" ht="18" customHeight="1">
      <c r="A21" s="9" t="s">
        <v>23</v>
      </c>
      <c r="B21" s="13">
        <f>85+46+71+70+148+75+34+31+125+59+189+95+53+69+69+15+58+71+58+87+56+64+63+70+85+103+56+69+63+75+21+89+146+226+120+92+141+57+188+65+54+54+84+125+60+70+60+60+53+132+79+31</f>
        <v>4219</v>
      </c>
      <c r="C21" s="9">
        <f>February!C21+B21</f>
        <v>11770</v>
      </c>
      <c r="D21" s="15">
        <f>1+2+2</f>
        <v>5</v>
      </c>
      <c r="E21" s="9">
        <f>February!E21+D21</f>
        <v>9</v>
      </c>
      <c r="F21" s="17"/>
      <c r="G21" s="9">
        <f>February!G21+F21</f>
        <v>0</v>
      </c>
      <c r="H21" s="19"/>
      <c r="I21" s="9">
        <f>February!I21+H21</f>
        <v>0</v>
      </c>
    </row>
    <row r="22" spans="1:9" s="5" customFormat="1" ht="18" customHeight="1">
      <c r="A22" s="9" t="s">
        <v>24</v>
      </c>
      <c r="B22" s="13"/>
      <c r="C22" s="9">
        <f>February!C22+B22</f>
        <v>0</v>
      </c>
      <c r="D22" s="15"/>
      <c r="E22" s="9">
        <f>February!E22+D22</f>
        <v>0</v>
      </c>
      <c r="F22" s="17"/>
      <c r="G22" s="9">
        <f>February!G22+F22</f>
        <v>0</v>
      </c>
      <c r="H22" s="19"/>
      <c r="I22" s="9">
        <f>February!I22+H22</f>
        <v>0</v>
      </c>
    </row>
    <row r="23" spans="1:9" s="5" customFormat="1" ht="18" customHeight="1">
      <c r="A23" s="9" t="s">
        <v>25</v>
      </c>
      <c r="B23" s="13"/>
      <c r="C23" s="9">
        <f>February!C23+B23</f>
        <v>0</v>
      </c>
      <c r="D23" s="15"/>
      <c r="E23" s="9">
        <f>February!E23+D23</f>
        <v>0</v>
      </c>
      <c r="F23" s="17"/>
      <c r="G23" s="9">
        <f>February!G23+F23</f>
        <v>3</v>
      </c>
      <c r="H23" s="19"/>
      <c r="I23" s="9">
        <f>February!I23+H23</f>
        <v>0</v>
      </c>
    </row>
    <row r="24" spans="1:9" s="5" customFormat="1" ht="18" customHeight="1">
      <c r="A24" s="9" t="s">
        <v>26</v>
      </c>
      <c r="B24" s="13"/>
      <c r="C24" s="9">
        <f>February!C24+B24</f>
        <v>0</v>
      </c>
      <c r="D24" s="15"/>
      <c r="E24" s="9">
        <f>February!E24+D24</f>
        <v>1</v>
      </c>
      <c r="F24" s="17">
        <f>1</f>
        <v>1</v>
      </c>
      <c r="G24" s="9">
        <f>February!G24+F24</f>
        <v>2</v>
      </c>
      <c r="H24" s="19"/>
      <c r="I24" s="9">
        <f>February!I24+H24</f>
        <v>0</v>
      </c>
    </row>
    <row r="25" spans="1:9" s="5" customFormat="1" ht="18" customHeight="1">
      <c r="A25" s="9" t="s">
        <v>27</v>
      </c>
      <c r="B25" s="13"/>
      <c r="C25" s="9">
        <f>February!C25+B25</f>
        <v>0</v>
      </c>
      <c r="D25" s="15"/>
      <c r="E25" s="9">
        <f>February!E25+D25</f>
        <v>0</v>
      </c>
      <c r="F25" s="17"/>
      <c r="G25" s="9">
        <f>February!G25+F25</f>
        <v>0</v>
      </c>
      <c r="H25" s="19"/>
      <c r="I25" s="9">
        <f>February!I25+H25</f>
        <v>0</v>
      </c>
    </row>
    <row r="26" spans="1:9" s="5" customFormat="1" ht="18" customHeight="1">
      <c r="A26" s="9" t="s">
        <v>28</v>
      </c>
      <c r="B26" s="13">
        <v>148</v>
      </c>
      <c r="C26" s="9">
        <f>February!C26+B26</f>
        <v>995</v>
      </c>
      <c r="D26" s="15"/>
      <c r="E26" s="9">
        <f>February!E26+D26</f>
        <v>104</v>
      </c>
      <c r="F26" s="17"/>
      <c r="G26" s="9">
        <f>February!G26+F26</f>
        <v>8</v>
      </c>
      <c r="H26" s="19"/>
      <c r="I26" s="9">
        <f>February!I26+H26</f>
        <v>0</v>
      </c>
    </row>
    <row r="27" spans="1:9" s="5" customFormat="1" ht="18" customHeight="1">
      <c r="A27" s="9" t="s">
        <v>29</v>
      </c>
      <c r="B27" s="13">
        <f>25+109+71+74+71+358+175+73+186+83+75+96+83+60+59+123+123+12+7+77+35+2+28+31+43+48+160+61+68+36+53+37+38+56+87+8+117</f>
        <v>2848</v>
      </c>
      <c r="C27" s="9">
        <f>February!C27+B27</f>
        <v>9075</v>
      </c>
      <c r="D27" s="15">
        <f>20+6+19+2+14+20+13+18+54+11+14+40+40+8</f>
        <v>279</v>
      </c>
      <c r="E27" s="9">
        <f>February!E27+D27</f>
        <v>1541</v>
      </c>
      <c r="F27" s="17">
        <f>76+33+52+7+14+47+2+22+16+6+2+7+42+3+75+11+249</f>
        <v>664</v>
      </c>
      <c r="G27" s="9">
        <f>February!G27+F27</f>
        <v>2175</v>
      </c>
      <c r="H27" s="19"/>
      <c r="I27" s="9">
        <f>February!I27+H27</f>
        <v>0</v>
      </c>
    </row>
    <row r="28" spans="1:9" s="5" customFormat="1" ht="18" customHeight="1">
      <c r="A28" s="9" t="s">
        <v>30</v>
      </c>
      <c r="B28" s="13"/>
      <c r="C28" s="9">
        <f>February!C28+B28</f>
        <v>320</v>
      </c>
      <c r="D28" s="15"/>
      <c r="E28" s="9">
        <f>February!E28+D28</f>
        <v>0</v>
      </c>
      <c r="F28" s="17"/>
      <c r="G28" s="9">
        <f>February!G28+F28</f>
        <v>0</v>
      </c>
      <c r="H28" s="19"/>
      <c r="I28" s="9">
        <f>February!I28+H28</f>
        <v>0</v>
      </c>
    </row>
    <row r="29" spans="1:9" s="5" customFormat="1" ht="18" customHeight="1">
      <c r="A29" s="9" t="s">
        <v>31</v>
      </c>
      <c r="B29" s="13">
        <f>60+31+81+58+75+82+52+73+78+43+75+64+65+42+77+46+145+68+79+68+36+66+133+68+69+78+4+66+68+69+55+47+268+50+112+311+19+259+40+75+71+28+130+80+120+120+118+16+112+15+31+22+62+94+8+74+79+179+77+70+66+69+58+52+99+51+93+99+65+63+52+39+58+52+73+64+67+68+60+57+73+73+65+73+22+64+62+73+77+72+60+73+205+70+52+62+129+130+50+69+76+135+72+63+70+69+27+77+61+62+16+144+47+9+25+83+60+160+44+148+40+65+141+50+74+18+39+80</f>
        <v>9575</v>
      </c>
      <c r="C29" s="9">
        <f>February!C29+B29</f>
        <v>33767</v>
      </c>
      <c r="D29" s="15">
        <f>1+2+4+11+2+1+56+4+21+8+10+29+2+5+1+80+6+8+18+1+26+20</f>
        <v>316</v>
      </c>
      <c r="E29" s="9">
        <f>February!E29+D29</f>
        <v>1055</v>
      </c>
      <c r="F29" s="17">
        <f>1+5+14+13</f>
        <v>33</v>
      </c>
      <c r="G29" s="9">
        <f>February!G29+F29</f>
        <v>136</v>
      </c>
      <c r="H29" s="19"/>
      <c r="I29" s="9">
        <f>February!I29+H29</f>
        <v>0</v>
      </c>
    </row>
    <row r="30" spans="1:9" s="5" customFormat="1" ht="18" customHeight="1">
      <c r="A30" s="9" t="s">
        <v>32</v>
      </c>
      <c r="B30" s="13">
        <f>38+72+72+320+370+38+140+202+10+65+130+130+76+90+27+94+9+63+16+15+45+12+43+20+18+73+62+6+60+147+135+46+75+80+108+80+29+31+22+120+135+300+4+120+14+72+148+28+62+67+25+238</f>
        <v>4402</v>
      </c>
      <c r="C30" s="9">
        <f>February!C30+B30</f>
        <v>15772</v>
      </c>
      <c r="D30" s="15">
        <f>3+56+2+1+5+120+2+85+170+108+5+71</f>
        <v>628</v>
      </c>
      <c r="E30" s="9">
        <f>February!E30+D30</f>
        <v>2453</v>
      </c>
      <c r="F30" s="17"/>
      <c r="G30" s="9">
        <f>February!G30+F30</f>
        <v>0</v>
      </c>
      <c r="H30" s="19"/>
      <c r="I30" s="9">
        <f>February!I30+H30</f>
        <v>0</v>
      </c>
    </row>
    <row r="31" spans="1:9" s="5" customFormat="1" ht="18" customHeight="1">
      <c r="A31" s="9" t="s">
        <v>33</v>
      </c>
      <c r="B31" s="13">
        <f>126+78+37+80+100+440+65+122+181+160+216+242+129+129+66+102+48+70+92+82+68+76+73+91+11+103+50+92+195+76+89+85+164+50+27+12+135+285+75+204+285+190</f>
        <v>5001</v>
      </c>
      <c r="C31" s="9">
        <f>February!C31+B31</f>
        <v>20581</v>
      </c>
      <c r="D31" s="15">
        <f>47+37+2+9+50+1+109+100+6+2+1+5+5+74+219+7+12+4+6+1+11+2+18+1+30+48+8+87+6+8+74+1+71+35+11+3+4+56+39+80+10+9+60</f>
        <v>1369</v>
      </c>
      <c r="E31" s="9">
        <f>February!E31+D31</f>
        <v>6454</v>
      </c>
      <c r="F31" s="17">
        <f>1+85</f>
        <v>86</v>
      </c>
      <c r="G31" s="9">
        <f>February!G31+F31</f>
        <v>375</v>
      </c>
      <c r="H31" s="19"/>
      <c r="I31" s="9">
        <f>February!I31+H31</f>
        <v>62</v>
      </c>
    </row>
    <row r="32" spans="1:9" s="5" customFormat="1" ht="18" customHeight="1">
      <c r="A32" s="9" t="s">
        <v>34</v>
      </c>
      <c r="B32" s="13"/>
      <c r="C32" s="9">
        <f>February!C32+B32</f>
        <v>0</v>
      </c>
      <c r="D32" s="15"/>
      <c r="E32" s="9">
        <f>February!E32+D32</f>
        <v>0</v>
      </c>
      <c r="F32" s="17"/>
      <c r="G32" s="9">
        <f>February!G32+F32</f>
        <v>0</v>
      </c>
      <c r="H32" s="19"/>
      <c r="I32" s="9">
        <f>February!I32+H32</f>
        <v>0</v>
      </c>
    </row>
    <row r="33" spans="1:9" s="5" customFormat="1" ht="18" customHeight="1">
      <c r="A33" s="9" t="s">
        <v>35</v>
      </c>
      <c r="B33" s="13"/>
      <c r="C33" s="9">
        <f>February!C33+B33</f>
        <v>0</v>
      </c>
      <c r="D33" s="15"/>
      <c r="E33" s="9">
        <f>February!E33+D33</f>
        <v>0</v>
      </c>
      <c r="F33" s="17"/>
      <c r="G33" s="9">
        <f>February!G33+F33</f>
        <v>0</v>
      </c>
      <c r="H33" s="19"/>
      <c r="I33" s="9">
        <f>February!I33+H33</f>
        <v>0</v>
      </c>
    </row>
    <row r="34" spans="1:9" s="5" customFormat="1" ht="18" customHeight="1">
      <c r="A34" s="9" t="s">
        <v>36</v>
      </c>
      <c r="B34" s="13"/>
      <c r="C34" s="9">
        <f>February!C34+B34</f>
        <v>0</v>
      </c>
      <c r="D34" s="15"/>
      <c r="E34" s="9">
        <f>February!E34+D34</f>
        <v>0</v>
      </c>
      <c r="F34" s="17"/>
      <c r="G34" s="9">
        <f>February!G34+F34</f>
        <v>0</v>
      </c>
      <c r="H34" s="19"/>
      <c r="I34" s="9">
        <f>February!I34+H34</f>
        <v>0</v>
      </c>
    </row>
    <row r="35" spans="1:9" s="5" customFormat="1" ht="18" customHeight="1">
      <c r="A35" s="9" t="s">
        <v>37</v>
      </c>
      <c r="B35" s="13"/>
      <c r="C35" s="9">
        <f>February!C35+B35</f>
        <v>7</v>
      </c>
      <c r="D35" s="15"/>
      <c r="E35" s="9">
        <f>February!E35+D35</f>
        <v>1</v>
      </c>
      <c r="F35" s="17">
        <v>101</v>
      </c>
      <c r="G35" s="9">
        <f>February!G35+F35</f>
        <v>389</v>
      </c>
      <c r="H35" s="19"/>
      <c r="I35" s="9">
        <f>February!I35+H35</f>
        <v>0</v>
      </c>
    </row>
    <row r="36" spans="1:9" s="5" customFormat="1" ht="18" customHeight="1">
      <c r="A36" s="9" t="s">
        <v>38</v>
      </c>
      <c r="B36" s="13"/>
      <c r="C36" s="9">
        <f>February!C36+B36</f>
        <v>0</v>
      </c>
      <c r="D36" s="15"/>
      <c r="E36" s="9">
        <f>February!E36+D36</f>
        <v>20</v>
      </c>
      <c r="F36" s="17">
        <f>89+2+36+1</f>
        <v>128</v>
      </c>
      <c r="G36" s="9">
        <f>February!G36+F36</f>
        <v>448</v>
      </c>
      <c r="H36" s="19"/>
      <c r="I36" s="9">
        <f>February!I36+H36</f>
        <v>0</v>
      </c>
    </row>
    <row r="37" spans="1:9" s="5" customFormat="1" ht="18" customHeight="1">
      <c r="A37" s="9" t="s">
        <v>39</v>
      </c>
      <c r="B37" s="13"/>
      <c r="C37" s="9">
        <f>February!C37+B37</f>
        <v>0</v>
      </c>
      <c r="D37" s="15">
        <f>1</f>
        <v>1</v>
      </c>
      <c r="E37" s="9">
        <f>February!E37+D37</f>
        <v>7</v>
      </c>
      <c r="F37" s="17"/>
      <c r="G37" s="9">
        <f>February!G37+F37</f>
        <v>0</v>
      </c>
      <c r="H37" s="19"/>
      <c r="I37" s="9">
        <f>February!I37+H37</f>
        <v>0</v>
      </c>
    </row>
    <row r="38" spans="1:9" s="5" customFormat="1" ht="18" customHeight="1">
      <c r="A38" s="9" t="s">
        <v>40</v>
      </c>
      <c r="B38" s="13">
        <f>92+108+150+375+183+85+74+72+77+184+74+91+67+79+72+42+126+56+147+69+102+61+144+68+258+47+154+151+63+57+171+196+16+51+81+95+99+161+66+123+89+244+120+79+47+27+105+64+80+129+75+60+116+92+211+98+295+67+47+73+74+69+84+482+61+84+187+108+81+78+61+356+70+90+90+88+278+82+187+105+75+33+136+68+199+89+98+144+128+73+66+82+154+166+110</f>
        <v>10841</v>
      </c>
      <c r="C38" s="9">
        <f>February!C38+B38</f>
        <v>40192</v>
      </c>
      <c r="D38" s="15">
        <f>12+5+1+1+3+8+3+19</f>
        <v>52</v>
      </c>
      <c r="E38" s="9">
        <f>February!E38+D38</f>
        <v>258</v>
      </c>
      <c r="F38" s="17"/>
      <c r="G38" s="9">
        <f>February!G38+F38</f>
        <v>0</v>
      </c>
      <c r="H38" s="19"/>
      <c r="I38" s="9">
        <f>February!I38+H38</f>
        <v>0</v>
      </c>
    </row>
    <row r="39" spans="1:9" s="5" customFormat="1" ht="18" customHeight="1">
      <c r="A39" s="9" t="s">
        <v>41</v>
      </c>
      <c r="B39" s="13"/>
      <c r="C39" s="9">
        <f>February!C39+B39</f>
        <v>0</v>
      </c>
      <c r="D39" s="15">
        <f>1</f>
        <v>1</v>
      </c>
      <c r="E39" s="9">
        <f>February!E39+D39</f>
        <v>1</v>
      </c>
      <c r="F39" s="17"/>
      <c r="G39" s="9">
        <f>February!G39+F39</f>
        <v>0</v>
      </c>
      <c r="H39" s="19"/>
      <c r="I39" s="9">
        <f>February!I39+H39</f>
        <v>0</v>
      </c>
    </row>
    <row r="40" spans="1:9" s="5" customFormat="1" ht="18" customHeight="1">
      <c r="A40" s="9" t="s">
        <v>42</v>
      </c>
      <c r="B40" s="13">
        <f>116+53+215+116+116+140+141</f>
        <v>897</v>
      </c>
      <c r="C40" s="9">
        <f>February!C40+B40</f>
        <v>2429</v>
      </c>
      <c r="D40" s="15">
        <f>2+1+1+1+4</f>
        <v>9</v>
      </c>
      <c r="E40" s="9">
        <f>February!E40+D40</f>
        <v>175</v>
      </c>
      <c r="F40" s="17"/>
      <c r="G40" s="9">
        <f>February!G40+F40</f>
        <v>5</v>
      </c>
      <c r="H40" s="19"/>
      <c r="I40" s="9">
        <f>February!I40+H40</f>
        <v>0</v>
      </c>
    </row>
    <row r="41" spans="1:9" s="5" customFormat="1" ht="18" customHeight="1">
      <c r="A41" s="9" t="s">
        <v>43</v>
      </c>
      <c r="B41" s="13"/>
      <c r="C41" s="9">
        <f>February!C41+B41</f>
        <v>415</v>
      </c>
      <c r="D41" s="15"/>
      <c r="E41" s="9">
        <f>February!E41+D41</f>
        <v>0</v>
      </c>
      <c r="F41" s="17"/>
      <c r="G41" s="9">
        <f>February!G41+F41</f>
        <v>1</v>
      </c>
      <c r="H41" s="19"/>
      <c r="I41" s="9">
        <f>February!I41+H41</f>
        <v>0</v>
      </c>
    </row>
    <row r="42" spans="1:9" s="5" customFormat="1" ht="18" customHeight="1">
      <c r="A42" s="9" t="s">
        <v>44</v>
      </c>
      <c r="B42" s="13">
        <f>60</f>
        <v>60</v>
      </c>
      <c r="C42" s="9">
        <f>February!C42+B42</f>
        <v>321</v>
      </c>
      <c r="D42" s="15">
        <f>3</f>
        <v>3</v>
      </c>
      <c r="E42" s="9">
        <f>February!E42+D42</f>
        <v>173</v>
      </c>
      <c r="F42" s="17">
        <f>1</f>
        <v>1</v>
      </c>
      <c r="G42" s="9">
        <f>February!G42+F42</f>
        <v>325</v>
      </c>
      <c r="H42" s="19"/>
      <c r="I42" s="9">
        <f>February!I42+H42</f>
        <v>0</v>
      </c>
    </row>
    <row r="43" spans="1:9" s="5" customFormat="1" ht="18" customHeight="1">
      <c r="A43" s="9" t="s">
        <v>45</v>
      </c>
      <c r="B43" s="13"/>
      <c r="C43" s="9">
        <f>February!C43+B43</f>
        <v>0</v>
      </c>
      <c r="D43" s="15"/>
      <c r="E43" s="9">
        <f>February!E43+D43</f>
        <v>0</v>
      </c>
      <c r="F43" s="17"/>
      <c r="G43" s="9">
        <f>February!G43+F43</f>
        <v>0</v>
      </c>
      <c r="H43" s="19"/>
      <c r="I43" s="9">
        <f>February!I43+H43</f>
        <v>0</v>
      </c>
    </row>
    <row r="44" spans="1:9" s="5" customFormat="1" ht="18" customHeight="1">
      <c r="A44" s="9" t="s">
        <v>46</v>
      </c>
      <c r="B44" s="13">
        <f>141+21+117</f>
        <v>279</v>
      </c>
      <c r="C44" s="9">
        <f>February!C44+B44</f>
        <v>995</v>
      </c>
      <c r="D44" s="15"/>
      <c r="E44" s="9">
        <f>February!E44+D44</f>
        <v>0</v>
      </c>
      <c r="F44" s="17"/>
      <c r="G44" s="9">
        <f>February!G44+F44</f>
        <v>0</v>
      </c>
      <c r="H44" s="19"/>
      <c r="I44" s="9">
        <f>February!I44+H44</f>
        <v>0</v>
      </c>
    </row>
    <row r="45" spans="1:9" s="5" customFormat="1" ht="18" customHeight="1">
      <c r="A45" s="9" t="s">
        <v>47</v>
      </c>
      <c r="B45" s="13">
        <f>170+100+288+60+70+91+110+40+82+140+23+79+7+31+59+23+29+37+18+23+21+55+45+26+109+38+12+8+95+71+9+45+19+9+5+89+43+68+84+78+9+75+17+57+36+240+64+41+23+62+150+252+96+98+27+75+71+133+140+146+62+243+64+81+59+80+124+81+117+75+42+61+68+85+293+75+29+43+272+95+268+68+153+35+13+36+119+190+15+60+180+274+84+77+157+138+62+65+17+18+84+14+191+300+164+421+167+13+14+15+74+72+233+203+208+51+186+90+79+150+60+157+136+92+400+197+37+79+73+225+81+80+313+254+90+61+263+181+20+126+51+34+15+21+24+16+21+27+36+81+25+67+21+89+66+80+264+71+95+70+194+54+47+66+506+104+87+62+124+58+69+208+174+222+70+220+164+67+43+300+16+27+11+159+78+68+167+75+65+49+76+513+162+40+33+185+150+122+71+71+61+82+80+75+120+28+23+142+184+66+8+158+138+166+173+68+57+148+52+487+81+70+138+115+159+70+140+126+75+71+59+69+118+155+70+479+58+24+53+121+243+31+49+53+13+61+41+139+91+178+82+263+86+87+112+79+132+147+66+89+76+33+78+11+69+24+122+53+61+11+24+82+51+86+49+95+194+71+107+50+35+53+171+19+66+23+57+46+23+16+76+9+78+66+34+76+191+63+12+9+3+61+15+11+184+54+109+49+66+14+21+76+43+79+22+699+19+49+85+16+7+59+18+49+303+68+11+173+54+47+62+49+66+14+21+76+157+103+31+76+53+27+156+420+230+489+87+130+62+43+18+57+170+1655</f>
        <v>35899</v>
      </c>
      <c r="C45" s="9">
        <f>February!C45+B45</f>
        <v>97434</v>
      </c>
      <c r="D45" s="15">
        <f>120+16+1+11+12+15+21+15+49+11+11+3+6+15+4+29+8+23+3+50+15+10+13+15+4+10+6+66+1+8+6+18+15+3+15+1+1+31+3+36+2+27+2+53+3+19+1+16+7+45+1+2+2+32+27+39+6+15+21+14+40+26+43+30+4+3+6+10+21+12+11+4+127</f>
        <v>1371</v>
      </c>
      <c r="E45" s="9">
        <f>February!E45+D45</f>
        <v>3497</v>
      </c>
      <c r="F45" s="17">
        <f>92+2+1</f>
        <v>95</v>
      </c>
      <c r="G45" s="9">
        <f>February!G45+F45</f>
        <v>145</v>
      </c>
      <c r="H45" s="19"/>
      <c r="I45" s="9">
        <f>February!I45+H45</f>
        <v>0</v>
      </c>
    </row>
    <row r="46" spans="1:9" s="5" customFormat="1" ht="18" customHeight="1">
      <c r="A46" s="9" t="s">
        <v>48</v>
      </c>
      <c r="B46" s="13">
        <f>87+76+89+60+56+132+10+82+57+68+79+69+76+60+58+58</f>
        <v>1117</v>
      </c>
      <c r="C46" s="9">
        <f>February!C46+B46</f>
        <v>3179</v>
      </c>
      <c r="D46" s="15">
        <f>7+13</f>
        <v>20</v>
      </c>
      <c r="E46" s="9">
        <f>February!E46+D46</f>
        <v>26</v>
      </c>
      <c r="F46" s="17"/>
      <c r="G46" s="9">
        <f>February!G46+F46</f>
        <v>0</v>
      </c>
      <c r="H46" s="19"/>
      <c r="I46" s="9">
        <f>February!I46+H46</f>
        <v>0</v>
      </c>
    </row>
    <row r="47" spans="1:9" s="5" customFormat="1" ht="18" customHeight="1">
      <c r="A47" s="9" t="s">
        <v>49</v>
      </c>
      <c r="B47" s="13">
        <f>200+200+200+203+45+77</f>
        <v>925</v>
      </c>
      <c r="C47" s="9">
        <f>February!C47+B47</f>
        <v>1434</v>
      </c>
      <c r="D47" s="15">
        <f>4+4</f>
        <v>8</v>
      </c>
      <c r="E47" s="9">
        <f>February!E47+D47</f>
        <v>20</v>
      </c>
      <c r="F47" s="17">
        <f>30+31+30+167</f>
        <v>258</v>
      </c>
      <c r="G47" s="9">
        <f>February!G47+F47</f>
        <v>258</v>
      </c>
      <c r="H47" s="19"/>
      <c r="I47" s="9">
        <f>February!I47+H47</f>
        <v>0</v>
      </c>
    </row>
    <row r="48" spans="1:9" s="5" customFormat="1" ht="18" customHeight="1">
      <c r="A48" s="9" t="s">
        <v>50</v>
      </c>
      <c r="B48" s="13">
        <f>16</f>
        <v>16</v>
      </c>
      <c r="C48" s="9">
        <f>February!C48+B48</f>
        <v>133</v>
      </c>
      <c r="D48" s="15"/>
      <c r="E48" s="9">
        <f>February!E48+D48</f>
        <v>3</v>
      </c>
      <c r="F48" s="17"/>
      <c r="G48" s="9">
        <f>February!G48+F48</f>
        <v>0</v>
      </c>
      <c r="H48" s="19"/>
      <c r="I48" s="9">
        <f>February!I48+H48</f>
        <v>0</v>
      </c>
    </row>
    <row r="49" spans="1:9" s="5" customFormat="1" ht="18" customHeight="1">
      <c r="A49" s="9" t="s">
        <v>51</v>
      </c>
      <c r="B49" s="13"/>
      <c r="C49" s="9">
        <f>February!C49+B49</f>
        <v>0</v>
      </c>
      <c r="D49" s="15"/>
      <c r="E49" s="9">
        <f>February!E49+D49</f>
        <v>0</v>
      </c>
      <c r="F49" s="17"/>
      <c r="G49" s="9">
        <f>February!G49+F49</f>
        <v>0</v>
      </c>
      <c r="H49" s="19"/>
      <c r="I49" s="9">
        <f>February!I49+H49</f>
        <v>0</v>
      </c>
    </row>
    <row r="50" spans="1:9" s="5" customFormat="1" ht="18" customHeight="1">
      <c r="A50" s="9" t="s">
        <v>52</v>
      </c>
      <c r="B50" s="13">
        <f>112+189+65+122+235+58+70+132+120+110+113+611+67</f>
        <v>2004</v>
      </c>
      <c r="C50" s="9">
        <f>February!C50+B50</f>
        <v>4719</v>
      </c>
      <c r="D50" s="15"/>
      <c r="E50" s="9">
        <f>February!E50+D50</f>
        <v>0</v>
      </c>
      <c r="F50" s="17"/>
      <c r="G50" s="9">
        <f>February!G50+F50</f>
        <v>1</v>
      </c>
      <c r="H50" s="19"/>
      <c r="I50" s="9">
        <f>February!I50+H50</f>
        <v>0</v>
      </c>
    </row>
    <row r="51" spans="1:9" s="5" customFormat="1" ht="18" customHeight="1">
      <c r="A51" s="9" t="s">
        <v>53</v>
      </c>
      <c r="B51" s="13">
        <f>55+55+95</f>
        <v>205</v>
      </c>
      <c r="C51" s="9">
        <f>February!C51+B51</f>
        <v>437</v>
      </c>
      <c r="D51" s="15">
        <v>4</v>
      </c>
      <c r="E51" s="9">
        <f>February!E51+D51</f>
        <v>4</v>
      </c>
      <c r="F51" s="17"/>
      <c r="G51" s="9">
        <f>February!G51+F51</f>
        <v>0</v>
      </c>
      <c r="H51" s="19"/>
      <c r="I51" s="9">
        <f>February!I51+H51</f>
        <v>0</v>
      </c>
    </row>
    <row r="52" spans="1:9" s="5" customFormat="1" ht="18" customHeight="1">
      <c r="A52" s="9" t="s">
        <v>54</v>
      </c>
      <c r="B52" s="13">
        <f>55+55+70</f>
        <v>180</v>
      </c>
      <c r="C52" s="9">
        <f>February!C52+B52</f>
        <v>426</v>
      </c>
      <c r="D52" s="15"/>
      <c r="E52" s="9">
        <f>February!E52+D52</f>
        <v>0</v>
      </c>
      <c r="F52" s="17"/>
      <c r="G52" s="9">
        <f>February!G52+F52</f>
        <v>0</v>
      </c>
      <c r="H52" s="19"/>
      <c r="I52" s="9">
        <f>February!I52+H52</f>
        <v>0</v>
      </c>
    </row>
    <row r="53" spans="1:9" s="5" customFormat="1" ht="18" customHeight="1">
      <c r="A53" s="9" t="s">
        <v>55</v>
      </c>
      <c r="B53" s="13">
        <f>13+23+22+50+36+21+85+65+147+17+43+50+50+110+25+115+118+24+24+7+126+7+26+8+6+12+9+110+16+8+50+50+52+231+160+95+140+160+165+37+8+27+150+25+66+25+49+57+34+163+20+146+13+17+3+20+40+120+11+356</f>
        <v>3863</v>
      </c>
      <c r="C53" s="9">
        <f>February!C53+B53</f>
        <v>11936</v>
      </c>
      <c r="D53" s="15">
        <f>6+7+6+12+11+31+9+6+4+6</f>
        <v>98</v>
      </c>
      <c r="E53" s="9">
        <f>February!E53+D53</f>
        <v>379</v>
      </c>
      <c r="F53" s="17">
        <f>8+80+29+4+17+28+22+39+75+37+22+29+22+26+52+8+7+25+30+160</f>
        <v>720</v>
      </c>
      <c r="G53" s="9">
        <f>February!G53+F53</f>
        <v>1647</v>
      </c>
      <c r="H53" s="19"/>
      <c r="I53" s="9">
        <f>February!I53+H53</f>
        <v>0</v>
      </c>
    </row>
    <row r="54" spans="1:9" s="5" customFormat="1" ht="18" customHeight="1" thickBot="1">
      <c r="A54" s="10" t="s">
        <v>56</v>
      </c>
      <c r="B54" s="13">
        <f>90+135+58</f>
        <v>283</v>
      </c>
      <c r="C54" s="9">
        <f>February!C54+B54</f>
        <v>1961</v>
      </c>
      <c r="D54" s="15"/>
      <c r="E54" s="9">
        <f>February!E54+D54</f>
        <v>767</v>
      </c>
      <c r="F54" s="17"/>
      <c r="G54" s="9">
        <f>February!G54+F54</f>
        <v>0</v>
      </c>
      <c r="H54" s="19"/>
      <c r="I54" s="9">
        <f>February!I54+H54</f>
        <v>0</v>
      </c>
    </row>
    <row r="55" spans="1:9" s="5" customFormat="1" ht="18" customHeight="1" thickBot="1" thickTop="1">
      <c r="A55" s="11" t="s">
        <v>57</v>
      </c>
      <c r="B55" s="11">
        <f>SUM(B5:B54)</f>
        <v>88148</v>
      </c>
      <c r="C55" s="11"/>
      <c r="D55" s="11">
        <f>SUM(D5:D54)</f>
        <v>4966</v>
      </c>
      <c r="E55" s="11"/>
      <c r="F55" s="11">
        <f>SUM(F5:F54)</f>
        <v>4305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February!C57+B55</f>
        <v>272131</v>
      </c>
      <c r="D57" s="11"/>
      <c r="E57" s="11">
        <f>February!E57+D55</f>
        <v>18581</v>
      </c>
      <c r="F57" s="11"/>
      <c r="G57" s="11">
        <f>February!G57+F55</f>
        <v>10598</v>
      </c>
      <c r="H57" s="11"/>
      <c r="I57" s="11">
        <f>February!I57+H55</f>
        <v>62</v>
      </c>
    </row>
    <row r="58" s="5" customFormat="1" ht="18" customHeight="1" thickTop="1"/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213</v>
      </c>
      <c r="F60" s="5">
        <v>396</v>
      </c>
    </row>
    <row r="61" s="5" customFormat="1" ht="18" customHeight="1"/>
    <row r="62" spans="1:7" s="4" customFormat="1" ht="18" customHeight="1">
      <c r="A62" s="4" t="s">
        <v>60</v>
      </c>
      <c r="E62" s="4">
        <f>February!E62+D60</f>
        <v>11176</v>
      </c>
      <c r="G62" s="4">
        <f>February!G62+F60</f>
        <v>1172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A11" sqref="A1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64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March!C5+B5</f>
        <v>52</v>
      </c>
      <c r="D5" s="15">
        <f>2+2</f>
        <v>4</v>
      </c>
      <c r="E5" s="9">
        <f>March!E5+D5</f>
        <v>4</v>
      </c>
      <c r="F5" s="17"/>
      <c r="G5" s="9">
        <f>March!G5+F5</f>
        <v>0</v>
      </c>
      <c r="H5" s="19"/>
      <c r="I5" s="9">
        <f>March!I5+H5</f>
        <v>0</v>
      </c>
    </row>
    <row r="6" spans="1:9" s="5" customFormat="1" ht="18" customHeight="1">
      <c r="A6" s="9" t="s">
        <v>8</v>
      </c>
      <c r="B6" s="13"/>
      <c r="C6" s="9">
        <f>March!C6+B6</f>
        <v>0</v>
      </c>
      <c r="D6" s="15"/>
      <c r="E6" s="9">
        <f>March!E6+D6</f>
        <v>0</v>
      </c>
      <c r="F6" s="17"/>
      <c r="G6" s="9">
        <f>March!G6+F6</f>
        <v>0</v>
      </c>
      <c r="H6" s="19"/>
      <c r="I6" s="9">
        <f>March!I6+H6</f>
        <v>0</v>
      </c>
    </row>
    <row r="7" spans="1:9" s="5" customFormat="1" ht="18" customHeight="1">
      <c r="A7" s="9" t="s">
        <v>9</v>
      </c>
      <c r="B7" s="13"/>
      <c r="C7" s="9">
        <f>March!C7+B7</f>
        <v>0</v>
      </c>
      <c r="D7" s="15"/>
      <c r="E7" s="9">
        <f>March!E7+D7</f>
        <v>292</v>
      </c>
      <c r="F7" s="17">
        <f>161</f>
        <v>161</v>
      </c>
      <c r="G7" s="9">
        <f>March!G7+F7</f>
        <v>1177</v>
      </c>
      <c r="H7" s="19"/>
      <c r="I7" s="9">
        <f>March!I7+H7</f>
        <v>0</v>
      </c>
    </row>
    <row r="8" spans="1:9" s="5" customFormat="1" ht="18" customHeight="1">
      <c r="A8" s="9" t="s">
        <v>10</v>
      </c>
      <c r="B8" s="13">
        <f>57+90+66+55</f>
        <v>268</v>
      </c>
      <c r="C8" s="9">
        <f>March!C8+B8</f>
        <v>1338</v>
      </c>
      <c r="D8" s="15">
        <f>2+2+2+3+6</f>
        <v>15</v>
      </c>
      <c r="E8" s="9">
        <f>March!E8+D8</f>
        <v>21</v>
      </c>
      <c r="F8" s="17"/>
      <c r="G8" s="9">
        <f>March!G8+F8</f>
        <v>0</v>
      </c>
      <c r="H8" s="19"/>
      <c r="I8" s="9">
        <f>March!I8+H8</f>
        <v>0</v>
      </c>
    </row>
    <row r="9" spans="1:9" s="5" customFormat="1" ht="18" customHeight="1">
      <c r="A9" s="9" t="s">
        <v>11</v>
      </c>
      <c r="B9" s="13">
        <f>125+410</f>
        <v>535</v>
      </c>
      <c r="C9" s="9">
        <f>March!C9+B9</f>
        <v>985</v>
      </c>
      <c r="D9" s="15">
        <v>4</v>
      </c>
      <c r="E9" s="9">
        <f>March!E9+D9</f>
        <v>9</v>
      </c>
      <c r="F9" s="17">
        <f>2+2+1209+221</f>
        <v>1434</v>
      </c>
      <c r="G9" s="9">
        <f>March!G9+F9</f>
        <v>2816</v>
      </c>
      <c r="H9" s="19"/>
      <c r="I9" s="9">
        <f>March!I9+H9</f>
        <v>0</v>
      </c>
    </row>
    <row r="10" spans="1:9" s="5" customFormat="1" ht="18" customHeight="1">
      <c r="A10" s="9" t="s">
        <v>12</v>
      </c>
      <c r="B10" s="13">
        <v>3758</v>
      </c>
      <c r="C10" s="9">
        <f>March!C10+B10</f>
        <v>4825</v>
      </c>
      <c r="D10" s="15">
        <v>24</v>
      </c>
      <c r="E10" s="9">
        <f>March!E10+D10</f>
        <v>27</v>
      </c>
      <c r="F10" s="17"/>
      <c r="G10" s="9">
        <f>March!G10+F10</f>
        <v>0</v>
      </c>
      <c r="H10" s="19"/>
      <c r="I10" s="9">
        <f>March!I10+H10</f>
        <v>0</v>
      </c>
    </row>
    <row r="11" spans="1:9" s="5" customFormat="1" ht="18" customHeight="1">
      <c r="A11" s="9" t="s">
        <v>13</v>
      </c>
      <c r="B11" s="13">
        <f>150+14</f>
        <v>164</v>
      </c>
      <c r="C11" s="9">
        <f>March!C11+B11</f>
        <v>506</v>
      </c>
      <c r="D11" s="15">
        <f>7</f>
        <v>7</v>
      </c>
      <c r="E11" s="9">
        <f>March!E11+D11</f>
        <v>406</v>
      </c>
      <c r="F11" s="17">
        <f>99+99</f>
        <v>198</v>
      </c>
      <c r="G11" s="9">
        <f>March!G11+F11</f>
        <v>227</v>
      </c>
      <c r="H11" s="19"/>
      <c r="I11" s="9">
        <f>March!I11+H11</f>
        <v>0</v>
      </c>
    </row>
    <row r="12" spans="1:9" s="5" customFormat="1" ht="18" customHeight="1">
      <c r="A12" s="9" t="s">
        <v>14</v>
      </c>
      <c r="B12" s="13"/>
      <c r="C12" s="9">
        <f>March!C12+B12</f>
        <v>0</v>
      </c>
      <c r="D12" s="15"/>
      <c r="E12" s="9">
        <f>March!E12+D12</f>
        <v>0</v>
      </c>
      <c r="F12" s="17"/>
      <c r="G12" s="9">
        <f>March!G12+F12</f>
        <v>0</v>
      </c>
      <c r="H12" s="19"/>
      <c r="I12" s="9">
        <f>March!I12+H12</f>
        <v>0</v>
      </c>
    </row>
    <row r="13" spans="1:9" s="5" customFormat="1" ht="18" customHeight="1">
      <c r="A13" s="9" t="s">
        <v>15</v>
      </c>
      <c r="B13" s="13"/>
      <c r="C13" s="9">
        <f>March!C13+B13</f>
        <v>0</v>
      </c>
      <c r="D13" s="15"/>
      <c r="E13" s="9">
        <f>March!E13+D13</f>
        <v>0</v>
      </c>
      <c r="F13" s="17"/>
      <c r="G13" s="9">
        <f>March!G13+F13</f>
        <v>0</v>
      </c>
      <c r="H13" s="19"/>
      <c r="I13" s="9">
        <f>March!I13+H13</f>
        <v>0</v>
      </c>
    </row>
    <row r="14" spans="1:9" s="5" customFormat="1" ht="18" customHeight="1">
      <c r="A14" s="9" t="s">
        <v>16</v>
      </c>
      <c r="B14" s="13">
        <v>79</v>
      </c>
      <c r="C14" s="9">
        <f>March!C14+B14</f>
        <v>79</v>
      </c>
      <c r="D14" s="15"/>
      <c r="E14" s="9">
        <f>March!E14+D14</f>
        <v>0</v>
      </c>
      <c r="F14" s="17"/>
      <c r="G14" s="9">
        <f>March!G14+F14</f>
        <v>0</v>
      </c>
      <c r="H14" s="19"/>
      <c r="I14" s="9">
        <f>March!I14+H14</f>
        <v>0</v>
      </c>
    </row>
    <row r="15" spans="1:9" s="5" customFormat="1" ht="18" customHeight="1">
      <c r="A15" s="9" t="s">
        <v>17</v>
      </c>
      <c r="B15" s="13">
        <f>71+122+54+72</f>
        <v>319</v>
      </c>
      <c r="C15" s="9">
        <f>March!C15+B15</f>
        <v>507</v>
      </c>
      <c r="D15" s="15">
        <f>1+1</f>
        <v>2</v>
      </c>
      <c r="E15" s="9">
        <f>March!E15+D15</f>
        <v>18</v>
      </c>
      <c r="F15" s="17"/>
      <c r="G15" s="9">
        <f>March!G15+F15</f>
        <v>0</v>
      </c>
      <c r="H15" s="19"/>
      <c r="I15" s="9">
        <f>March!I15+H15</f>
        <v>0</v>
      </c>
    </row>
    <row r="16" spans="1:9" s="5" customFormat="1" ht="18" customHeight="1">
      <c r="A16" s="9" t="s">
        <v>18</v>
      </c>
      <c r="B16" s="13"/>
      <c r="C16" s="9">
        <f>March!C16+B16</f>
        <v>0</v>
      </c>
      <c r="D16" s="15"/>
      <c r="E16" s="9">
        <f>March!E16+D16</f>
        <v>0</v>
      </c>
      <c r="F16" s="17"/>
      <c r="G16" s="9">
        <f>March!G16+F16</f>
        <v>0</v>
      </c>
      <c r="H16" s="19"/>
      <c r="I16" s="9">
        <f>March!I16+H16</f>
        <v>0</v>
      </c>
    </row>
    <row r="17" spans="1:9" s="5" customFormat="1" ht="18" customHeight="1">
      <c r="A17" s="9" t="s">
        <v>19</v>
      </c>
      <c r="B17" s="13">
        <f>40+48+8</f>
        <v>96</v>
      </c>
      <c r="C17" s="9">
        <f>March!C17+B17</f>
        <v>1047</v>
      </c>
      <c r="D17" s="15">
        <f>1+1+1</f>
        <v>3</v>
      </c>
      <c r="E17" s="9">
        <f>March!E17+D17</f>
        <v>55</v>
      </c>
      <c r="F17" s="17"/>
      <c r="G17" s="9">
        <f>March!G17+F17</f>
        <v>715</v>
      </c>
      <c r="H17" s="19"/>
      <c r="I17" s="9">
        <f>March!I17+H17</f>
        <v>0</v>
      </c>
    </row>
    <row r="18" spans="1:9" s="5" customFormat="1" ht="18" customHeight="1">
      <c r="A18" s="9" t="s">
        <v>20</v>
      </c>
      <c r="B18" s="13">
        <f>60+57+59+65</f>
        <v>241</v>
      </c>
      <c r="C18" s="9">
        <f>March!C18+B18</f>
        <v>1954</v>
      </c>
      <c r="D18" s="15">
        <f>12+15+24+20+15+9+4</f>
        <v>99</v>
      </c>
      <c r="E18" s="9">
        <f>March!E18+D18</f>
        <v>296</v>
      </c>
      <c r="F18" s="17"/>
      <c r="G18" s="9">
        <f>March!G18+F18</f>
        <v>140</v>
      </c>
      <c r="H18" s="19"/>
      <c r="I18" s="9">
        <f>March!I18+H18</f>
        <v>0</v>
      </c>
    </row>
    <row r="19" spans="1:9" s="5" customFormat="1" ht="18" customHeight="1">
      <c r="A19" s="9" t="s">
        <v>21</v>
      </c>
      <c r="B19" s="13">
        <f>68+60+145+150+150+150+50+100+65+140+130+851</f>
        <v>2059</v>
      </c>
      <c r="C19" s="9">
        <f>March!C19+B19</f>
        <v>6714</v>
      </c>
      <c r="D19" s="15">
        <v>2</v>
      </c>
      <c r="E19" s="9">
        <f>March!E19+D19</f>
        <v>35</v>
      </c>
      <c r="F19" s="17">
        <f>150+150+1+69</f>
        <v>370</v>
      </c>
      <c r="G19" s="9">
        <f>March!G19+F19</f>
        <v>528</v>
      </c>
      <c r="H19" s="19"/>
      <c r="I19" s="9">
        <f>March!I19+H19</f>
        <v>0</v>
      </c>
    </row>
    <row r="20" spans="1:9" s="5" customFormat="1" ht="18" customHeight="1">
      <c r="A20" s="9" t="s">
        <v>22</v>
      </c>
      <c r="B20" s="13">
        <f>63+36+80+37+221+1+134+122+5+78+104+120+219+57+175+64+57+62+120+38+174+66+180+29+70+57+48+83+137+157+36+67+74+159+124+58+29+45+57+85</f>
        <v>3528</v>
      </c>
      <c r="C20" s="9">
        <f>March!C20+B20</f>
        <v>6873</v>
      </c>
      <c r="D20" s="15">
        <f>3+15+1+1+4+15+2+3+3+1+4+2+5+16+1+6+14+1+6+3+11+1+4</f>
        <v>122</v>
      </c>
      <c r="E20" s="9">
        <f>March!E20+D20</f>
        <v>752</v>
      </c>
      <c r="F20" s="17">
        <f>45+55</f>
        <v>100</v>
      </c>
      <c r="G20" s="9">
        <f>March!G20+F20</f>
        <v>1340</v>
      </c>
      <c r="H20" s="19"/>
      <c r="I20" s="9">
        <f>March!I20+H20</f>
        <v>0</v>
      </c>
    </row>
    <row r="21" spans="1:9" s="5" customFormat="1" ht="18" customHeight="1">
      <c r="A21" s="9" t="s">
        <v>23</v>
      </c>
      <c r="B21" s="13">
        <f>76+62+70+135+114+118+62+73+39+60+67+82+62+67+73+118+64+73+75+81+70+140+65+57+64+134+132+79+70+72+30+110+64+61+301+67+615+129+51+240+136+190+64+99+124+60+179+128+56+60+180+77+79+60+119+63+56+54+183+125+65+116+59+125+63+191+122+141+81+81+66+74+13+7+76+87+64+114+75+79+98+194+184+176+125+66+62+64+75+96+61+82+64+56+59+58+64+62+73+54+53+57+79+151+159+62+56+80+58</f>
        <v>10441</v>
      </c>
      <c r="C21" s="9">
        <f>March!C21+B21</f>
        <v>22211</v>
      </c>
      <c r="D21" s="15">
        <f>4+1</f>
        <v>5</v>
      </c>
      <c r="E21" s="9">
        <f>March!E21+D21</f>
        <v>14</v>
      </c>
      <c r="F21" s="17"/>
      <c r="G21" s="9">
        <f>March!G21+F21</f>
        <v>0</v>
      </c>
      <c r="H21" s="19"/>
      <c r="I21" s="9">
        <f>March!I21+H21</f>
        <v>0</v>
      </c>
    </row>
    <row r="22" spans="1:9" s="5" customFormat="1" ht="18" customHeight="1">
      <c r="A22" s="9" t="s">
        <v>24</v>
      </c>
      <c r="B22" s="13"/>
      <c r="C22" s="9">
        <f>March!C22+B22</f>
        <v>0</v>
      </c>
      <c r="D22" s="15"/>
      <c r="E22" s="9">
        <f>March!E22+D22</f>
        <v>0</v>
      </c>
      <c r="F22" s="17"/>
      <c r="G22" s="9">
        <f>March!G22+F22</f>
        <v>0</v>
      </c>
      <c r="H22" s="19"/>
      <c r="I22" s="9">
        <f>March!I22+H22</f>
        <v>0</v>
      </c>
    </row>
    <row r="23" spans="1:9" s="5" customFormat="1" ht="18" customHeight="1">
      <c r="A23" s="9" t="s">
        <v>25</v>
      </c>
      <c r="B23" s="13"/>
      <c r="C23" s="9">
        <f>March!C23+B23</f>
        <v>0</v>
      </c>
      <c r="D23" s="15"/>
      <c r="E23" s="9">
        <f>March!E23+D23</f>
        <v>0</v>
      </c>
      <c r="F23" s="17"/>
      <c r="G23" s="9">
        <f>March!G23+F23</f>
        <v>3</v>
      </c>
      <c r="H23" s="19"/>
      <c r="I23" s="9">
        <f>March!I23+H23</f>
        <v>0</v>
      </c>
    </row>
    <row r="24" spans="1:9" s="5" customFormat="1" ht="18" customHeight="1">
      <c r="A24" s="9" t="s">
        <v>26</v>
      </c>
      <c r="B24" s="13"/>
      <c r="C24" s="9">
        <f>March!C24+B24</f>
        <v>0</v>
      </c>
      <c r="D24" s="15"/>
      <c r="E24" s="9">
        <f>March!E24+D24</f>
        <v>1</v>
      </c>
      <c r="F24" s="17">
        <f>1+1</f>
        <v>2</v>
      </c>
      <c r="G24" s="9">
        <f>March!G24+F24</f>
        <v>4</v>
      </c>
      <c r="H24" s="19"/>
      <c r="I24" s="9">
        <f>March!I24+H24</f>
        <v>0</v>
      </c>
    </row>
    <row r="25" spans="1:9" s="5" customFormat="1" ht="18" customHeight="1">
      <c r="A25" s="9" t="s">
        <v>27</v>
      </c>
      <c r="B25" s="13"/>
      <c r="C25" s="9">
        <f>March!C25+B25</f>
        <v>0</v>
      </c>
      <c r="D25" s="15"/>
      <c r="E25" s="9">
        <f>March!E25+D25</f>
        <v>0</v>
      </c>
      <c r="F25" s="17"/>
      <c r="G25" s="9">
        <f>March!G25+F25</f>
        <v>0</v>
      </c>
      <c r="H25" s="19"/>
      <c r="I25" s="9">
        <f>March!I25+H25</f>
        <v>0</v>
      </c>
    </row>
    <row r="26" spans="1:9" s="5" customFormat="1" ht="18" customHeight="1">
      <c r="A26" s="9" t="s">
        <v>28</v>
      </c>
      <c r="B26" s="13"/>
      <c r="C26" s="9">
        <f>March!C26+B26</f>
        <v>995</v>
      </c>
      <c r="D26" s="15">
        <f>36</f>
        <v>36</v>
      </c>
      <c r="E26" s="9">
        <f>March!E26+D26</f>
        <v>140</v>
      </c>
      <c r="F26" s="17">
        <f>2+57</f>
        <v>59</v>
      </c>
      <c r="G26" s="9">
        <f>March!G26+F26</f>
        <v>67</v>
      </c>
      <c r="H26" s="19"/>
      <c r="I26" s="9">
        <f>March!I26+H26</f>
        <v>0</v>
      </c>
    </row>
    <row r="27" spans="1:9" s="5" customFormat="1" ht="18" customHeight="1">
      <c r="A27" s="9" t="s">
        <v>29</v>
      </c>
      <c r="B27" s="13">
        <f>3+15+22+11+63+13+37+70+66+9+22+6+21+28+29+16+7+17+6+19+84+21+20+130+12+19+41+80+4+129+4+24+270+87+4+6+52+85+155+46+9+61+24+11+1+13+14+9+10+5+6+17+7+24+8+78+20+85+37+59+9+18+146+17+13+68+118+102+67+53+40+18+48+42+3+18+17+103+70+16</f>
        <v>3237</v>
      </c>
      <c r="C27" s="9">
        <f>March!C27+B27</f>
        <v>12312</v>
      </c>
      <c r="D27" s="15">
        <f>16+4+14+12+43+19+29+9+22+12+22+6+23+23+6+2+13+5+41+23+4+7+8+5+24+7+4+39+46+5+19+42+5</f>
        <v>559</v>
      </c>
      <c r="E27" s="9">
        <f>March!E27+D27</f>
        <v>2100</v>
      </c>
      <c r="F27" s="17">
        <f>8+11+9+42+20+75+20+19+13+20+75+16+8+27+3+43+19+29+38+23+42+42+42+42+42+88</f>
        <v>816</v>
      </c>
      <c r="G27" s="9">
        <f>March!G27+F27</f>
        <v>2991</v>
      </c>
      <c r="H27" s="19"/>
      <c r="I27" s="9">
        <f>March!I27+H27</f>
        <v>0</v>
      </c>
    </row>
    <row r="28" spans="1:9" s="5" customFormat="1" ht="18" customHeight="1">
      <c r="A28" s="9" t="s">
        <v>30</v>
      </c>
      <c r="B28" s="13">
        <f>84+102+3+60+55</f>
        <v>304</v>
      </c>
      <c r="C28" s="9">
        <f>March!C28+B28</f>
        <v>624</v>
      </c>
      <c r="D28" s="15">
        <f>2</f>
        <v>2</v>
      </c>
      <c r="E28" s="9">
        <f>March!E28+D28</f>
        <v>2</v>
      </c>
      <c r="F28" s="17"/>
      <c r="G28" s="9">
        <f>March!G28+F28</f>
        <v>0</v>
      </c>
      <c r="H28" s="19"/>
      <c r="I28" s="9">
        <f>March!I28+H28</f>
        <v>0</v>
      </c>
    </row>
    <row r="29" spans="1:9" s="5" customFormat="1" ht="18" customHeight="1">
      <c r="A29" s="9" t="s">
        <v>31</v>
      </c>
      <c r="B29" s="13">
        <f>63+75+50+65+57+108+94+33+27+120+130+69+211+70+91+65+73+70+70+70+64+11+42+85+41+124+15+16+76+70+19+64+80+68+35+140+230+101+65+124+71+15+58+140+140+63+23+280+64+55+57+65+66+84+29+125+3+31+72+146+49+157+133+56+58+72+118+130+77+127+79+27+66+61+42+121+124+63+83+85+9+24+35+15+35+44+33+14+75+67+26+28+75+37+52+26+15+85+74+29+46+34+22+145+5+7+11+8+24+49+76+79+70+65+67+78+133+76+142+59+71+104+62+62+75+127+76+74+61+95+100+59+67+330+163+75+266+68+86+89+112+65+108+220+97+70+152+70+76+51+60+70+70+69+61+61+65+78+71+28+72+14+63+59+10+67+145+48+65+48+67+91+46+78+108+58+148+171+67+90+32+55+38+92+86+97+31+65+26+63+70+89+30+14+42+81+71+37+68</f>
        <v>14756</v>
      </c>
      <c r="C29" s="9">
        <f>March!C29+B29</f>
        <v>48523</v>
      </c>
      <c r="D29" s="15">
        <f>6+5+1+12+1+16+2+1+28+7+1+9+2+5+1+1+38+6+1+2+7+3+52+7+8+9+2+22</f>
        <v>255</v>
      </c>
      <c r="E29" s="9">
        <f>March!E29+D29</f>
        <v>1310</v>
      </c>
      <c r="F29" s="17">
        <f>1</f>
        <v>1</v>
      </c>
      <c r="G29" s="9">
        <f>March!G29+F29</f>
        <v>137</v>
      </c>
      <c r="H29" s="19">
        <f>4</f>
        <v>4</v>
      </c>
      <c r="I29" s="9">
        <f>March!I29+H29</f>
        <v>4</v>
      </c>
    </row>
    <row r="30" spans="1:9" s="5" customFormat="1" ht="18" customHeight="1">
      <c r="A30" s="9" t="s">
        <v>32</v>
      </c>
      <c r="B30" s="13">
        <f>14+33+220+14+110+29+21+114+70+90+17+77+68+240+52+21+64+13+48+8+38+26+78+76+200+125+122+62+85+31+29+33+12+12+40+21+36+16+83+246+135+37+36+60+47+6+152+28+211+114+53+380+333+7+26+16+262+85+88+219+94+700+16+9+10+16+74+36+190+167+25+7+270+170+171+85</f>
        <v>7029</v>
      </c>
      <c r="C30" s="9">
        <f>March!C30+B30</f>
        <v>22801</v>
      </c>
      <c r="D30" s="15">
        <f>6+140+69+18+117+87+3+4+108+10+7+16+12+106+116+56+6+42+3+25+15+2+15</f>
        <v>983</v>
      </c>
      <c r="E30" s="9">
        <f>March!E30+D30</f>
        <v>3436</v>
      </c>
      <c r="F30" s="17"/>
      <c r="G30" s="9">
        <f>March!G30+F30</f>
        <v>0</v>
      </c>
      <c r="H30" s="19"/>
      <c r="I30" s="9">
        <f>March!I30+H30</f>
        <v>0</v>
      </c>
    </row>
    <row r="31" spans="1:9" s="5" customFormat="1" ht="18" customHeight="1">
      <c r="A31" s="9" t="s">
        <v>33</v>
      </c>
      <c r="B31" s="13">
        <f>70+69+93+50+92+118+50+61+216+61+68+193+150+59+1+23+43+95+62+247+82+82+193+140+46+56+71+60+50+67+116+25+79+24+142+162+91+80+69+62+104+100+121+104+49+100+23+122+6+1+6+2+4+2+12+88+16+3+67+15+54+8+18+48+24+6+11+22+1+31+16+68+6+6+17+126+200+152+93+64+123+17+1</f>
        <v>5575</v>
      </c>
      <c r="C31" s="9">
        <f>March!C31+B31</f>
        <v>26156</v>
      </c>
      <c r="D31" s="15">
        <f>10+7+2+5+3+5+40+17+2+129+92+1+9+37+1+54+9+2+1+1+2+6+15+2+5+2+137+1+1+1+10+14+3+1+11+1+2+1+6+8+25+2+14+44+8+12+19+43+17+11+4+8+6+2+4+11+2+2</f>
        <v>890</v>
      </c>
      <c r="E31" s="9">
        <f>March!E31+D31</f>
        <v>7344</v>
      </c>
      <c r="F31" s="17">
        <f>2+86</f>
        <v>88</v>
      </c>
      <c r="G31" s="9">
        <f>March!G31+F31</f>
        <v>463</v>
      </c>
      <c r="H31" s="19"/>
      <c r="I31" s="9">
        <f>March!I31+H31</f>
        <v>62</v>
      </c>
    </row>
    <row r="32" spans="1:9" s="5" customFormat="1" ht="18" customHeight="1">
      <c r="A32" s="9" t="s">
        <v>34</v>
      </c>
      <c r="B32" s="13"/>
      <c r="C32" s="9">
        <f>March!C32+B32</f>
        <v>0</v>
      </c>
      <c r="D32" s="15"/>
      <c r="E32" s="9">
        <f>March!E32+D32</f>
        <v>0</v>
      </c>
      <c r="F32" s="17"/>
      <c r="G32" s="9">
        <f>March!G32+F32</f>
        <v>0</v>
      </c>
      <c r="H32" s="19"/>
      <c r="I32" s="9">
        <f>March!I32+H32</f>
        <v>0</v>
      </c>
    </row>
    <row r="33" spans="1:9" s="5" customFormat="1" ht="18" customHeight="1">
      <c r="A33" s="9" t="s">
        <v>35</v>
      </c>
      <c r="B33" s="13"/>
      <c r="C33" s="9">
        <f>March!C33+B33</f>
        <v>0</v>
      </c>
      <c r="D33" s="15"/>
      <c r="E33" s="9">
        <f>March!E33+D33</f>
        <v>0</v>
      </c>
      <c r="F33" s="17"/>
      <c r="G33" s="9">
        <f>March!G33+F33</f>
        <v>0</v>
      </c>
      <c r="H33" s="19"/>
      <c r="I33" s="9">
        <f>March!I33+H33</f>
        <v>0</v>
      </c>
    </row>
    <row r="34" spans="1:9" s="5" customFormat="1" ht="18" customHeight="1">
      <c r="A34" s="9" t="s">
        <v>36</v>
      </c>
      <c r="B34" s="13"/>
      <c r="C34" s="9">
        <f>March!C34+B34</f>
        <v>0</v>
      </c>
      <c r="D34" s="15"/>
      <c r="E34" s="9">
        <f>March!E34+D34</f>
        <v>0</v>
      </c>
      <c r="F34" s="17"/>
      <c r="G34" s="9">
        <f>March!G34+F34</f>
        <v>0</v>
      </c>
      <c r="H34" s="19"/>
      <c r="I34" s="9">
        <f>March!I34+H34</f>
        <v>0</v>
      </c>
    </row>
    <row r="35" spans="1:9" s="5" customFormat="1" ht="18" customHeight="1">
      <c r="A35" s="9" t="s">
        <v>37</v>
      </c>
      <c r="B35" s="13"/>
      <c r="C35" s="9">
        <f>March!C35+B35</f>
        <v>7</v>
      </c>
      <c r="D35" s="15">
        <f>18</f>
        <v>18</v>
      </c>
      <c r="E35" s="9">
        <f>March!E35+D35</f>
        <v>19</v>
      </c>
      <c r="F35" s="17"/>
      <c r="G35" s="9">
        <f>March!G35+F35</f>
        <v>389</v>
      </c>
      <c r="H35" s="19"/>
      <c r="I35" s="9">
        <f>March!I35+H35</f>
        <v>0</v>
      </c>
    </row>
    <row r="36" spans="1:9" s="5" customFormat="1" ht="18" customHeight="1">
      <c r="A36" s="9" t="s">
        <v>38</v>
      </c>
      <c r="B36" s="13">
        <f>8+10+14+10+59</f>
        <v>101</v>
      </c>
      <c r="C36" s="9">
        <f>March!C36+B36</f>
        <v>101</v>
      </c>
      <c r="D36" s="15">
        <f>1+10</f>
        <v>11</v>
      </c>
      <c r="E36" s="9">
        <f>March!E36+D36</f>
        <v>31</v>
      </c>
      <c r="F36" s="17">
        <f>61</f>
        <v>61</v>
      </c>
      <c r="G36" s="9">
        <f>March!G36+F36</f>
        <v>509</v>
      </c>
      <c r="H36" s="19"/>
      <c r="I36" s="9">
        <f>March!I36+H36</f>
        <v>0</v>
      </c>
    </row>
    <row r="37" spans="1:9" s="5" customFormat="1" ht="18" customHeight="1">
      <c r="A37" s="9" t="s">
        <v>39</v>
      </c>
      <c r="B37" s="13"/>
      <c r="C37" s="9">
        <f>March!C37+B37</f>
        <v>0</v>
      </c>
      <c r="D37" s="15">
        <f>1</f>
        <v>1</v>
      </c>
      <c r="E37" s="9">
        <f>March!E37+D37</f>
        <v>8</v>
      </c>
      <c r="F37" s="17">
        <f>30+57+60+37</f>
        <v>184</v>
      </c>
      <c r="G37" s="9">
        <f>March!G37+F37</f>
        <v>184</v>
      </c>
      <c r="H37" s="19"/>
      <c r="I37" s="9">
        <f>March!I37+H37</f>
        <v>0</v>
      </c>
    </row>
    <row r="38" spans="1:9" s="5" customFormat="1" ht="18" customHeight="1">
      <c r="A38" s="9" t="s">
        <v>40</v>
      </c>
      <c r="B38" s="13">
        <f>69+43+150+188+125+73+342+73+130+112+108+83+142+97+73+55+83+73+76+127+123+52+88+145+77+76+91+123+78+98+112+91+27+214+34+99+144+67+40+64+14+86+38+334+264+82+229+75+163+33+91+104+94+87+105+181+160+92+113+90+156+56+60+141+58+52+94+180+75+5</f>
        <v>7377</v>
      </c>
      <c r="C38" s="9">
        <f>March!C38+B38</f>
        <v>47569</v>
      </c>
      <c r="D38" s="15">
        <f>15+2+40+2+2+20</f>
        <v>81</v>
      </c>
      <c r="E38" s="9">
        <f>March!E38+D38</f>
        <v>339</v>
      </c>
      <c r="F38" s="17">
        <f>8+13+14+15+15+1</f>
        <v>66</v>
      </c>
      <c r="G38" s="9">
        <f>March!G38+F38</f>
        <v>66</v>
      </c>
      <c r="H38" s="19"/>
      <c r="I38" s="9">
        <f>March!I38+H38</f>
        <v>0</v>
      </c>
    </row>
    <row r="39" spans="1:9" s="5" customFormat="1" ht="18" customHeight="1">
      <c r="A39" s="9" t="s">
        <v>41</v>
      </c>
      <c r="B39" s="13"/>
      <c r="C39" s="9">
        <f>March!C39+B39</f>
        <v>0</v>
      </c>
      <c r="D39" s="15"/>
      <c r="E39" s="9">
        <f>March!E39+D39</f>
        <v>1</v>
      </c>
      <c r="F39" s="17"/>
      <c r="G39" s="9">
        <f>March!G39+F39</f>
        <v>0</v>
      </c>
      <c r="H39" s="19"/>
      <c r="I39" s="9">
        <f>March!I39+H39</f>
        <v>0</v>
      </c>
    </row>
    <row r="40" spans="1:9" s="5" customFormat="1" ht="18" customHeight="1">
      <c r="A40" s="9" t="s">
        <v>42</v>
      </c>
      <c r="B40" s="13">
        <f>190+62+80+2160+1200+1490+600+1500+1415+1500+600+2160+1500+1820+1400+1500+1720+1500+1500+1525+2160+1390+2160+950+1645+975+49+68+41+170</f>
        <v>35030</v>
      </c>
      <c r="C40" s="9">
        <f>March!C40+B40</f>
        <v>37459</v>
      </c>
      <c r="D40" s="15">
        <f>2+1+4+1+1+3+42+41+1+1+9+1+1</f>
        <v>108</v>
      </c>
      <c r="E40" s="9">
        <f>March!E40+D40</f>
        <v>283</v>
      </c>
      <c r="F40" s="17">
        <f>2+1</f>
        <v>3</v>
      </c>
      <c r="G40" s="9">
        <f>March!G40+F40</f>
        <v>8</v>
      </c>
      <c r="H40" s="19"/>
      <c r="I40" s="9">
        <f>March!I40+H40</f>
        <v>0</v>
      </c>
    </row>
    <row r="41" spans="1:9" s="5" customFormat="1" ht="18" customHeight="1">
      <c r="A41" s="9" t="s">
        <v>43</v>
      </c>
      <c r="B41" s="13"/>
      <c r="C41" s="9">
        <f>March!C41+B41</f>
        <v>415</v>
      </c>
      <c r="D41" s="15"/>
      <c r="E41" s="9">
        <f>March!E41+D41</f>
        <v>0</v>
      </c>
      <c r="F41" s="17"/>
      <c r="G41" s="9">
        <f>March!G41+F41</f>
        <v>1</v>
      </c>
      <c r="H41" s="19"/>
      <c r="I41" s="9">
        <f>March!I41+H41</f>
        <v>0</v>
      </c>
    </row>
    <row r="42" spans="1:9" s="5" customFormat="1" ht="18" customHeight="1">
      <c r="A42" s="9" t="s">
        <v>44</v>
      </c>
      <c r="B42" s="13"/>
      <c r="C42" s="9">
        <f>March!C42+B42</f>
        <v>321</v>
      </c>
      <c r="D42" s="15">
        <f>15</f>
        <v>15</v>
      </c>
      <c r="E42" s="9">
        <f>March!E42+D42</f>
        <v>188</v>
      </c>
      <c r="F42" s="17">
        <f>9+30+75+48</f>
        <v>162</v>
      </c>
      <c r="G42" s="9">
        <f>March!G42+F42</f>
        <v>487</v>
      </c>
      <c r="H42" s="19"/>
      <c r="I42" s="9">
        <f>March!I42+H42</f>
        <v>0</v>
      </c>
    </row>
    <row r="43" spans="1:9" s="5" customFormat="1" ht="18" customHeight="1">
      <c r="A43" s="9" t="s">
        <v>45</v>
      </c>
      <c r="B43" s="13"/>
      <c r="C43" s="9">
        <f>March!C43+B43</f>
        <v>0</v>
      </c>
      <c r="D43" s="15"/>
      <c r="E43" s="9">
        <f>March!E43+D43</f>
        <v>0</v>
      </c>
      <c r="F43" s="17"/>
      <c r="G43" s="9">
        <f>March!G43+F43</f>
        <v>0</v>
      </c>
      <c r="H43" s="19"/>
      <c r="I43" s="9">
        <f>March!I43+H43</f>
        <v>0</v>
      </c>
    </row>
    <row r="44" spans="1:9" s="5" customFormat="1" ht="18" customHeight="1">
      <c r="A44" s="9" t="s">
        <v>46</v>
      </c>
      <c r="B44" s="13">
        <f>66</f>
        <v>66</v>
      </c>
      <c r="C44" s="9">
        <f>March!C44+B44</f>
        <v>1061</v>
      </c>
      <c r="D44" s="15"/>
      <c r="E44" s="9">
        <f>March!E44+D44</f>
        <v>0</v>
      </c>
      <c r="F44" s="17"/>
      <c r="G44" s="9">
        <f>March!G44+F44</f>
        <v>0</v>
      </c>
      <c r="H44" s="19"/>
      <c r="I44" s="9">
        <f>March!I44+H44</f>
        <v>0</v>
      </c>
    </row>
    <row r="45" spans="1:9" s="5" customFormat="1" ht="18" customHeight="1">
      <c r="A45" s="9" t="s">
        <v>47</v>
      </c>
      <c r="B45" s="13">
        <f>7+70+64+93+80+82+11+52+120+84+122+60+96+125+32+72+98+3+52+82+75+56+69+72+51+64+75+165+63+218+66+1+160+85+232+80+77+75+298+94+75+146+56+14+195+39+131+37+42+89+92+222+244+74+157+62+196+20+127+101+105+169+58+69+74+96+119+81+20+70+70+535+64+59+85+224+68+23+38+19+70+207+120+166+88+84+26+192+62+17+82+152+58+116+57+118+67+73+59+202+14+49+74+136+84+197+63+38+161+331+7+106+166+75+77+43+80+62+66+82+49+27+39+57+28+33+22+109+56+23+106+129+22+215+88+144+50+264+123+122+26+56+24+93+132+126+124+33+128+161+200+24+12+21+98+37+12+31+161+13+27+68+19+212+18+3+24+28+5+138+50+246+147+208+49+80+86+275+17+14+34+99+42+70+56+32+239+189+95+91+201+29+350+230+93+50+191+94+47+44+84+80+36+18+17+23+47+1479</f>
        <v>20565</v>
      </c>
      <c r="C45" s="9">
        <f>March!C45+B45</f>
        <v>117999</v>
      </c>
      <c r="D45" s="15">
        <f>2+2+3+2+1+2+2+45+40+12+134+38+9+8+2+62+40+1+17+75+61+10+36+1+3+3+4+3+5+14+2+5+27+3+26+17+20+30+12+45+14+18+16+25+11+32+1+2+148</f>
        <v>1091</v>
      </c>
      <c r="E45" s="9">
        <f>March!E45+D45</f>
        <v>4588</v>
      </c>
      <c r="F45" s="17">
        <f>1+1</f>
        <v>2</v>
      </c>
      <c r="G45" s="9">
        <f>March!G45+F45</f>
        <v>147</v>
      </c>
      <c r="H45" s="19"/>
      <c r="I45" s="9">
        <f>March!I45+H45</f>
        <v>0</v>
      </c>
    </row>
    <row r="46" spans="1:9" s="5" customFormat="1" ht="18" customHeight="1">
      <c r="A46" s="9" t="s">
        <v>48</v>
      </c>
      <c r="B46" s="13">
        <f>110+54+25+51+56+76+56+80+160+106+57+69+57+57+66+63+80+80+59+83+66+125+109+106+148</f>
        <v>1999</v>
      </c>
      <c r="C46" s="9">
        <f>March!C46+B46</f>
        <v>5178</v>
      </c>
      <c r="D46" s="15">
        <f>2+2+115</f>
        <v>119</v>
      </c>
      <c r="E46" s="9">
        <f>March!E46+D46</f>
        <v>145</v>
      </c>
      <c r="F46" s="17">
        <f>1+2</f>
        <v>3</v>
      </c>
      <c r="G46" s="9">
        <f>March!G46+F46</f>
        <v>3</v>
      </c>
      <c r="H46" s="19"/>
      <c r="I46" s="9">
        <f>March!I46+H46</f>
        <v>0</v>
      </c>
    </row>
    <row r="47" spans="1:9" s="5" customFormat="1" ht="18" customHeight="1">
      <c r="A47" s="9" t="s">
        <v>49</v>
      </c>
      <c r="B47" s="13">
        <f>2+33+180+54+109+180</f>
        <v>558</v>
      </c>
      <c r="C47" s="9">
        <f>March!C47+B47</f>
        <v>1992</v>
      </c>
      <c r="D47" s="15">
        <f>200+200+200+146+5+6+2+3+1</f>
        <v>763</v>
      </c>
      <c r="E47" s="9">
        <f>March!E47+D47</f>
        <v>783</v>
      </c>
      <c r="F47" s="17">
        <v>100</v>
      </c>
      <c r="G47" s="9">
        <f>March!G47+F47</f>
        <v>358</v>
      </c>
      <c r="H47" s="19"/>
      <c r="I47" s="9">
        <f>March!I47+H47</f>
        <v>0</v>
      </c>
    </row>
    <row r="48" spans="1:9" s="5" customFormat="1" ht="18" customHeight="1">
      <c r="A48" s="9" t="s">
        <v>50</v>
      </c>
      <c r="B48" s="13"/>
      <c r="C48" s="9">
        <f>March!C48+B48</f>
        <v>133</v>
      </c>
      <c r="D48" s="15"/>
      <c r="E48" s="9">
        <f>March!E48+D48</f>
        <v>3</v>
      </c>
      <c r="F48" s="17"/>
      <c r="G48" s="9">
        <f>March!G48+F48</f>
        <v>0</v>
      </c>
      <c r="H48" s="19"/>
      <c r="I48" s="9">
        <f>March!I48+H48</f>
        <v>0</v>
      </c>
    </row>
    <row r="49" spans="1:9" s="5" customFormat="1" ht="18" customHeight="1">
      <c r="A49" s="9" t="s">
        <v>51</v>
      </c>
      <c r="B49" s="13"/>
      <c r="C49" s="9">
        <f>March!C49+B49</f>
        <v>0</v>
      </c>
      <c r="D49" s="15"/>
      <c r="E49" s="9">
        <f>March!E49+D49</f>
        <v>0</v>
      </c>
      <c r="F49" s="17"/>
      <c r="G49" s="9">
        <f>March!G49+F49</f>
        <v>0</v>
      </c>
      <c r="H49" s="19"/>
      <c r="I49" s="9">
        <f>March!I49+H49</f>
        <v>0</v>
      </c>
    </row>
    <row r="50" spans="1:9" s="5" customFormat="1" ht="18" customHeight="1">
      <c r="A50" s="9" t="s">
        <v>52</v>
      </c>
      <c r="B50" s="13">
        <f>66+174+65+232+110+66+58+63+60+80+31+26+77+116+55+288+116+66</f>
        <v>1749</v>
      </c>
      <c r="C50" s="9">
        <f>March!C50+B50</f>
        <v>6468</v>
      </c>
      <c r="D50" s="15"/>
      <c r="E50" s="9">
        <f>March!E50+D50</f>
        <v>0</v>
      </c>
      <c r="F50" s="17"/>
      <c r="G50" s="9">
        <f>March!G50+F50</f>
        <v>1</v>
      </c>
      <c r="H50" s="19"/>
      <c r="I50" s="9">
        <f>March!I50+H50</f>
        <v>0</v>
      </c>
    </row>
    <row r="51" spans="1:9" s="5" customFormat="1" ht="18" customHeight="1">
      <c r="A51" s="9" t="s">
        <v>53</v>
      </c>
      <c r="B51" s="13"/>
      <c r="C51" s="9">
        <f>March!C51+B51</f>
        <v>437</v>
      </c>
      <c r="D51" s="15"/>
      <c r="E51" s="9">
        <f>March!E51+D51</f>
        <v>4</v>
      </c>
      <c r="F51" s="17"/>
      <c r="G51" s="9">
        <f>March!G51+F51</f>
        <v>0</v>
      </c>
      <c r="H51" s="19"/>
      <c r="I51" s="9">
        <f>March!I51+H51</f>
        <v>0</v>
      </c>
    </row>
    <row r="52" spans="1:9" s="5" customFormat="1" ht="18" customHeight="1">
      <c r="A52" s="9" t="s">
        <v>54</v>
      </c>
      <c r="B52" s="13">
        <f>68+57+63+70+72+60+35+34+44+14</f>
        <v>517</v>
      </c>
      <c r="C52" s="9">
        <f>March!C52+B52</f>
        <v>943</v>
      </c>
      <c r="D52" s="15"/>
      <c r="E52" s="9">
        <f>March!E52+D52</f>
        <v>0</v>
      </c>
      <c r="F52" s="17"/>
      <c r="G52" s="9">
        <f>March!G52+F52</f>
        <v>0</v>
      </c>
      <c r="H52" s="19"/>
      <c r="I52" s="9">
        <f>March!I52+H52</f>
        <v>0</v>
      </c>
    </row>
    <row r="53" spans="1:9" s="5" customFormat="1" ht="18" customHeight="1">
      <c r="A53" s="9" t="s">
        <v>55</v>
      </c>
      <c r="B53" s="13">
        <f>50+50+12+26+19+15+250+70+140+72+52+8+80+80+150+40+13+29+5+13+23+119+60+48+9+30+41+74+45+26+32+87+9+50+72+10+26+116+11+100+89+24+51+30+28+20+41+33+127+160+220+54+32+68+37+33+18+72+50+611</f>
        <v>3960</v>
      </c>
      <c r="C53" s="9">
        <f>March!C53+B53</f>
        <v>15896</v>
      </c>
      <c r="D53" s="15">
        <f>6+4+4+15+7+5+7+22</f>
        <v>70</v>
      </c>
      <c r="E53" s="9">
        <f>March!E53+D53</f>
        <v>449</v>
      </c>
      <c r="F53" s="17">
        <f>3+1+8+6+3+61+66+12+34+15+6+39+111+21+6+85+16+41+16+39+20+13+277</f>
        <v>899</v>
      </c>
      <c r="G53" s="9">
        <f>March!G53+F53</f>
        <v>2546</v>
      </c>
      <c r="H53" s="19"/>
      <c r="I53" s="9">
        <f>March!I53+H53</f>
        <v>0</v>
      </c>
    </row>
    <row r="54" spans="1:9" s="5" customFormat="1" ht="18" customHeight="1" thickBot="1">
      <c r="A54" s="10" t="s">
        <v>56</v>
      </c>
      <c r="B54" s="13">
        <f>129+7+54+65+190+190+62+9+25+33</f>
        <v>764</v>
      </c>
      <c r="C54" s="9">
        <f>March!C54+B54</f>
        <v>2725</v>
      </c>
      <c r="D54" s="16">
        <f>37+77+1+1+48+11+2+79+3</f>
        <v>259</v>
      </c>
      <c r="E54" s="9">
        <f>March!E54+D54</f>
        <v>1026</v>
      </c>
      <c r="F54" s="17"/>
      <c r="G54" s="9">
        <f>March!G54+F54</f>
        <v>0</v>
      </c>
      <c r="H54" s="19"/>
      <c r="I54" s="9">
        <f>March!I54+H54</f>
        <v>0</v>
      </c>
    </row>
    <row r="55" spans="1:9" s="5" customFormat="1" ht="18" customHeight="1" thickBot="1" thickTop="1">
      <c r="A55" s="11" t="s">
        <v>57</v>
      </c>
      <c r="B55" s="11">
        <f>SUM(B5:B54)</f>
        <v>125075</v>
      </c>
      <c r="C55" s="11"/>
      <c r="D55" s="11">
        <f>SUM(D5:D54)</f>
        <v>5548</v>
      </c>
      <c r="E55" s="11"/>
      <c r="F55" s="11">
        <f>SUM(F5:F54)</f>
        <v>4709</v>
      </c>
      <c r="G55" s="11"/>
      <c r="H55" s="11">
        <f>SUM(H5:H54)</f>
        <v>4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March!C57+B55</f>
        <v>397206</v>
      </c>
      <c r="D57" s="11"/>
      <c r="E57" s="11">
        <f>March!E57+D55</f>
        <v>24129</v>
      </c>
      <c r="F57" s="11"/>
      <c r="G57" s="11">
        <f>March!G57+F55</f>
        <v>15307</v>
      </c>
      <c r="H57" s="11"/>
      <c r="I57" s="11">
        <f>March!I57+H55</f>
        <v>66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4393</v>
      </c>
    </row>
    <row r="61" s="5" customFormat="1" ht="18" customHeight="1"/>
    <row r="62" spans="1:7" s="4" customFormat="1" ht="18" customHeight="1">
      <c r="A62" s="4" t="s">
        <v>60</v>
      </c>
      <c r="E62" s="4">
        <f>March!E62+D60</f>
        <v>15569</v>
      </c>
      <c r="G62" s="4">
        <f>March!G62+F60</f>
        <v>1172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="130" zoomScaleNormal="130" zoomScalePageLayoutView="0" workbookViewId="0" topLeftCell="A1">
      <pane ySplit="4" topLeftCell="A26" activePane="bottomLeft" state="frozen"/>
      <selection pane="topLeft" activeCell="A1" sqref="A1"/>
      <selection pane="bottomLeft" activeCell="A31" sqref="A3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65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>
        <f>75</f>
        <v>75</v>
      </c>
      <c r="C5" s="9">
        <f>April!C5+B5</f>
        <v>127</v>
      </c>
      <c r="D5" s="15">
        <f>16+1</f>
        <v>17</v>
      </c>
      <c r="E5" s="9">
        <f>April!E5+D5</f>
        <v>21</v>
      </c>
      <c r="F5" s="17"/>
      <c r="G5" s="9">
        <f>April!G5+F5</f>
        <v>0</v>
      </c>
      <c r="H5" s="19"/>
      <c r="I5" s="9">
        <f>April!I5+H5</f>
        <v>0</v>
      </c>
    </row>
    <row r="6" spans="1:9" s="5" customFormat="1" ht="18" customHeight="1">
      <c r="A6" s="9" t="s">
        <v>8</v>
      </c>
      <c r="B6" s="13"/>
      <c r="C6" s="9">
        <f>April!C6+B6</f>
        <v>0</v>
      </c>
      <c r="D6" s="15"/>
      <c r="E6" s="9">
        <f>April!E6+D6</f>
        <v>0</v>
      </c>
      <c r="F6" s="17"/>
      <c r="G6" s="9">
        <f>April!G6+F6</f>
        <v>0</v>
      </c>
      <c r="H6" s="19"/>
      <c r="I6" s="9">
        <f>April!I6+H6</f>
        <v>0</v>
      </c>
    </row>
    <row r="7" spans="1:9" s="5" customFormat="1" ht="18" customHeight="1">
      <c r="A7" s="9" t="s">
        <v>9</v>
      </c>
      <c r="B7" s="13">
        <f>181</f>
        <v>181</v>
      </c>
      <c r="C7" s="9">
        <f>April!C7+B7</f>
        <v>181</v>
      </c>
      <c r="D7" s="15"/>
      <c r="E7" s="9">
        <f>April!E7+D7</f>
        <v>292</v>
      </c>
      <c r="F7" s="17">
        <f>106</f>
        <v>106</v>
      </c>
      <c r="G7" s="9">
        <f>April!G7+F7</f>
        <v>1283</v>
      </c>
      <c r="H7" s="19"/>
      <c r="I7" s="9">
        <f>April!I7+H7</f>
        <v>0</v>
      </c>
    </row>
    <row r="8" spans="1:9" s="5" customFormat="1" ht="18" customHeight="1">
      <c r="A8" s="9" t="s">
        <v>10</v>
      </c>
      <c r="B8" s="13">
        <f>95+60</f>
        <v>155</v>
      </c>
      <c r="C8" s="9">
        <f>April!C8+B8</f>
        <v>1493</v>
      </c>
      <c r="D8" s="15">
        <f>2</f>
        <v>2</v>
      </c>
      <c r="E8" s="9">
        <f>April!E8+D8</f>
        <v>23</v>
      </c>
      <c r="F8" s="17"/>
      <c r="G8" s="9">
        <f>April!G8+F8</f>
        <v>0</v>
      </c>
      <c r="H8" s="19">
        <f>15</f>
        <v>15</v>
      </c>
      <c r="I8" s="9">
        <f>April!I8+H8</f>
        <v>15</v>
      </c>
    </row>
    <row r="9" spans="1:9" s="5" customFormat="1" ht="18" customHeight="1">
      <c r="A9" s="9" t="s">
        <v>11</v>
      </c>
      <c r="B9" s="13">
        <f>60+60+149+136</f>
        <v>405</v>
      </c>
      <c r="C9" s="9">
        <f>April!C9+B9</f>
        <v>1390</v>
      </c>
      <c r="D9" s="15"/>
      <c r="E9" s="9">
        <f>April!E9+D9</f>
        <v>9</v>
      </c>
      <c r="F9" s="17">
        <f>100+100+180+10+45+49+196</f>
        <v>680</v>
      </c>
      <c r="G9" s="9">
        <f>April!G9+F9</f>
        <v>3496</v>
      </c>
      <c r="H9" s="19"/>
      <c r="I9" s="9">
        <f>April!I9+H9</f>
        <v>0</v>
      </c>
    </row>
    <row r="10" spans="1:9" s="5" customFormat="1" ht="18" customHeight="1">
      <c r="A10" s="9" t="s">
        <v>12</v>
      </c>
      <c r="B10" s="13">
        <v>2853</v>
      </c>
      <c r="C10" s="9">
        <f>April!C10+B10</f>
        <v>7678</v>
      </c>
      <c r="D10" s="15"/>
      <c r="E10" s="9">
        <f>April!E10+D10</f>
        <v>27</v>
      </c>
      <c r="F10" s="17">
        <v>13</v>
      </c>
      <c r="G10" s="9">
        <f>April!G10+F10</f>
        <v>13</v>
      </c>
      <c r="H10" s="19"/>
      <c r="I10" s="9">
        <f>April!I10+H10</f>
        <v>0</v>
      </c>
    </row>
    <row r="11" spans="1:9" s="5" customFormat="1" ht="18" customHeight="1">
      <c r="A11" s="9" t="s">
        <v>13</v>
      </c>
      <c r="B11" s="13"/>
      <c r="C11" s="9">
        <f>April!C11+B11</f>
        <v>506</v>
      </c>
      <c r="D11" s="15">
        <f>1+6+50+71+35+35</f>
        <v>198</v>
      </c>
      <c r="E11" s="9">
        <f>April!E11+D11</f>
        <v>604</v>
      </c>
      <c r="F11" s="17"/>
      <c r="G11" s="9">
        <f>April!G11+F11</f>
        <v>227</v>
      </c>
      <c r="H11" s="19"/>
      <c r="I11" s="9">
        <f>April!I11+H11</f>
        <v>0</v>
      </c>
    </row>
    <row r="12" spans="1:9" s="5" customFormat="1" ht="18" customHeight="1">
      <c r="A12" s="9" t="s">
        <v>14</v>
      </c>
      <c r="B12" s="13"/>
      <c r="C12" s="9">
        <f>April!C12+B12</f>
        <v>0</v>
      </c>
      <c r="D12" s="15"/>
      <c r="E12" s="9">
        <f>April!E12+D12</f>
        <v>0</v>
      </c>
      <c r="F12" s="17"/>
      <c r="G12" s="9">
        <f>April!G12+F12</f>
        <v>0</v>
      </c>
      <c r="H12" s="19"/>
      <c r="I12" s="9">
        <f>April!I12+H12</f>
        <v>0</v>
      </c>
    </row>
    <row r="13" spans="1:11" s="5" customFormat="1" ht="18" customHeight="1">
      <c r="A13" s="9" t="s">
        <v>15</v>
      </c>
      <c r="B13" s="13"/>
      <c r="C13" s="9">
        <f>April!C13+B13</f>
        <v>0</v>
      </c>
      <c r="D13" s="15"/>
      <c r="E13" s="9">
        <f>April!E13+D13</f>
        <v>0</v>
      </c>
      <c r="F13" s="17"/>
      <c r="G13" s="9">
        <f>April!G13+F13</f>
        <v>0</v>
      </c>
      <c r="H13" s="19"/>
      <c r="I13" s="9">
        <f>April!I13+H13</f>
        <v>0</v>
      </c>
      <c r="K13" s="5" t="s">
        <v>76</v>
      </c>
    </row>
    <row r="14" spans="1:9" s="5" customFormat="1" ht="18" customHeight="1">
      <c r="A14" s="9" t="s">
        <v>16</v>
      </c>
      <c r="B14" s="13">
        <v>115</v>
      </c>
      <c r="C14" s="9">
        <f>April!C14+B14</f>
        <v>194</v>
      </c>
      <c r="D14" s="15"/>
      <c r="E14" s="9">
        <f>April!E14+D14</f>
        <v>0</v>
      </c>
      <c r="F14" s="17"/>
      <c r="G14" s="9">
        <f>April!G14+F14</f>
        <v>0</v>
      </c>
      <c r="H14" s="19"/>
      <c r="I14" s="9">
        <f>April!I14+H14</f>
        <v>0</v>
      </c>
    </row>
    <row r="15" spans="1:9" s="5" customFormat="1" ht="18" customHeight="1">
      <c r="A15" s="9" t="s">
        <v>17</v>
      </c>
      <c r="B15" s="13">
        <f>82+115</f>
        <v>197</v>
      </c>
      <c r="C15" s="9">
        <f>April!C15+B15</f>
        <v>704</v>
      </c>
      <c r="D15" s="15">
        <f>35+2</f>
        <v>37</v>
      </c>
      <c r="E15" s="9">
        <f>April!E15+D15</f>
        <v>55</v>
      </c>
      <c r="F15" s="17"/>
      <c r="G15" s="9">
        <f>April!G15+F15</f>
        <v>0</v>
      </c>
      <c r="H15" s="19"/>
      <c r="I15" s="9">
        <f>April!I15+H15</f>
        <v>0</v>
      </c>
    </row>
    <row r="16" spans="1:9" s="5" customFormat="1" ht="18" customHeight="1">
      <c r="A16" s="9" t="s">
        <v>18</v>
      </c>
      <c r="B16" s="13"/>
      <c r="C16" s="9">
        <f>April!C16+B16</f>
        <v>0</v>
      </c>
      <c r="D16" s="15"/>
      <c r="E16" s="9">
        <f>April!E16+D16</f>
        <v>0</v>
      </c>
      <c r="F16" s="17"/>
      <c r="G16" s="9">
        <f>April!G16+F16</f>
        <v>0</v>
      </c>
      <c r="H16" s="19"/>
      <c r="I16" s="9">
        <f>April!I16+H16</f>
        <v>0</v>
      </c>
    </row>
    <row r="17" spans="1:9" s="5" customFormat="1" ht="18" customHeight="1">
      <c r="A17" s="9" t="s">
        <v>19</v>
      </c>
      <c r="B17" s="13"/>
      <c r="C17" s="9">
        <f>April!C17+B17</f>
        <v>1047</v>
      </c>
      <c r="D17" s="15">
        <f>2</f>
        <v>2</v>
      </c>
      <c r="E17" s="9">
        <f>April!E17+D17</f>
        <v>57</v>
      </c>
      <c r="F17" s="17"/>
      <c r="G17" s="9">
        <f>April!G17+F17</f>
        <v>715</v>
      </c>
      <c r="H17" s="19"/>
      <c r="I17" s="9">
        <f>April!I17+H17</f>
        <v>0</v>
      </c>
    </row>
    <row r="18" spans="1:9" s="5" customFormat="1" ht="18" customHeight="1">
      <c r="A18" s="9" t="s">
        <v>20</v>
      </c>
      <c r="B18" s="13">
        <f>83+83</f>
        <v>166</v>
      </c>
      <c r="C18" s="9">
        <f>April!C18+B18</f>
        <v>2120</v>
      </c>
      <c r="D18" s="15">
        <f>2+4+818+6</f>
        <v>830</v>
      </c>
      <c r="E18" s="9">
        <f>April!E18+D18</f>
        <v>1126</v>
      </c>
      <c r="F18" s="17">
        <f>1+37+1+7</f>
        <v>46</v>
      </c>
      <c r="G18" s="9">
        <f>April!G18+F18</f>
        <v>186</v>
      </c>
      <c r="H18" s="19"/>
      <c r="I18" s="9">
        <f>April!I18+H18</f>
        <v>0</v>
      </c>
    </row>
    <row r="19" spans="1:9" s="5" customFormat="1" ht="18" customHeight="1">
      <c r="A19" s="9" t="s">
        <v>21</v>
      </c>
      <c r="B19" s="13">
        <f>68+150+150+150+150+115+100+848</f>
        <v>1731</v>
      </c>
      <c r="C19" s="9">
        <f>April!C19+B19</f>
        <v>8445</v>
      </c>
      <c r="D19" s="15">
        <f>2+1</f>
        <v>3</v>
      </c>
      <c r="E19" s="9">
        <f>April!E19+D19</f>
        <v>38</v>
      </c>
      <c r="F19" s="17">
        <f>119+150</f>
        <v>269</v>
      </c>
      <c r="G19" s="9">
        <f>April!G19+F19</f>
        <v>797</v>
      </c>
      <c r="H19" s="19"/>
      <c r="I19" s="9">
        <f>April!I19+H19</f>
        <v>0</v>
      </c>
    </row>
    <row r="20" spans="1:9" s="5" customFormat="1" ht="18" customHeight="1">
      <c r="A20" s="9" t="s">
        <v>22</v>
      </c>
      <c r="B20" s="13">
        <f>60+34+61+60+166+51+131+123+69+240+104+360+120+88+61+112+131+300+24+193+252+61+218+131+52+55+41+129+210</f>
        <v>3637</v>
      </c>
      <c r="C20" s="9">
        <f>April!C20+B20</f>
        <v>10510</v>
      </c>
      <c r="D20" s="15">
        <f>2+1+7+8+2+1+1+7+1+2+4+2+17</f>
        <v>55</v>
      </c>
      <c r="E20" s="9">
        <f>April!E20+D20</f>
        <v>807</v>
      </c>
      <c r="F20" s="17">
        <f>42+42</f>
        <v>84</v>
      </c>
      <c r="G20" s="9">
        <f>April!G20+F20</f>
        <v>1424</v>
      </c>
      <c r="H20" s="19"/>
      <c r="I20" s="9">
        <f>April!I20+H20</f>
        <v>0</v>
      </c>
    </row>
    <row r="21" spans="1:9" s="5" customFormat="1" ht="18" customHeight="1">
      <c r="A21" s="9" t="s">
        <v>23</v>
      </c>
      <c r="B21" s="13">
        <f>89+16+220+51+247+67+37+69+88+53+70+17+34+80+83+64+168+71+73+76+74+69+184+157+160+160+180+65+73+85+65+81+154+69+113+76+168+165+59+54+25+77+162+187+600+60+53+64+54+54+56+115+56+111+56+120+61+68+60+240+63+65+116+81+56+66+230+299+260+172+53+73+155+54+56+60+61+60+58+68+65+59+58+61+78+48+28+60+82+67+114+72+67+60+181+49+62+60+62+63+214+320+125+130</f>
        <v>10454</v>
      </c>
      <c r="C21" s="9">
        <f>April!C21+B21</f>
        <v>32665</v>
      </c>
      <c r="D21" s="15">
        <f>1</f>
        <v>1</v>
      </c>
      <c r="E21" s="9">
        <f>April!E21+D21</f>
        <v>15</v>
      </c>
      <c r="F21" s="17"/>
      <c r="G21" s="9">
        <f>April!G21+F21</f>
        <v>0</v>
      </c>
      <c r="H21" s="19"/>
      <c r="I21" s="9">
        <f>April!I21+H21</f>
        <v>0</v>
      </c>
    </row>
    <row r="22" spans="1:9" s="5" customFormat="1" ht="18" customHeight="1">
      <c r="A22" s="9" t="s">
        <v>24</v>
      </c>
      <c r="B22" s="13"/>
      <c r="C22" s="9">
        <f>April!C22+B22</f>
        <v>0</v>
      </c>
      <c r="D22" s="15"/>
      <c r="E22" s="9">
        <f>April!E22+D22</f>
        <v>0</v>
      </c>
      <c r="F22" s="17"/>
      <c r="G22" s="9">
        <f>April!G22+F22</f>
        <v>0</v>
      </c>
      <c r="H22" s="19"/>
      <c r="I22" s="9">
        <f>April!I22+H22</f>
        <v>0</v>
      </c>
    </row>
    <row r="23" spans="1:9" s="5" customFormat="1" ht="18" customHeight="1">
      <c r="A23" s="9" t="s">
        <v>25</v>
      </c>
      <c r="B23" s="13"/>
      <c r="C23" s="9">
        <f>April!C23+B23</f>
        <v>0</v>
      </c>
      <c r="D23" s="15"/>
      <c r="E23" s="9">
        <f>April!E23+D23</f>
        <v>0</v>
      </c>
      <c r="F23" s="17"/>
      <c r="G23" s="9">
        <f>April!G23+F23</f>
        <v>3</v>
      </c>
      <c r="H23" s="19"/>
      <c r="I23" s="9">
        <f>April!I23+H23</f>
        <v>0</v>
      </c>
    </row>
    <row r="24" spans="1:9" s="5" customFormat="1" ht="18" customHeight="1">
      <c r="A24" s="9" t="s">
        <v>26</v>
      </c>
      <c r="B24" s="13"/>
      <c r="C24" s="9">
        <f>April!C24+B24</f>
        <v>0</v>
      </c>
      <c r="D24" s="15"/>
      <c r="E24" s="9">
        <f>April!E24+D24</f>
        <v>1</v>
      </c>
      <c r="F24" s="17"/>
      <c r="G24" s="9">
        <f>April!G24+F24</f>
        <v>4</v>
      </c>
      <c r="H24" s="19"/>
      <c r="I24" s="9">
        <f>April!I24+H24</f>
        <v>0</v>
      </c>
    </row>
    <row r="25" spans="1:9" s="5" customFormat="1" ht="18" customHeight="1">
      <c r="A25" s="9" t="s">
        <v>27</v>
      </c>
      <c r="B25" s="13"/>
      <c r="C25" s="9">
        <f>April!C25+B25</f>
        <v>0</v>
      </c>
      <c r="D25" s="15"/>
      <c r="E25" s="9">
        <f>April!E25+D25</f>
        <v>0</v>
      </c>
      <c r="F25" s="17">
        <f>11</f>
        <v>11</v>
      </c>
      <c r="G25" s="9">
        <f>April!G25+F25</f>
        <v>11</v>
      </c>
      <c r="H25" s="19"/>
      <c r="I25" s="9">
        <f>April!I25+H25</f>
        <v>0</v>
      </c>
    </row>
    <row r="26" spans="1:9" s="5" customFormat="1" ht="18" customHeight="1">
      <c r="A26" s="9" t="s">
        <v>28</v>
      </c>
      <c r="B26" s="13">
        <f>65+55+64</f>
        <v>184</v>
      </c>
      <c r="C26" s="9">
        <f>April!C26+B26</f>
        <v>1179</v>
      </c>
      <c r="D26" s="15">
        <f>2</f>
        <v>2</v>
      </c>
      <c r="E26" s="9">
        <f>April!E26+D26</f>
        <v>142</v>
      </c>
      <c r="F26" s="17">
        <f>90+1</f>
        <v>91</v>
      </c>
      <c r="G26" s="9">
        <f>April!G26+F26</f>
        <v>158</v>
      </c>
      <c r="H26" s="19"/>
      <c r="I26" s="9">
        <f>April!I26+H26</f>
        <v>0</v>
      </c>
    </row>
    <row r="27" spans="1:9" s="5" customFormat="1" ht="18" customHeight="1">
      <c r="A27" s="9" t="s">
        <v>29</v>
      </c>
      <c r="B27" s="13">
        <f>80+40+22+2+370+51+19+22+69+21+23+34+10+18+54+8+18+101+11+41+37+24+4+12+44+44+12+18+54+8+35+14+4+5+34</f>
        <v>1363</v>
      </c>
      <c r="C27" s="9">
        <f>April!C27+B27</f>
        <v>13675</v>
      </c>
      <c r="D27" s="15">
        <f>11+9+16+11+40+7+3+4+8+2+51</f>
        <v>162</v>
      </c>
      <c r="E27" s="9">
        <f>April!E27+D27</f>
        <v>2262</v>
      </c>
      <c r="F27" s="17">
        <f>76+16+26+67+1+50+4+31+42+3+3+19+4+78+4+9+10+12+3+15</f>
        <v>473</v>
      </c>
      <c r="G27" s="9">
        <f>April!G27+F27</f>
        <v>3464</v>
      </c>
      <c r="H27" s="19"/>
      <c r="I27" s="9">
        <f>April!I27+H27</f>
        <v>0</v>
      </c>
    </row>
    <row r="28" spans="1:9" s="5" customFormat="1" ht="18" customHeight="1">
      <c r="A28" s="9" t="s">
        <v>30</v>
      </c>
      <c r="B28" s="13">
        <f>150+120</f>
        <v>270</v>
      </c>
      <c r="C28" s="9">
        <f>April!C28+B28</f>
        <v>894</v>
      </c>
      <c r="D28" s="15">
        <f>1+2</f>
        <v>3</v>
      </c>
      <c r="E28" s="9">
        <f>April!E28+D28</f>
        <v>5</v>
      </c>
      <c r="F28" s="17"/>
      <c r="G28" s="9">
        <f>April!G28+F28</f>
        <v>0</v>
      </c>
      <c r="H28" s="19"/>
      <c r="I28" s="9">
        <f>April!I28+H28</f>
        <v>0</v>
      </c>
    </row>
    <row r="29" spans="1:9" s="5" customFormat="1" ht="18" customHeight="1">
      <c r="A29" s="9" t="s">
        <v>31</v>
      </c>
      <c r="B29" s="13">
        <f>6+189+13+3+15+70+80+60+85+249+80+116+127+67+189+4+48+74+1+120+52+88+65+85+19+64+57+78+35+62+25+48+21+72+65+68+73+57+70+88+62+90+94+56+98+329+57+65+78+70+36+86+26+55+67+93+72+92+78+145+57+57+34+30+78+58+17+17+73+56+76+17+51+55+78+74+130+77+95+58+85+75+28+120+33+91+60+97+72+83+62+116+22+173+109+75+69+98+89+13+67+275+27+16+30+64+158+68+22+62+152+80+70+63+28+72+53+44+75+39+28+84+94+72+83+83+120+80+87+45+70+77+45+58+92+74+57+71+33+75+70+74+108+50+77+72+58+57+88+85+122+64+61+85+130+108+128+82+30+79+80+77+68+82+79+83+173+75+81+91+87+96+65+65+60+71+17+31+81+74+76+87+75+189+214+65+96+76+77+46+46+62+82+151+143+79+82+72+10+90+95+75+45+38+86+53+95+74+73</f>
        <v>15804</v>
      </c>
      <c r="C29" s="9">
        <f>April!C29+B29</f>
        <v>64327</v>
      </c>
      <c r="D29" s="15">
        <f>7+19+11+27+4+11+2+6+2+50+54+7+1+19+9+6+27+42+19+18+8</f>
        <v>349</v>
      </c>
      <c r="E29" s="9">
        <f>April!E29+D29</f>
        <v>1659</v>
      </c>
      <c r="F29" s="17">
        <f>34</f>
        <v>34</v>
      </c>
      <c r="G29" s="9">
        <f>April!G29+F29</f>
        <v>171</v>
      </c>
      <c r="H29" s="19"/>
      <c r="I29" s="9">
        <f>April!I29+H29</f>
        <v>4</v>
      </c>
    </row>
    <row r="30" spans="1:9" s="5" customFormat="1" ht="18" customHeight="1">
      <c r="A30" s="9" t="s">
        <v>32</v>
      </c>
      <c r="B30" s="13">
        <f>300+10+391+24+440+578+64+80+99+10+230+17+69+29+75+84+91+80+75+250+13+18+175+40+40+66+37+41+165+11+12+146+83+66+15+16+56+188+100+71+30+139+45+94+42+68+43+4+40+88+80</f>
        <v>5028</v>
      </c>
      <c r="C30" s="9">
        <f>April!C30+B30</f>
        <v>27829</v>
      </c>
      <c r="D30" s="15">
        <f>36+111+111+171+164+2+165+130+46+15+5+31+102+13+125+10</f>
        <v>1237</v>
      </c>
      <c r="E30" s="9">
        <f>April!E30+D30</f>
        <v>4673</v>
      </c>
      <c r="F30" s="17"/>
      <c r="G30" s="9">
        <f>April!G30+F30</f>
        <v>0</v>
      </c>
      <c r="H30" s="19"/>
      <c r="I30" s="9">
        <f>April!I30+H30</f>
        <v>0</v>
      </c>
    </row>
    <row r="31" spans="1:9" s="5" customFormat="1" ht="18" customHeight="1">
      <c r="A31" s="9" t="s">
        <v>33</v>
      </c>
      <c r="B31" s="13">
        <f>1+4+80+39+72+62+86+136+126+293+74+315+69+41+88+35+160+26+48+34+71+47+150+90+160+1+17+10+205+65+52+179+147+151+41+43+100+121+77+60+189+12+2+100+124+89+373+136+92+179+191+111+55+76+209+104+91+76+150+63+54+69+59</f>
        <v>6180</v>
      </c>
      <c r="C31" s="9">
        <f>April!C31+B31</f>
        <v>32336</v>
      </c>
      <c r="D31" s="15">
        <f>18+3+6+6+38+1+3+5+1+5+2+10+4+35+31+42+38+31+42+35+31+38+31+52+10+83+50+11+61+98+1+6+16+13+2+166+16+70+62+134+10+136+11+47+112+5+70+72+72+146+1+159</f>
        <v>2148</v>
      </c>
      <c r="E31" s="9">
        <f>April!E31+D31</f>
        <v>9492</v>
      </c>
      <c r="F31" s="17">
        <f>3</f>
        <v>3</v>
      </c>
      <c r="G31" s="9">
        <f>April!G31+F31</f>
        <v>466</v>
      </c>
      <c r="H31" s="19"/>
      <c r="I31" s="9">
        <f>April!I31+H31</f>
        <v>62</v>
      </c>
    </row>
    <row r="32" spans="1:9" s="5" customFormat="1" ht="18" customHeight="1">
      <c r="A32" s="9" t="s">
        <v>34</v>
      </c>
      <c r="B32" s="13"/>
      <c r="C32" s="9">
        <f>April!C32+B32</f>
        <v>0</v>
      </c>
      <c r="D32" s="15"/>
      <c r="E32" s="9">
        <f>April!E32+D32</f>
        <v>0</v>
      </c>
      <c r="F32" s="17"/>
      <c r="G32" s="9">
        <f>April!G32+F32</f>
        <v>0</v>
      </c>
      <c r="H32" s="19"/>
      <c r="I32" s="9">
        <f>April!I32+H32</f>
        <v>0</v>
      </c>
    </row>
    <row r="33" spans="1:9" s="5" customFormat="1" ht="18" customHeight="1">
      <c r="A33" s="9" t="s">
        <v>35</v>
      </c>
      <c r="B33" s="13"/>
      <c r="C33" s="9">
        <f>April!C33+B33</f>
        <v>0</v>
      </c>
      <c r="D33" s="15"/>
      <c r="E33" s="9">
        <f>April!E33+D33</f>
        <v>0</v>
      </c>
      <c r="F33" s="17"/>
      <c r="G33" s="9">
        <f>April!G33+F33</f>
        <v>0</v>
      </c>
      <c r="H33" s="19"/>
      <c r="I33" s="9">
        <f>April!I33+H33</f>
        <v>0</v>
      </c>
    </row>
    <row r="34" spans="1:9" s="5" customFormat="1" ht="18" customHeight="1">
      <c r="A34" s="9" t="s">
        <v>36</v>
      </c>
      <c r="B34" s="13"/>
      <c r="C34" s="9">
        <f>April!C34+B34</f>
        <v>0</v>
      </c>
      <c r="D34" s="15"/>
      <c r="E34" s="9">
        <f>April!E34+D34</f>
        <v>0</v>
      </c>
      <c r="F34" s="17"/>
      <c r="G34" s="9">
        <f>April!G34+F34</f>
        <v>0</v>
      </c>
      <c r="H34" s="19"/>
      <c r="I34" s="9">
        <f>April!I34+H34</f>
        <v>0</v>
      </c>
    </row>
    <row r="35" spans="1:9" s="5" customFormat="1" ht="18" customHeight="1">
      <c r="A35" s="9" t="s">
        <v>37</v>
      </c>
      <c r="B35" s="13">
        <f>99+1050</f>
        <v>1149</v>
      </c>
      <c r="C35" s="9">
        <f>April!C35+B35</f>
        <v>1156</v>
      </c>
      <c r="D35" s="15"/>
      <c r="E35" s="9">
        <f>April!E35+D35</f>
        <v>19</v>
      </c>
      <c r="F35" s="17"/>
      <c r="G35" s="9">
        <f>April!G35+F35</f>
        <v>389</v>
      </c>
      <c r="H35" s="19"/>
      <c r="I35" s="9">
        <f>April!I35+H35</f>
        <v>0</v>
      </c>
    </row>
    <row r="36" spans="1:9" s="5" customFormat="1" ht="18" customHeight="1">
      <c r="A36" s="9" t="s">
        <v>38</v>
      </c>
      <c r="B36" s="13"/>
      <c r="C36" s="9">
        <f>April!C36+B36</f>
        <v>101</v>
      </c>
      <c r="D36" s="15"/>
      <c r="E36" s="9">
        <f>April!E36+D36</f>
        <v>31</v>
      </c>
      <c r="F36" s="17">
        <f>90+37+2</f>
        <v>129</v>
      </c>
      <c r="G36" s="9">
        <f>April!G36+F36</f>
        <v>638</v>
      </c>
      <c r="H36" s="19"/>
      <c r="I36" s="9">
        <f>April!I36+H36</f>
        <v>0</v>
      </c>
    </row>
    <row r="37" spans="1:9" s="5" customFormat="1" ht="18" customHeight="1">
      <c r="A37" s="9" t="s">
        <v>39</v>
      </c>
      <c r="B37" s="13"/>
      <c r="C37" s="9">
        <f>April!C37+B37</f>
        <v>0</v>
      </c>
      <c r="D37" s="15"/>
      <c r="E37" s="9">
        <f>April!E37+D37</f>
        <v>8</v>
      </c>
      <c r="F37" s="17"/>
      <c r="G37" s="9">
        <f>April!G37+F37</f>
        <v>184</v>
      </c>
      <c r="H37" s="19"/>
      <c r="I37" s="9">
        <f>April!I37+H37</f>
        <v>0</v>
      </c>
    </row>
    <row r="38" spans="1:9" s="5" customFormat="1" ht="18" customHeight="1">
      <c r="A38" s="9" t="s">
        <v>40</v>
      </c>
      <c r="B38" s="13">
        <f>82+181+60+537+24+83+118+190+49+13+228+101+77+65+44+64+103+379+185+54+264+75+62+104+156+115+80+157+150+571+80+76+301+73+15+81+87+4</f>
        <v>5088</v>
      </c>
      <c r="C38" s="9">
        <f>April!C38+B38</f>
        <v>52657</v>
      </c>
      <c r="D38" s="15">
        <f>18+10+17+14+50</f>
        <v>109</v>
      </c>
      <c r="E38" s="9">
        <f>April!E38+D38</f>
        <v>448</v>
      </c>
      <c r="F38" s="17">
        <f>3+1+40</f>
        <v>44</v>
      </c>
      <c r="G38" s="9">
        <f>April!G38+F38</f>
        <v>110</v>
      </c>
      <c r="H38" s="19"/>
      <c r="I38" s="9">
        <f>April!I38+H38</f>
        <v>0</v>
      </c>
    </row>
    <row r="39" spans="1:9" s="5" customFormat="1" ht="18" customHeight="1">
      <c r="A39" s="9" t="s">
        <v>41</v>
      </c>
      <c r="B39" s="13"/>
      <c r="C39" s="9">
        <f>April!C39+B39</f>
        <v>0</v>
      </c>
      <c r="D39" s="15">
        <f>34</f>
        <v>34</v>
      </c>
      <c r="E39" s="9">
        <f>April!E39+D39</f>
        <v>35</v>
      </c>
      <c r="F39" s="17"/>
      <c r="G39" s="9">
        <f>April!G39+F39</f>
        <v>0</v>
      </c>
      <c r="H39" s="19"/>
      <c r="I39" s="9">
        <f>April!I39+H39</f>
        <v>0</v>
      </c>
    </row>
    <row r="40" spans="1:9" s="5" customFormat="1" ht="18" customHeight="1">
      <c r="A40" s="9" t="s">
        <v>42</v>
      </c>
      <c r="B40" s="13">
        <f>174+49+142+130+63+179+86+100+106+298+62</f>
        <v>1389</v>
      </c>
      <c r="C40" s="9">
        <f>April!C40+B40</f>
        <v>38848</v>
      </c>
      <c r="D40" s="15">
        <f>1+1+2+1+11+35+35+7+2</f>
        <v>95</v>
      </c>
      <c r="E40" s="9">
        <f>April!E40+D40</f>
        <v>378</v>
      </c>
      <c r="F40" s="17"/>
      <c r="G40" s="9">
        <f>April!G40+F40</f>
        <v>8</v>
      </c>
      <c r="H40" s="19"/>
      <c r="I40" s="9">
        <f>April!I40+H40</f>
        <v>0</v>
      </c>
    </row>
    <row r="41" spans="1:9" s="5" customFormat="1" ht="18" customHeight="1">
      <c r="A41" s="9" t="s">
        <v>43</v>
      </c>
      <c r="B41" s="13">
        <f>34+15+53+56</f>
        <v>158</v>
      </c>
      <c r="C41" s="9">
        <f>April!C41+B41</f>
        <v>573</v>
      </c>
      <c r="D41" s="15"/>
      <c r="E41" s="9">
        <f>April!E41+D41</f>
        <v>0</v>
      </c>
      <c r="F41" s="17"/>
      <c r="G41" s="9">
        <f>April!G41+F41</f>
        <v>1</v>
      </c>
      <c r="H41" s="19"/>
      <c r="I41" s="9">
        <f>April!I41+H41</f>
        <v>0</v>
      </c>
    </row>
    <row r="42" spans="1:9" s="5" customFormat="1" ht="18" customHeight="1">
      <c r="A42" s="9" t="s">
        <v>44</v>
      </c>
      <c r="B42" s="13">
        <f>77</f>
        <v>77</v>
      </c>
      <c r="C42" s="9">
        <f>April!C42+B42</f>
        <v>398</v>
      </c>
      <c r="D42" s="15"/>
      <c r="E42" s="9">
        <f>April!E42+D42</f>
        <v>188</v>
      </c>
      <c r="F42" s="17">
        <f>325+1+1+11</f>
        <v>338</v>
      </c>
      <c r="G42" s="9">
        <f>April!G42+F42</f>
        <v>825</v>
      </c>
      <c r="H42" s="19"/>
      <c r="I42" s="9">
        <f>April!I42+H42</f>
        <v>0</v>
      </c>
    </row>
    <row r="43" spans="1:9" s="5" customFormat="1" ht="18" customHeight="1">
      <c r="A43" s="9" t="s">
        <v>45</v>
      </c>
      <c r="B43" s="13"/>
      <c r="C43" s="9">
        <f>April!C43+B43</f>
        <v>0</v>
      </c>
      <c r="D43" s="15"/>
      <c r="E43" s="9">
        <f>April!E43+D43</f>
        <v>0</v>
      </c>
      <c r="F43" s="17"/>
      <c r="G43" s="9">
        <f>April!G43+F43</f>
        <v>0</v>
      </c>
      <c r="H43" s="19"/>
      <c r="I43" s="9">
        <f>April!I43+H43</f>
        <v>0</v>
      </c>
    </row>
    <row r="44" spans="1:9" s="5" customFormat="1" ht="18" customHeight="1">
      <c r="A44" s="9" t="s">
        <v>46</v>
      </c>
      <c r="B44" s="13"/>
      <c r="C44" s="9">
        <f>April!C44+B44</f>
        <v>1061</v>
      </c>
      <c r="D44" s="15"/>
      <c r="E44" s="9">
        <f>April!E44+D44</f>
        <v>0</v>
      </c>
      <c r="F44" s="17"/>
      <c r="G44" s="9">
        <f>April!G44+F44</f>
        <v>0</v>
      </c>
      <c r="H44" s="19"/>
      <c r="I44" s="9">
        <f>April!I44+H44</f>
        <v>0</v>
      </c>
    </row>
    <row r="45" spans="1:9" s="5" customFormat="1" ht="18" customHeight="1">
      <c r="A45" s="9" t="s">
        <v>47</v>
      </c>
      <c r="B45" s="13">
        <f>23+108+103+210+48+159+93+107+19+5+63+69+66+66+241+68+130+107+272+48+38+55+13+77+22+57+143+26+118+3+208+78+52+150+126+245+82+94+75+74+82+72+72+77+72+70+27+73+31+31+47+177+469+6+66+222+77+80+38+86+16+36+205+32+34+255+188+136+103+180+129+154+55+33+118+82+19+88+85+126+10+75+60+66+165+63+132+138+72+28+158+50+569+143+62+152+14+284+70+91+71+39+156+64+297+223+70+64+62+380+312+83+59+145+92+187+127+84+183+329+104+64+38+49+18+21+196+53+199+116+120+108+127+87+290+615+66+90+222+108+67+400+432+253+67+56+66+67+55+67+63+21+12+112+109+36+6+6+27+32+252+94+25+62+55+147+17+87+95+11+18+52+15+68+23+329+96+30+58+139+17+47+29+125+85+13+56+63+73+15+18+19+23+25+80+99+3+35+37+52+21+75+68+77+69+76+129+85+73+128+138+4+26+12+52+11+10+23+16+57+35+26+2+26+159+9+142+15+293+62+115+119+126+118+67+51+41+122+99+106+210+16+91+24+77+6+120+29+5+278+139+186+78+88+167+3085</f>
        <v>27833</v>
      </c>
      <c r="C45" s="9">
        <f>April!C45+B45</f>
        <v>145832</v>
      </c>
      <c r="D45" s="15">
        <f>4+3+3+1+24+50+3+66+3+37+1+3+48+2+338+2+66+5+3+4+2+28+82+8+14+30+1215+8+5+1+20+1+32+23+15+1+28+30+14+12+6+16+1+2+3+74+160+37+2+18+18+29+31+2+1+12+34+15+6+102+1+3+80+104+80+10+2+151</f>
        <v>3235</v>
      </c>
      <c r="E45" s="9">
        <f>April!E45+D45</f>
        <v>7823</v>
      </c>
      <c r="F45" s="17">
        <f>53+131</f>
        <v>184</v>
      </c>
      <c r="G45" s="9">
        <f>April!G45+F45</f>
        <v>331</v>
      </c>
      <c r="H45" s="19"/>
      <c r="I45" s="9">
        <f>April!I45+H45</f>
        <v>0</v>
      </c>
    </row>
    <row r="46" spans="1:9" s="5" customFormat="1" ht="18" customHeight="1">
      <c r="A46" s="9" t="s">
        <v>48</v>
      </c>
      <c r="B46" s="13">
        <f>70+60+182+54+53+72+14+22+102+118+49+55+57+45+35+154+73+62</f>
        <v>1277</v>
      </c>
      <c r="C46" s="9">
        <f>April!C46+B46</f>
        <v>6455</v>
      </c>
      <c r="D46" s="15"/>
      <c r="E46" s="9">
        <f>April!E46+D46</f>
        <v>145</v>
      </c>
      <c r="F46" s="17"/>
      <c r="G46" s="9">
        <f>April!G46+F46</f>
        <v>3</v>
      </c>
      <c r="H46" s="19"/>
      <c r="I46" s="9">
        <f>April!I46+H46</f>
        <v>0</v>
      </c>
    </row>
    <row r="47" spans="1:9" s="5" customFormat="1" ht="18" customHeight="1">
      <c r="A47" s="9" t="s">
        <v>49</v>
      </c>
      <c r="B47" s="13">
        <f>200+120+110+110+165+165</f>
        <v>870</v>
      </c>
      <c r="C47" s="9">
        <f>April!C47+B47</f>
        <v>2862</v>
      </c>
      <c r="D47" s="15">
        <f>7+8</f>
        <v>15</v>
      </c>
      <c r="E47" s="9">
        <f>April!E47+D47</f>
        <v>798</v>
      </c>
      <c r="F47" s="17">
        <v>22</v>
      </c>
      <c r="G47" s="9">
        <f>April!G47+F47</f>
        <v>380</v>
      </c>
      <c r="H47" s="19"/>
      <c r="I47" s="9">
        <f>April!I47+H47</f>
        <v>0</v>
      </c>
    </row>
    <row r="48" spans="1:9" s="5" customFormat="1" ht="18" customHeight="1">
      <c r="A48" s="9" t="s">
        <v>50</v>
      </c>
      <c r="B48" s="13"/>
      <c r="C48" s="9">
        <f>April!C48+B48</f>
        <v>133</v>
      </c>
      <c r="D48" s="15">
        <f>5</f>
        <v>5</v>
      </c>
      <c r="E48" s="9">
        <f>April!E48+D48</f>
        <v>8</v>
      </c>
      <c r="F48" s="17"/>
      <c r="G48" s="9">
        <f>April!G48+F48</f>
        <v>0</v>
      </c>
      <c r="H48" s="19"/>
      <c r="I48" s="9">
        <f>April!I48+H48</f>
        <v>0</v>
      </c>
    </row>
    <row r="49" spans="1:9" s="5" customFormat="1" ht="18" customHeight="1">
      <c r="A49" s="9" t="s">
        <v>51</v>
      </c>
      <c r="B49" s="13"/>
      <c r="C49" s="9">
        <f>April!C49+B49</f>
        <v>0</v>
      </c>
      <c r="D49" s="15"/>
      <c r="E49" s="9">
        <f>April!E49+D49</f>
        <v>0</v>
      </c>
      <c r="F49" s="17"/>
      <c r="G49" s="9">
        <f>April!G49+F49</f>
        <v>0</v>
      </c>
      <c r="H49" s="19"/>
      <c r="I49" s="9">
        <f>April!I49+H49</f>
        <v>0</v>
      </c>
    </row>
    <row r="50" spans="1:9" s="5" customFormat="1" ht="18" customHeight="1">
      <c r="A50" s="9" t="s">
        <v>52</v>
      </c>
      <c r="B50" s="13">
        <f>61+63+57+74+60+65+80+116+480+50+112+164+205</f>
        <v>1587</v>
      </c>
      <c r="C50" s="9">
        <f>April!C50+B50</f>
        <v>8055</v>
      </c>
      <c r="D50" s="15"/>
      <c r="E50" s="9">
        <f>April!E50+D50</f>
        <v>0</v>
      </c>
      <c r="F50" s="17"/>
      <c r="G50" s="9">
        <f>April!G50+F50</f>
        <v>1</v>
      </c>
      <c r="H50" s="19"/>
      <c r="I50" s="9">
        <f>April!I50+H50</f>
        <v>0</v>
      </c>
    </row>
    <row r="51" spans="1:9" s="5" customFormat="1" ht="18" customHeight="1">
      <c r="A51" s="9" t="s">
        <v>53</v>
      </c>
      <c r="B51" s="13"/>
      <c r="C51" s="9">
        <f>April!C51+B51</f>
        <v>437</v>
      </c>
      <c r="D51" s="15"/>
      <c r="E51" s="9">
        <f>April!E51+D51</f>
        <v>4</v>
      </c>
      <c r="F51" s="17">
        <f>1</f>
        <v>1</v>
      </c>
      <c r="G51" s="9">
        <f>April!G51+F51</f>
        <v>1</v>
      </c>
      <c r="H51" s="19"/>
      <c r="I51" s="9">
        <f>April!I51+H51</f>
        <v>0</v>
      </c>
    </row>
    <row r="52" spans="1:9" s="5" customFormat="1" ht="18" customHeight="1">
      <c r="A52" s="9" t="s">
        <v>54</v>
      </c>
      <c r="B52" s="13">
        <f>73+55+48+13+68+63+67</f>
        <v>387</v>
      </c>
      <c r="C52" s="9">
        <f>April!C52+B52</f>
        <v>1330</v>
      </c>
      <c r="D52" s="15"/>
      <c r="E52" s="9">
        <f>April!E52+D52</f>
        <v>0</v>
      </c>
      <c r="F52" s="17"/>
      <c r="G52" s="9">
        <f>April!G52+F52</f>
        <v>0</v>
      </c>
      <c r="H52" s="19"/>
      <c r="I52" s="9">
        <f>April!I52+H52</f>
        <v>0</v>
      </c>
    </row>
    <row r="53" spans="1:9" s="5" customFormat="1" ht="18" customHeight="1">
      <c r="A53" s="9" t="s">
        <v>55</v>
      </c>
      <c r="B53" s="13">
        <f>37+96+45+97+17+24+60+50+18+28+77+6+154+85+63+48+6+48+11+3+38+30+15+54+20+23+72+12+16+53+70+50+233+38+24+160+44+61+55+178+76+144+101+6+64+11+15+4+42+57+24+28+72+18+31+40+85+50+120+165+85+61+71+52+4+45+301+37+41+98+33+195+15+195+26+135</f>
        <v>4766</v>
      </c>
      <c r="C53" s="9">
        <f>April!C53+B53</f>
        <v>20662</v>
      </c>
      <c r="D53" s="15">
        <f>4+8+4+10+6+5+6+8+12+7+6+3</f>
        <v>79</v>
      </c>
      <c r="E53" s="9">
        <f>April!E53+D53</f>
        <v>528</v>
      </c>
      <c r="F53" s="17">
        <f>1+2+3+88+15+30+8+4+68+46+27+9+22+23+4+39+26+34+6+15+39+2</f>
        <v>511</v>
      </c>
      <c r="G53" s="9">
        <f>April!G53+F53</f>
        <v>3057</v>
      </c>
      <c r="H53" s="19"/>
      <c r="I53" s="9">
        <f>April!I53+H53</f>
        <v>0</v>
      </c>
    </row>
    <row r="54" spans="1:9" s="5" customFormat="1" ht="18" customHeight="1" thickBot="1">
      <c r="A54" s="10" t="s">
        <v>56</v>
      </c>
      <c r="B54" s="13">
        <f>292+57+157</f>
        <v>506</v>
      </c>
      <c r="C54" s="9">
        <f>April!C54+B54</f>
        <v>3231</v>
      </c>
      <c r="D54" s="16">
        <f>95+51+2+20+2+1+2+43+87</f>
        <v>303</v>
      </c>
      <c r="E54" s="9">
        <f>April!E54+D54</f>
        <v>1329</v>
      </c>
      <c r="F54" s="17"/>
      <c r="G54" s="9">
        <f>April!G54+F54</f>
        <v>0</v>
      </c>
      <c r="H54" s="19"/>
      <c r="I54" s="9">
        <f>April!I54+H54</f>
        <v>0</v>
      </c>
    </row>
    <row r="55" spans="1:9" s="5" customFormat="1" ht="18" customHeight="1" thickBot="1" thickTop="1">
      <c r="A55" s="11" t="s">
        <v>57</v>
      </c>
      <c r="B55" s="11">
        <f>SUM(B5:B54)</f>
        <v>93885</v>
      </c>
      <c r="C55" s="11"/>
      <c r="D55" s="11">
        <f>SUM(D5:D54)</f>
        <v>8921</v>
      </c>
      <c r="E55" s="11"/>
      <c r="F55" s="11">
        <f>SUM(F5:F54)</f>
        <v>3039</v>
      </c>
      <c r="G55" s="11"/>
      <c r="H55" s="11">
        <f>SUM(H5:H54)</f>
        <v>15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April!C57+B55</f>
        <v>491091</v>
      </c>
      <c r="D57" s="11"/>
      <c r="E57" s="11">
        <f>April!E57+D55</f>
        <v>33050</v>
      </c>
      <c r="F57" s="11"/>
      <c r="G57" s="11">
        <f>April!G57+F55</f>
        <v>18346</v>
      </c>
      <c r="H57" s="11"/>
      <c r="I57" s="11">
        <f>April!I57+H55</f>
        <v>81</v>
      </c>
    </row>
    <row r="58" s="5" customFormat="1" ht="18" customHeight="1" thickTop="1"/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300</v>
      </c>
      <c r="F60" s="5">
        <v>1477</v>
      </c>
    </row>
    <row r="61" s="5" customFormat="1" ht="18" customHeight="1"/>
    <row r="62" spans="1:7" s="4" customFormat="1" ht="18" customHeight="1">
      <c r="A62" s="4" t="s">
        <v>60</v>
      </c>
      <c r="E62" s="4">
        <f>April!E62+D60</f>
        <v>15869</v>
      </c>
      <c r="G62" s="4">
        <f>April!G62+F60</f>
        <v>2649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="115" zoomScaleNormal="115"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4" sqref="A5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66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  <c r="N3" s="8"/>
      <c r="O3" s="8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>
        <f>67+140</f>
        <v>207</v>
      </c>
      <c r="C5" s="9">
        <f>May!C5+B5</f>
        <v>334</v>
      </c>
      <c r="D5" s="15">
        <v>1</v>
      </c>
      <c r="E5" s="9">
        <f>May!E5+D5</f>
        <v>22</v>
      </c>
      <c r="F5" s="17"/>
      <c r="G5" s="9">
        <f>May!G5+F5</f>
        <v>0</v>
      </c>
      <c r="H5" s="19"/>
      <c r="I5" s="9">
        <f>May!I5+H5</f>
        <v>0</v>
      </c>
    </row>
    <row r="6" spans="1:9" s="5" customFormat="1" ht="18" customHeight="1">
      <c r="A6" s="9" t="s">
        <v>8</v>
      </c>
      <c r="B6" s="13"/>
      <c r="C6" s="9">
        <f>May!C6+B6</f>
        <v>0</v>
      </c>
      <c r="D6" s="15"/>
      <c r="E6" s="9">
        <f>May!E6+D6</f>
        <v>0</v>
      </c>
      <c r="F6" s="17"/>
      <c r="G6" s="9">
        <f>May!G6+F6</f>
        <v>0</v>
      </c>
      <c r="H6" s="19"/>
      <c r="I6" s="9">
        <f>May!I6+H6</f>
        <v>0</v>
      </c>
    </row>
    <row r="7" spans="1:9" s="5" customFormat="1" ht="18" customHeight="1">
      <c r="A7" s="9" t="s">
        <v>9</v>
      </c>
      <c r="B7" s="13"/>
      <c r="C7" s="9">
        <f>May!C7+B7</f>
        <v>181</v>
      </c>
      <c r="D7" s="15"/>
      <c r="E7" s="9">
        <f>May!E7+D7</f>
        <v>292</v>
      </c>
      <c r="F7" s="17"/>
      <c r="G7" s="9">
        <f>May!G7+F7</f>
        <v>1283</v>
      </c>
      <c r="H7" s="19"/>
      <c r="I7" s="9">
        <f>May!I7+H7</f>
        <v>0</v>
      </c>
    </row>
    <row r="8" spans="1:9" s="5" customFormat="1" ht="18" customHeight="1">
      <c r="A8" s="9" t="s">
        <v>10</v>
      </c>
      <c r="B8" s="13">
        <f>97+69+56+56+97+293+55+65+65</f>
        <v>853</v>
      </c>
      <c r="C8" s="9">
        <f>May!C8+B8</f>
        <v>2346</v>
      </c>
      <c r="D8" s="15">
        <f>1+1</f>
        <v>2</v>
      </c>
      <c r="E8" s="9">
        <f>May!E8+D8</f>
        <v>25</v>
      </c>
      <c r="F8" s="17"/>
      <c r="G8" s="9">
        <f>May!G8+F8</f>
        <v>0</v>
      </c>
      <c r="H8" s="19"/>
      <c r="I8" s="9">
        <f>May!I8+H8</f>
        <v>15</v>
      </c>
    </row>
    <row r="9" spans="1:9" s="5" customFormat="1" ht="18" customHeight="1">
      <c r="A9" s="9" t="s">
        <v>11</v>
      </c>
      <c r="B9" s="13">
        <f>28+120+60+91+85+80+60+35+200+202</f>
        <v>961</v>
      </c>
      <c r="C9" s="9">
        <f>May!C9+B9</f>
        <v>2351</v>
      </c>
      <c r="D9" s="15">
        <f>13+3</f>
        <v>16</v>
      </c>
      <c r="E9" s="9">
        <f>May!E9+D9</f>
        <v>25</v>
      </c>
      <c r="F9" s="17">
        <f>1</f>
        <v>1</v>
      </c>
      <c r="G9" s="9">
        <f>May!G9+F9</f>
        <v>3497</v>
      </c>
      <c r="H9" s="19"/>
      <c r="I9" s="9">
        <f>May!I9+H9</f>
        <v>0</v>
      </c>
    </row>
    <row r="10" spans="1:9" s="5" customFormat="1" ht="18" customHeight="1">
      <c r="A10" s="9" t="s">
        <v>12</v>
      </c>
      <c r="B10" s="13"/>
      <c r="C10" s="9">
        <f>May!C10+B10</f>
        <v>7678</v>
      </c>
      <c r="D10" s="15"/>
      <c r="E10" s="9">
        <f>May!E10+D10</f>
        <v>27</v>
      </c>
      <c r="F10" s="17">
        <v>1</v>
      </c>
      <c r="G10" s="9">
        <f>May!G10+F10</f>
        <v>14</v>
      </c>
      <c r="H10" s="19"/>
      <c r="I10" s="9">
        <f>May!I10+H10</f>
        <v>0</v>
      </c>
    </row>
    <row r="11" spans="1:9" s="5" customFormat="1" ht="18" customHeight="1">
      <c r="A11" s="9" t="s">
        <v>13</v>
      </c>
      <c r="B11" s="13">
        <f>144+160+98+141</f>
        <v>543</v>
      </c>
      <c r="C11" s="9">
        <f>May!C11+B11</f>
        <v>1049</v>
      </c>
      <c r="D11" s="15">
        <f>3+37+2+1+2+2+39+39+1</f>
        <v>126</v>
      </c>
      <c r="E11" s="9">
        <f>May!E11+D11</f>
        <v>730</v>
      </c>
      <c r="F11" s="17"/>
      <c r="G11" s="9">
        <f>May!G11+F11</f>
        <v>227</v>
      </c>
      <c r="H11" s="19"/>
      <c r="I11" s="9">
        <f>May!I11+H11</f>
        <v>0</v>
      </c>
    </row>
    <row r="12" spans="1:9" s="5" customFormat="1" ht="18" customHeight="1">
      <c r="A12" s="9" t="s">
        <v>14</v>
      </c>
      <c r="B12" s="13"/>
      <c r="C12" s="9">
        <f>May!C12+B12</f>
        <v>0</v>
      </c>
      <c r="D12" s="15"/>
      <c r="E12" s="9">
        <f>May!E12+D12</f>
        <v>0</v>
      </c>
      <c r="F12" s="17"/>
      <c r="G12" s="9">
        <f>May!G12+F12</f>
        <v>0</v>
      </c>
      <c r="H12" s="19"/>
      <c r="I12" s="9">
        <f>May!I12+H12</f>
        <v>0</v>
      </c>
    </row>
    <row r="13" spans="1:9" s="5" customFormat="1" ht="18" customHeight="1">
      <c r="A13" s="9" t="s">
        <v>15</v>
      </c>
      <c r="B13" s="13"/>
      <c r="C13" s="9">
        <f>May!C13+B13</f>
        <v>0</v>
      </c>
      <c r="D13" s="15"/>
      <c r="E13" s="9">
        <f>May!E13+D13</f>
        <v>0</v>
      </c>
      <c r="F13" s="17"/>
      <c r="G13" s="9">
        <f>May!G13+F13</f>
        <v>0</v>
      </c>
      <c r="H13" s="19"/>
      <c r="I13" s="9">
        <f>May!I13+H13</f>
        <v>0</v>
      </c>
    </row>
    <row r="14" spans="1:9" s="5" customFormat="1" ht="18" customHeight="1">
      <c r="A14" s="9" t="s">
        <v>16</v>
      </c>
      <c r="B14" s="13"/>
      <c r="C14" s="9">
        <f>May!C14+B14</f>
        <v>194</v>
      </c>
      <c r="D14" s="15"/>
      <c r="E14" s="9">
        <f>May!E14+D14</f>
        <v>0</v>
      </c>
      <c r="F14" s="17"/>
      <c r="G14" s="9">
        <f>May!G14+F14</f>
        <v>0</v>
      </c>
      <c r="H14" s="19"/>
      <c r="I14" s="9">
        <f>May!I14+H14</f>
        <v>0</v>
      </c>
    </row>
    <row r="15" spans="1:9" s="5" customFormat="1" ht="18" customHeight="1">
      <c r="A15" s="9" t="s">
        <v>17</v>
      </c>
      <c r="B15" s="13">
        <f>87+103+75</f>
        <v>265</v>
      </c>
      <c r="C15" s="9">
        <f>May!C15+B15</f>
        <v>969</v>
      </c>
      <c r="D15" s="15">
        <f>5+4+3</f>
        <v>12</v>
      </c>
      <c r="E15" s="9">
        <f>May!E15+D15</f>
        <v>67</v>
      </c>
      <c r="F15" s="17">
        <f>1</f>
        <v>1</v>
      </c>
      <c r="G15" s="9">
        <f>May!G15+F15</f>
        <v>1</v>
      </c>
      <c r="H15" s="19"/>
      <c r="I15" s="9">
        <f>May!I15+H15</f>
        <v>0</v>
      </c>
    </row>
    <row r="16" spans="1:9" s="5" customFormat="1" ht="18" customHeight="1">
      <c r="A16" s="9" t="s">
        <v>18</v>
      </c>
      <c r="B16" s="13"/>
      <c r="C16" s="9">
        <f>May!C16+B16</f>
        <v>0</v>
      </c>
      <c r="D16" s="15"/>
      <c r="E16" s="9">
        <f>May!E16+D16</f>
        <v>0</v>
      </c>
      <c r="F16" s="17"/>
      <c r="G16" s="9">
        <f>May!G16+F16</f>
        <v>0</v>
      </c>
      <c r="H16" s="19"/>
      <c r="I16" s="9">
        <f>May!I16+H16</f>
        <v>0</v>
      </c>
    </row>
    <row r="17" spans="1:9" s="5" customFormat="1" ht="18" customHeight="1">
      <c r="A17" s="9" t="s">
        <v>19</v>
      </c>
      <c r="B17" s="13"/>
      <c r="C17" s="9">
        <f>May!C17+B17</f>
        <v>1047</v>
      </c>
      <c r="D17" s="15"/>
      <c r="E17" s="9">
        <f>May!E17+D17</f>
        <v>57</v>
      </c>
      <c r="F17" s="17"/>
      <c r="G17" s="9">
        <f>May!G17+F17</f>
        <v>715</v>
      </c>
      <c r="H17" s="19"/>
      <c r="I17" s="9">
        <f>May!I17+H17</f>
        <v>0</v>
      </c>
    </row>
    <row r="18" spans="1:9" s="5" customFormat="1" ht="18" customHeight="1">
      <c r="A18" s="9" t="s">
        <v>20</v>
      </c>
      <c r="B18" s="13"/>
      <c r="C18" s="9">
        <f>May!C18+B18</f>
        <v>2120</v>
      </c>
      <c r="D18" s="15">
        <f>6+1+3+5+2+1+7</f>
        <v>25</v>
      </c>
      <c r="E18" s="9">
        <f>May!E18+D18</f>
        <v>1151</v>
      </c>
      <c r="F18" s="17">
        <f>2+4+14+2+2</f>
        <v>24</v>
      </c>
      <c r="G18" s="9">
        <f>May!G18+F18</f>
        <v>210</v>
      </c>
      <c r="H18" s="19"/>
      <c r="I18" s="9">
        <f>May!I18+H18</f>
        <v>0</v>
      </c>
    </row>
    <row r="19" spans="1:9" s="5" customFormat="1" ht="18" customHeight="1">
      <c r="A19" s="9" t="s">
        <v>21</v>
      </c>
      <c r="B19" s="13">
        <f>68+62+1501</f>
        <v>1631</v>
      </c>
      <c r="C19" s="9">
        <f>May!C19+B19</f>
        <v>10076</v>
      </c>
      <c r="D19" s="15">
        <f>7+12</f>
        <v>19</v>
      </c>
      <c r="E19" s="9">
        <f>May!E19+D19</f>
        <v>57</v>
      </c>
      <c r="F19" s="17"/>
      <c r="G19" s="9">
        <f>May!G19+F19</f>
        <v>797</v>
      </c>
      <c r="H19" s="19"/>
      <c r="I19" s="9">
        <f>May!I19+H19</f>
        <v>0</v>
      </c>
    </row>
    <row r="20" spans="1:9" s="5" customFormat="1" ht="18" customHeight="1">
      <c r="A20" s="9" t="s">
        <v>22</v>
      </c>
      <c r="B20" s="13">
        <f>209+64+169+69+69+350+63+110+120</f>
        <v>1223</v>
      </c>
      <c r="C20" s="9">
        <f>May!C20+B20</f>
        <v>11733</v>
      </c>
      <c r="D20" s="15">
        <f>1+8+3+1+60+2+1+25+3</f>
        <v>104</v>
      </c>
      <c r="E20" s="9">
        <f>May!E20+D20</f>
        <v>911</v>
      </c>
      <c r="F20" s="17">
        <f>8+43</f>
        <v>51</v>
      </c>
      <c r="G20" s="9">
        <f>May!G20+F20</f>
        <v>1475</v>
      </c>
      <c r="H20" s="19"/>
      <c r="I20" s="9">
        <f>May!I20+H20</f>
        <v>0</v>
      </c>
    </row>
    <row r="21" spans="1:9" s="5" customFormat="1" ht="18" customHeight="1">
      <c r="A21" s="9" t="s">
        <v>23</v>
      </c>
      <c r="B21" s="13">
        <f>120+53+100+142+68+252+56+63+59+198+59+181+56+49+67+78+69+62+108+85+82+120+85+68+46+70+59+86+93+66+54+58+120+58+120+88+66+510+111+83+109+59+63+60+65+120+120+83+61+78+67+118+104+55+75+153+24+110+60+58+64+56+61+37+16+164+60</f>
        <v>6068</v>
      </c>
      <c r="C21" s="9">
        <f>May!C21+B21</f>
        <v>38733</v>
      </c>
      <c r="D21" s="15">
        <f>1</f>
        <v>1</v>
      </c>
      <c r="E21" s="9">
        <f>May!E21+D21</f>
        <v>16</v>
      </c>
      <c r="F21" s="17"/>
      <c r="G21" s="9">
        <f>May!G21+F21</f>
        <v>0</v>
      </c>
      <c r="H21" s="19"/>
      <c r="I21" s="9">
        <f>May!I21+H21</f>
        <v>0</v>
      </c>
    </row>
    <row r="22" spans="1:9" s="5" customFormat="1" ht="18" customHeight="1">
      <c r="A22" s="9" t="s">
        <v>24</v>
      </c>
      <c r="B22" s="13"/>
      <c r="C22" s="9">
        <f>May!C22+B22</f>
        <v>0</v>
      </c>
      <c r="D22" s="15"/>
      <c r="E22" s="9">
        <f>May!E22+D22</f>
        <v>0</v>
      </c>
      <c r="F22" s="17"/>
      <c r="G22" s="9">
        <f>May!G22+F22</f>
        <v>0</v>
      </c>
      <c r="H22" s="19"/>
      <c r="I22" s="9">
        <f>May!I22+H22</f>
        <v>0</v>
      </c>
    </row>
    <row r="23" spans="1:9" s="5" customFormat="1" ht="18" customHeight="1">
      <c r="A23" s="9" t="s">
        <v>25</v>
      </c>
      <c r="B23" s="13"/>
      <c r="C23" s="9">
        <f>May!C23+B23</f>
        <v>0</v>
      </c>
      <c r="D23" s="15"/>
      <c r="E23" s="9">
        <f>May!E23+D23</f>
        <v>0</v>
      </c>
      <c r="F23" s="17"/>
      <c r="G23" s="9">
        <f>May!G23+F23</f>
        <v>3</v>
      </c>
      <c r="H23" s="19"/>
      <c r="I23" s="9">
        <f>May!I23+H23</f>
        <v>0</v>
      </c>
    </row>
    <row r="24" spans="1:9" s="5" customFormat="1" ht="18" customHeight="1">
      <c r="A24" s="9" t="s">
        <v>26</v>
      </c>
      <c r="B24" s="13"/>
      <c r="C24" s="9">
        <f>May!C24+B24</f>
        <v>0</v>
      </c>
      <c r="D24" s="15"/>
      <c r="E24" s="9">
        <f>May!E24+D24</f>
        <v>1</v>
      </c>
      <c r="F24" s="17"/>
      <c r="G24" s="9">
        <f>May!G24+F24</f>
        <v>4</v>
      </c>
      <c r="H24" s="19"/>
      <c r="I24" s="9">
        <f>May!I24+H24</f>
        <v>0</v>
      </c>
    </row>
    <row r="25" spans="1:9" s="5" customFormat="1" ht="18" customHeight="1">
      <c r="A25" s="9" t="s">
        <v>27</v>
      </c>
      <c r="B25" s="13"/>
      <c r="C25" s="9">
        <f>May!C25+B25</f>
        <v>0</v>
      </c>
      <c r="D25" s="15"/>
      <c r="E25" s="9">
        <f>May!E25+D25</f>
        <v>0</v>
      </c>
      <c r="F25" s="17"/>
      <c r="G25" s="9">
        <f>May!G25+F25</f>
        <v>11</v>
      </c>
      <c r="H25" s="19"/>
      <c r="I25" s="9">
        <f>May!I25+H25</f>
        <v>0</v>
      </c>
    </row>
    <row r="26" spans="1:9" s="5" customFormat="1" ht="18" customHeight="1">
      <c r="A26" s="9" t="s">
        <v>28</v>
      </c>
      <c r="B26" s="13"/>
      <c r="C26" s="9">
        <f>May!C26+B26</f>
        <v>1179</v>
      </c>
      <c r="D26" s="15">
        <f>3+9+5</f>
        <v>17</v>
      </c>
      <c r="E26" s="9">
        <f>May!E26+D26</f>
        <v>159</v>
      </c>
      <c r="F26" s="17"/>
      <c r="G26" s="9">
        <f>May!G26+F26</f>
        <v>158</v>
      </c>
      <c r="H26" s="19"/>
      <c r="I26" s="9">
        <f>May!I26+H26</f>
        <v>0</v>
      </c>
    </row>
    <row r="27" spans="1:9" s="5" customFormat="1" ht="18" customHeight="1">
      <c r="A27" s="9" t="s">
        <v>29</v>
      </c>
      <c r="B27" s="13">
        <f>60+133+32+82+131+130+75+39+37+17+96+42+7+17+7+17+2+3+25+7+14+9+20+24+68+12+10+13+19+42+24+5+12+15+7+22+7+30+7+13+24+4+14+18+6+4+10+19+15+17+7+117+8+8+12+12+21+17+8+24+6+12+16+16+11+24</f>
        <v>1782</v>
      </c>
      <c r="C27" s="9">
        <f>May!C27+B27</f>
        <v>15457</v>
      </c>
      <c r="D27" s="15">
        <f>6+25+12+1+3+2+13+4+2+2+1+6+6+3</f>
        <v>86</v>
      </c>
      <c r="E27" s="9">
        <f>May!E27+D27</f>
        <v>2348</v>
      </c>
      <c r="F27" s="17">
        <f>8+14+11+9+12+5+6+5+6+89</f>
        <v>165</v>
      </c>
      <c r="G27" s="9">
        <f>May!G27+F27</f>
        <v>3629</v>
      </c>
      <c r="H27" s="19"/>
      <c r="I27" s="9">
        <f>May!I27+H27</f>
        <v>0</v>
      </c>
    </row>
    <row r="28" spans="1:9" s="5" customFormat="1" ht="18" customHeight="1">
      <c r="A28" s="9" t="s">
        <v>30</v>
      </c>
      <c r="B28" s="13">
        <f>70+70+220</f>
        <v>360</v>
      </c>
      <c r="C28" s="9">
        <f>May!C28+B28</f>
        <v>1254</v>
      </c>
      <c r="D28" s="15"/>
      <c r="E28" s="9">
        <f>May!E28+D28</f>
        <v>5</v>
      </c>
      <c r="F28" s="17"/>
      <c r="G28" s="9">
        <f>May!G28+F28</f>
        <v>0</v>
      </c>
      <c r="H28" s="19"/>
      <c r="I28" s="9">
        <f>May!I28+H28</f>
        <v>0</v>
      </c>
    </row>
    <row r="29" spans="1:9" s="5" customFormat="1" ht="18" customHeight="1">
      <c r="A29" s="9" t="s">
        <v>31</v>
      </c>
      <c r="B29" s="13">
        <f>39+127+79+44+57+51+23+53+30+85+5+37+92+84+7+117+14+16+82+20+110+20+38+14+81+44+58+225+110+62+46+41+52+159+42+69+90+70+72+86+20+106+69+169+54+10+94+30+42+22+66+82+32+30+60+73+22+51+95+71+86+96+76+21+5+76+79+97+39+71+75+35+28+83+65+50+25+42+53+121+76+19+27+69+67+52+47+63+17+45+69+59+60+63+38+7+973+53+120+180+120+73+133+140+55+55+55+80+50+64+64+69+106+64+74+80+260+33+39+87+8+76+216+307+69+69+180+24+24+70+176+70+83+59+60+68+89+68+47+70+73+73</f>
        <v>10756</v>
      </c>
      <c r="C29" s="9">
        <f>May!C29+B29</f>
        <v>75083</v>
      </c>
      <c r="D29" s="15">
        <f>22+52+45+60+62+71+7+3+6+6+4+10+1+1+5+1+9</f>
        <v>365</v>
      </c>
      <c r="E29" s="9">
        <f>May!E29+D29</f>
        <v>2024</v>
      </c>
      <c r="F29" s="17"/>
      <c r="G29" s="9">
        <f>May!G29+F29</f>
        <v>171</v>
      </c>
      <c r="H29" s="19"/>
      <c r="I29" s="9">
        <f>May!I29+H29</f>
        <v>4</v>
      </c>
    </row>
    <row r="30" spans="1:9" s="5" customFormat="1" ht="18" customHeight="1">
      <c r="A30" s="9" t="s">
        <v>32</v>
      </c>
      <c r="B30" s="13">
        <f>10+32+28+11+3+14+19+15+37+29+310+81+285+44+275+6+18+245+7+5+200+12+228+208+30+42+80</f>
        <v>2274</v>
      </c>
      <c r="C30" s="9">
        <f>May!C30+B30</f>
        <v>30103</v>
      </c>
      <c r="D30" s="15">
        <f>158+99+11+110+52+24+4+38+1+1</f>
        <v>498</v>
      </c>
      <c r="E30" s="9">
        <f>May!E30+D30</f>
        <v>5171</v>
      </c>
      <c r="F30" s="17"/>
      <c r="G30" s="9">
        <f>May!G30+F30</f>
        <v>0</v>
      </c>
      <c r="H30" s="19"/>
      <c r="I30" s="9">
        <f>May!I30+H30</f>
        <v>0</v>
      </c>
    </row>
    <row r="31" spans="1:9" s="5" customFormat="1" ht="18" customHeight="1">
      <c r="A31" s="9" t="s">
        <v>33</v>
      </c>
      <c r="B31" s="13">
        <f>47+4+89+55+125+68+55+125+50+50+143+106+102+70+126+9+44+57+65+104+9+89+1+38+44+55+13+5+144+144+144+139+53+35+41+180+78+40+20+75+68+131+9+66+17+9+33+25+57</f>
        <v>3256</v>
      </c>
      <c r="C31" s="9">
        <f>82</f>
        <v>82</v>
      </c>
      <c r="D31" s="15">
        <f>70+668+52+54+40+96+90+70+43+68+44+7+80+64+3+24+61+68+70+72+50+40+1+40+47+30+1+14+23+38+6+3+17+5+410+88+80+2+42+68+66+38+18+20+2+400+2+4+30+13+1+27+3+4+4+2+1+65</f>
        <v>3449</v>
      </c>
      <c r="E31" s="9">
        <f>May!E31+D31</f>
        <v>12941</v>
      </c>
      <c r="F31" s="17">
        <f>43+172</f>
        <v>215</v>
      </c>
      <c r="G31" s="9">
        <f>May!G31+F31</f>
        <v>681</v>
      </c>
      <c r="H31" s="19"/>
      <c r="I31" s="9">
        <f>May!I31+H31</f>
        <v>62</v>
      </c>
    </row>
    <row r="32" spans="1:9" s="5" customFormat="1" ht="18" customHeight="1">
      <c r="A32" s="9" t="s">
        <v>34</v>
      </c>
      <c r="B32" s="13"/>
      <c r="C32" s="9">
        <f>May!C32+B32</f>
        <v>0</v>
      </c>
      <c r="D32" s="15"/>
      <c r="E32" s="9">
        <f>May!E32+D32</f>
        <v>0</v>
      </c>
      <c r="F32" s="17"/>
      <c r="G32" s="9">
        <f>May!G32+F32</f>
        <v>0</v>
      </c>
      <c r="H32" s="19"/>
      <c r="I32" s="9">
        <f>May!I32+H32</f>
        <v>0</v>
      </c>
    </row>
    <row r="33" spans="1:9" s="5" customFormat="1" ht="18" customHeight="1">
      <c r="A33" s="9" t="s">
        <v>35</v>
      </c>
      <c r="B33" s="13"/>
      <c r="C33" s="9">
        <f>May!C33+B33</f>
        <v>0</v>
      </c>
      <c r="D33" s="15"/>
      <c r="E33" s="9">
        <f>May!E33+D33</f>
        <v>0</v>
      </c>
      <c r="F33" s="17"/>
      <c r="G33" s="9">
        <f>May!G33+F33</f>
        <v>0</v>
      </c>
      <c r="H33" s="19"/>
      <c r="I33" s="9">
        <f>May!I33+H33</f>
        <v>0</v>
      </c>
    </row>
    <row r="34" spans="1:9" s="5" customFormat="1" ht="18" customHeight="1">
      <c r="A34" s="9" t="s">
        <v>36</v>
      </c>
      <c r="B34" s="13"/>
      <c r="C34" s="9">
        <f>May!C34+B34</f>
        <v>0</v>
      </c>
      <c r="D34" s="15"/>
      <c r="E34" s="9">
        <f>May!E34+D34</f>
        <v>0</v>
      </c>
      <c r="F34" s="17"/>
      <c r="G34" s="9">
        <f>May!G34+F34</f>
        <v>0</v>
      </c>
      <c r="H34" s="19"/>
      <c r="I34" s="9">
        <f>May!I34+H34</f>
        <v>0</v>
      </c>
    </row>
    <row r="35" spans="1:9" s="5" customFormat="1" ht="18" customHeight="1">
      <c r="A35" s="9" t="s">
        <v>37</v>
      </c>
      <c r="B35" s="13">
        <f>95</f>
        <v>95</v>
      </c>
      <c r="C35" s="9">
        <f>May!C35+B35</f>
        <v>1251</v>
      </c>
      <c r="D35" s="15"/>
      <c r="E35" s="9">
        <f>May!E35+D35</f>
        <v>19</v>
      </c>
      <c r="F35" s="17"/>
      <c r="G35" s="9">
        <f>May!G35+F35</f>
        <v>389</v>
      </c>
      <c r="H35" s="19"/>
      <c r="I35" s="9">
        <f>May!I35+H35</f>
        <v>0</v>
      </c>
    </row>
    <row r="36" spans="1:9" s="5" customFormat="1" ht="18" customHeight="1">
      <c r="A36" s="9" t="s">
        <v>38</v>
      </c>
      <c r="B36" s="13"/>
      <c r="C36" s="9">
        <f>May!C36+B36</f>
        <v>101</v>
      </c>
      <c r="D36" s="15"/>
      <c r="E36" s="9">
        <f>May!E36+D36</f>
        <v>31</v>
      </c>
      <c r="F36" s="17">
        <f>38+3+91+40</f>
        <v>172</v>
      </c>
      <c r="G36" s="9">
        <f>May!G36+F36</f>
        <v>810</v>
      </c>
      <c r="H36" s="19"/>
      <c r="I36" s="9">
        <f>May!I36+H36</f>
        <v>0</v>
      </c>
    </row>
    <row r="37" spans="1:9" s="5" customFormat="1" ht="18" customHeight="1">
      <c r="A37" s="9" t="s">
        <v>39</v>
      </c>
      <c r="B37" s="13"/>
      <c r="C37" s="9">
        <f>May!C37+B37</f>
        <v>0</v>
      </c>
      <c r="D37" s="15">
        <v>4</v>
      </c>
      <c r="E37" s="9">
        <f>May!E37+D37</f>
        <v>12</v>
      </c>
      <c r="F37" s="17"/>
      <c r="G37" s="9">
        <f>May!G37+F37</f>
        <v>184</v>
      </c>
      <c r="H37" s="19"/>
      <c r="I37" s="9">
        <f>May!I37+H37</f>
        <v>0</v>
      </c>
    </row>
    <row r="38" spans="1:9" s="5" customFormat="1" ht="18" customHeight="1">
      <c r="A38" s="9" t="s">
        <v>40</v>
      </c>
      <c r="B38" s="13">
        <f>141+67+57+100+375+138+60+107+9+86+160</f>
        <v>1300</v>
      </c>
      <c r="C38" s="9">
        <f>May!C38+B38</f>
        <v>53957</v>
      </c>
      <c r="D38" s="15">
        <f>10+52+22+2+1</f>
        <v>87</v>
      </c>
      <c r="E38" s="9">
        <f>May!E38+D38</f>
        <v>535</v>
      </c>
      <c r="F38" s="17"/>
      <c r="G38" s="9">
        <f>May!G38+F38</f>
        <v>110</v>
      </c>
      <c r="H38" s="19"/>
      <c r="I38" s="9">
        <f>May!I38+H38</f>
        <v>0</v>
      </c>
    </row>
    <row r="39" spans="1:9" s="5" customFormat="1" ht="18" customHeight="1">
      <c r="A39" s="9" t="s">
        <v>41</v>
      </c>
      <c r="B39" s="13"/>
      <c r="C39" s="9">
        <f>May!C39+B39</f>
        <v>0</v>
      </c>
      <c r="D39" s="15">
        <f>4</f>
        <v>4</v>
      </c>
      <c r="E39" s="9">
        <f>May!E39+D39</f>
        <v>39</v>
      </c>
      <c r="F39" s="17"/>
      <c r="G39" s="9">
        <f>May!G39+F39</f>
        <v>0</v>
      </c>
      <c r="H39" s="19"/>
      <c r="I39" s="9">
        <f>May!I39+H39</f>
        <v>0</v>
      </c>
    </row>
    <row r="40" spans="1:9" s="5" customFormat="1" ht="18" customHeight="1">
      <c r="A40" s="9" t="s">
        <v>42</v>
      </c>
      <c r="B40" s="13">
        <f>57+70+70+115+51+232+110+67+52+105+69+75+88</f>
        <v>1161</v>
      </c>
      <c r="C40" s="9">
        <f>May!C40+B40</f>
        <v>40009</v>
      </c>
      <c r="D40" s="15">
        <f>3+6+1+71+7+17+1+11+6+1</f>
        <v>124</v>
      </c>
      <c r="E40" s="9">
        <f>May!E40+D40</f>
        <v>502</v>
      </c>
      <c r="F40" s="17"/>
      <c r="G40" s="9">
        <f>May!G40+F40</f>
        <v>8</v>
      </c>
      <c r="H40" s="19"/>
      <c r="I40" s="9">
        <f>May!I40+H40</f>
        <v>0</v>
      </c>
    </row>
    <row r="41" spans="1:9" s="5" customFormat="1" ht="18" customHeight="1">
      <c r="A41" s="9" t="s">
        <v>43</v>
      </c>
      <c r="B41" s="13">
        <f>39+15</f>
        <v>54</v>
      </c>
      <c r="C41" s="9">
        <f>May!C41+B41</f>
        <v>627</v>
      </c>
      <c r="D41" s="15"/>
      <c r="E41" s="9">
        <f>May!E41+D41</f>
        <v>0</v>
      </c>
      <c r="F41" s="17">
        <f>43</f>
        <v>43</v>
      </c>
      <c r="G41" s="9">
        <f>May!G41+F41</f>
        <v>44</v>
      </c>
      <c r="H41" s="19"/>
      <c r="I41" s="9">
        <f>May!I41+H41</f>
        <v>0</v>
      </c>
    </row>
    <row r="42" spans="1:9" s="5" customFormat="1" ht="18" customHeight="1">
      <c r="A42" s="9" t="s">
        <v>44</v>
      </c>
      <c r="B42" s="13"/>
      <c r="C42" s="9">
        <f>May!C42+B42</f>
        <v>398</v>
      </c>
      <c r="D42" s="15"/>
      <c r="E42" s="9">
        <f>May!E42+D42</f>
        <v>188</v>
      </c>
      <c r="F42" s="17">
        <f>1+1+10+15+15+15</f>
        <v>57</v>
      </c>
      <c r="G42" s="9">
        <f>May!G42+F42</f>
        <v>882</v>
      </c>
      <c r="H42" s="19"/>
      <c r="I42" s="9">
        <f>May!I42+H42</f>
        <v>0</v>
      </c>
    </row>
    <row r="43" spans="1:9" s="5" customFormat="1" ht="18" customHeight="1">
      <c r="A43" s="9" t="s">
        <v>45</v>
      </c>
      <c r="B43" s="13"/>
      <c r="C43" s="9">
        <f>May!C43+B43</f>
        <v>0</v>
      </c>
      <c r="D43" s="15"/>
      <c r="E43" s="9">
        <f>May!E43+D43</f>
        <v>0</v>
      </c>
      <c r="F43" s="17"/>
      <c r="G43" s="9">
        <f>May!G43+F43</f>
        <v>0</v>
      </c>
      <c r="H43" s="19"/>
      <c r="I43" s="9">
        <f>May!I43+H43</f>
        <v>0</v>
      </c>
    </row>
    <row r="44" spans="1:9" s="5" customFormat="1" ht="18" customHeight="1">
      <c r="A44" s="9" t="s">
        <v>46</v>
      </c>
      <c r="B44" s="13">
        <f>89+74+87</f>
        <v>250</v>
      </c>
      <c r="C44" s="9">
        <f>May!C44+B44</f>
        <v>1311</v>
      </c>
      <c r="D44" s="15"/>
      <c r="E44" s="9">
        <f>May!E44+D44</f>
        <v>0</v>
      </c>
      <c r="F44" s="17"/>
      <c r="G44" s="9">
        <f>May!G44+F44</f>
        <v>0</v>
      </c>
      <c r="H44" s="19"/>
      <c r="I44" s="9">
        <f>May!I44+H44</f>
        <v>0</v>
      </c>
    </row>
    <row r="45" spans="1:9" s="5" customFormat="1" ht="18" customHeight="1">
      <c r="A45" s="9" t="s">
        <v>47</v>
      </c>
      <c r="B45" s="13">
        <f>151+19+105+15+9+65+22+74+117+68+70+70+96+66+28+53+120+186+211+120+117+53+31+37+17+33+34+55+111+27+77+71+84+89+78+74+62+387+115+34+55+63+99+49+4+14+88+276+83+138+287+96+70+60+138+68+191+54+65+67+33+44+41+28+519+270+63+254+222+60+54+17+12+98+95+47+23+57+13+740+180+145+70+95+36+85+105+110+166+90+77+72+15+57+18+55+71+208+66+79+26+5+89+53+8+28+21+17+34+13+72+289+19+91+105+74+123+191+59+85+91+145+93+268+60+230+28+144+186+95+193+38+90+127+60+78+51+67+11+497+54+243+47+91+19+38+15+29+179+6+99+26+25+18+77+1+21+36+16+38+15+29+179+6+99+20+31+77+19+251+63+19+6+121+212+28+19+49+24+121+114+136+163+54+113+63+125+37+16+76+18+79</f>
        <v>17120</v>
      </c>
      <c r="C45" s="9">
        <f>May!C45+B45</f>
        <v>162952</v>
      </c>
      <c r="D45" s="15">
        <f>1+2+6+15+4+42+74+3+14+8+61+13+6+1+2+8+1+4+24+24+10+58+6+30+38+30+3+26+2+30+16+6+15+20+126+8+1+10+3+106</f>
        <v>857</v>
      </c>
      <c r="E45" s="9">
        <f>May!E45+D45</f>
        <v>8680</v>
      </c>
      <c r="F45" s="17">
        <f>10+121+180</f>
        <v>311</v>
      </c>
      <c r="G45" s="9">
        <f>May!G45+F45</f>
        <v>642</v>
      </c>
      <c r="H45" s="19"/>
      <c r="I45" s="9">
        <f>May!I45+H45</f>
        <v>0</v>
      </c>
    </row>
    <row r="46" spans="1:9" s="5" customFormat="1" ht="18" customHeight="1">
      <c r="A46" s="9" t="s">
        <v>48</v>
      </c>
      <c r="B46" s="13">
        <f>80+92+69+144+49+93+74+189+79+85+59+91+97+55+70+135+118</f>
        <v>1579</v>
      </c>
      <c r="C46" s="9">
        <f>May!C46+B46</f>
        <v>8034</v>
      </c>
      <c r="D46" s="15">
        <f>2</f>
        <v>2</v>
      </c>
      <c r="E46" s="9">
        <f>May!E46+D46</f>
        <v>147</v>
      </c>
      <c r="F46" s="17"/>
      <c r="G46" s="9">
        <f>May!G46+F46</f>
        <v>3</v>
      </c>
      <c r="H46" s="19"/>
      <c r="I46" s="9">
        <f>May!I46+H46</f>
        <v>0</v>
      </c>
    </row>
    <row r="47" spans="1:9" s="5" customFormat="1" ht="18" customHeight="1">
      <c r="A47" s="9" t="s">
        <v>49</v>
      </c>
      <c r="B47" s="13">
        <f>75+357+110+613</f>
        <v>1155</v>
      </c>
      <c r="C47" s="9">
        <f>May!C47+B47</f>
        <v>4017</v>
      </c>
      <c r="D47" s="15">
        <f>2+3+6+5</f>
        <v>16</v>
      </c>
      <c r="E47" s="9">
        <f>May!E47+D47</f>
        <v>814</v>
      </c>
      <c r="F47" s="17">
        <f>200+200+88+88+200+224</f>
        <v>1000</v>
      </c>
      <c r="G47" s="9">
        <f>May!G47+F47</f>
        <v>1380</v>
      </c>
      <c r="H47" s="19"/>
      <c r="I47" s="9">
        <f>May!I47+H47</f>
        <v>0</v>
      </c>
    </row>
    <row r="48" spans="1:9" s="5" customFormat="1" ht="18" customHeight="1">
      <c r="A48" s="9" t="s">
        <v>50</v>
      </c>
      <c r="B48" s="13"/>
      <c r="C48" s="9">
        <f>May!C48+B48</f>
        <v>133</v>
      </c>
      <c r="D48" s="15">
        <f>1</f>
        <v>1</v>
      </c>
      <c r="E48" s="9">
        <f>May!E48+D48</f>
        <v>9</v>
      </c>
      <c r="F48" s="17">
        <f>1</f>
        <v>1</v>
      </c>
      <c r="G48" s="9">
        <f>May!G48+F48</f>
        <v>1</v>
      </c>
      <c r="H48" s="19"/>
      <c r="I48" s="9">
        <f>May!I48+H48</f>
        <v>0</v>
      </c>
    </row>
    <row r="49" spans="1:9" s="5" customFormat="1" ht="18" customHeight="1">
      <c r="A49" s="9" t="s">
        <v>51</v>
      </c>
      <c r="B49" s="13"/>
      <c r="C49" s="9">
        <f>May!C49+B49</f>
        <v>0</v>
      </c>
      <c r="D49" s="15"/>
      <c r="E49" s="9">
        <f>May!E49+D49</f>
        <v>0</v>
      </c>
      <c r="F49" s="17"/>
      <c r="G49" s="9">
        <f>May!G49+F49</f>
        <v>0</v>
      </c>
      <c r="H49" s="19"/>
      <c r="I49" s="9">
        <f>May!I49+H49</f>
        <v>0</v>
      </c>
    </row>
    <row r="50" spans="1:9" s="5" customFormat="1" ht="18" customHeight="1">
      <c r="A50" s="9" t="s">
        <v>52</v>
      </c>
      <c r="B50" s="13">
        <f>180+168+175+76+60+82+79+110+65+54</f>
        <v>1049</v>
      </c>
      <c r="C50" s="9">
        <f>May!C50+B50</f>
        <v>9104</v>
      </c>
      <c r="D50" s="15"/>
      <c r="E50" s="9">
        <f>May!E50+D50</f>
        <v>0</v>
      </c>
      <c r="F50" s="17"/>
      <c r="G50" s="9">
        <f>May!G50+F50</f>
        <v>1</v>
      </c>
      <c r="H50" s="19"/>
      <c r="I50" s="9">
        <f>May!I50+H50</f>
        <v>0</v>
      </c>
    </row>
    <row r="51" spans="1:9" s="5" customFormat="1" ht="18" customHeight="1">
      <c r="A51" s="9" t="s">
        <v>53</v>
      </c>
      <c r="B51" s="13">
        <f>150</f>
        <v>150</v>
      </c>
      <c r="C51" s="9">
        <f>May!C51+B51</f>
        <v>587</v>
      </c>
      <c r="D51" s="15"/>
      <c r="E51" s="9">
        <f>May!E51+D51</f>
        <v>4</v>
      </c>
      <c r="F51" s="17"/>
      <c r="G51" s="9">
        <f>May!G51+F51</f>
        <v>1</v>
      </c>
      <c r="H51" s="19"/>
      <c r="I51" s="9">
        <f>May!I51+H51</f>
        <v>0</v>
      </c>
    </row>
    <row r="52" spans="1:9" s="5" customFormat="1" ht="18" customHeight="1">
      <c r="A52" s="9" t="s">
        <v>54</v>
      </c>
      <c r="B52" s="13">
        <f>67+53+63</f>
        <v>183</v>
      </c>
      <c r="C52" s="9">
        <f>May!C52+B52</f>
        <v>1513</v>
      </c>
      <c r="D52" s="15"/>
      <c r="E52" s="9">
        <f>May!E52+D52</f>
        <v>0</v>
      </c>
      <c r="F52" s="17"/>
      <c r="G52" s="9">
        <f>May!G52+F52</f>
        <v>0</v>
      </c>
      <c r="H52" s="19"/>
      <c r="I52" s="9">
        <f>May!I52+H52</f>
        <v>0</v>
      </c>
    </row>
    <row r="53" spans="1:9" s="5" customFormat="1" ht="18" customHeight="1">
      <c r="A53" s="9" t="s">
        <v>55</v>
      </c>
      <c r="B53" s="13">
        <f>22+5+3+4+163+190+44+30+50+50+72+72+72+40+20+28+10+50+96+7+17+44+85+195+16+64+22+7+51+60+29+12+50+10+20+116+11+87+238</f>
        <v>2162</v>
      </c>
      <c r="C53" s="9">
        <f>May!C53+B53</f>
        <v>22824</v>
      </c>
      <c r="D53" s="15">
        <f>5+10+3+7+3+11+8+5+1+2+3+7+8</f>
        <v>73</v>
      </c>
      <c r="E53" s="9">
        <f>May!E53+D53</f>
        <v>601</v>
      </c>
      <c r="F53" s="17">
        <f>9+18+2+39+20+42+29+21+39+8+3+3+15+11+16+80+3+2+180</f>
        <v>540</v>
      </c>
      <c r="G53" s="9">
        <f>May!G53+F53</f>
        <v>3597</v>
      </c>
      <c r="H53" s="19"/>
      <c r="I53" s="9">
        <f>May!I53+H53</f>
        <v>0</v>
      </c>
    </row>
    <row r="54" spans="1:9" s="5" customFormat="1" ht="18" customHeight="1" thickBot="1">
      <c r="A54" s="10" t="s">
        <v>56</v>
      </c>
      <c r="B54" s="13">
        <f>59+24+15+37+4+78+70+221+34+102+7+36</f>
        <v>687</v>
      </c>
      <c r="C54" s="9">
        <f>May!C54+B54</f>
        <v>3918</v>
      </c>
      <c r="D54" s="16">
        <f>264+389</f>
        <v>653</v>
      </c>
      <c r="E54" s="9">
        <f>May!E54+D54</f>
        <v>1982</v>
      </c>
      <c r="F54" s="17"/>
      <c r="G54" s="9">
        <f>May!G54+F54</f>
        <v>0</v>
      </c>
      <c r="H54" s="19"/>
      <c r="I54" s="9">
        <f>May!I54+H54</f>
        <v>0</v>
      </c>
    </row>
    <row r="55" spans="1:9" s="5" customFormat="1" ht="18" customHeight="1" thickBot="1" thickTop="1">
      <c r="A55" s="11" t="s">
        <v>57</v>
      </c>
      <c r="B55" s="11">
        <f>SUM(B5:B54)</f>
        <v>57124</v>
      </c>
      <c r="C55" s="11"/>
      <c r="D55" s="11">
        <f>SUM(D5:D54)</f>
        <v>6542</v>
      </c>
      <c r="E55" s="11"/>
      <c r="F55" s="11">
        <f>SUM(F5:F54)</f>
        <v>2582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May!C57+B55</f>
        <v>548215</v>
      </c>
      <c r="D57" s="11"/>
      <c r="E57" s="11">
        <f>May!E57+D55</f>
        <v>39592</v>
      </c>
      <c r="F57" s="11"/>
      <c r="G57" s="11">
        <f>May!G57+F55</f>
        <v>20928</v>
      </c>
      <c r="H57" s="11"/>
      <c r="I57" s="11">
        <f>May!I57+H55</f>
        <v>81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104</v>
      </c>
    </row>
    <row r="61" s="5" customFormat="1" ht="18" customHeight="1"/>
    <row r="62" spans="1:7" s="4" customFormat="1" ht="18" customHeight="1">
      <c r="A62" s="4" t="s">
        <v>60</v>
      </c>
      <c r="E62" s="4">
        <f>May!E62+D60</f>
        <v>15973</v>
      </c>
      <c r="G62" s="4">
        <f>May!G62+F60</f>
        <v>2649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67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June!C5+B5</f>
        <v>334</v>
      </c>
      <c r="D5" s="15">
        <f>4</f>
        <v>4</v>
      </c>
      <c r="E5" s="9">
        <f>June!E5+D5</f>
        <v>26</v>
      </c>
      <c r="F5" s="17"/>
      <c r="G5" s="9">
        <f>June!G5+F5</f>
        <v>0</v>
      </c>
      <c r="H5" s="19"/>
      <c r="I5" s="9">
        <f>June!I5+H5</f>
        <v>0</v>
      </c>
    </row>
    <row r="6" spans="1:9" s="5" customFormat="1" ht="18" customHeight="1">
      <c r="A6" s="9" t="s">
        <v>8</v>
      </c>
      <c r="B6" s="13"/>
      <c r="C6" s="9">
        <f>June!C6+B6</f>
        <v>0</v>
      </c>
      <c r="D6" s="15"/>
      <c r="E6" s="9">
        <f>June!E6+D6</f>
        <v>0</v>
      </c>
      <c r="F6" s="17"/>
      <c r="G6" s="9">
        <f>June!G6+F6</f>
        <v>0</v>
      </c>
      <c r="H6" s="19"/>
      <c r="I6" s="9">
        <f>June!I6+H6</f>
        <v>0</v>
      </c>
    </row>
    <row r="7" spans="1:9" s="5" customFormat="1" ht="18" customHeight="1">
      <c r="A7" s="9" t="s">
        <v>9</v>
      </c>
      <c r="B7" s="13"/>
      <c r="C7" s="9">
        <f>June!C7+B7</f>
        <v>181</v>
      </c>
      <c r="D7" s="15"/>
      <c r="E7" s="9">
        <f>June!E7+D7</f>
        <v>292</v>
      </c>
      <c r="F7" s="17"/>
      <c r="G7" s="9">
        <f>June!G7+F7</f>
        <v>1283</v>
      </c>
      <c r="H7" s="19"/>
      <c r="I7" s="9">
        <f>June!I7+H7</f>
        <v>0</v>
      </c>
    </row>
    <row r="8" spans="1:9" s="5" customFormat="1" ht="18" customHeight="1">
      <c r="A8" s="9" t="s">
        <v>10</v>
      </c>
      <c r="B8" s="13">
        <f>97+4+58+65+113+114</f>
        <v>451</v>
      </c>
      <c r="C8" s="9">
        <f>June!C8+B8</f>
        <v>2797</v>
      </c>
      <c r="D8" s="15">
        <f>11+5+1</f>
        <v>17</v>
      </c>
      <c r="E8" s="9">
        <f>June!E8+D8</f>
        <v>42</v>
      </c>
      <c r="F8" s="17"/>
      <c r="G8" s="9">
        <f>June!G8+F8</f>
        <v>0</v>
      </c>
      <c r="H8" s="19"/>
      <c r="I8" s="9">
        <f>June!I8+H8</f>
        <v>15</v>
      </c>
    </row>
    <row r="9" spans="1:9" s="5" customFormat="1" ht="18" customHeight="1">
      <c r="A9" s="9" t="s">
        <v>11</v>
      </c>
      <c r="B9" s="13">
        <f>40+145+63+15+30+40+44+25+31+39</f>
        <v>472</v>
      </c>
      <c r="C9" s="9">
        <f>June!C9+B9</f>
        <v>2823</v>
      </c>
      <c r="D9" s="15">
        <f>3+158</f>
        <v>161</v>
      </c>
      <c r="E9" s="9">
        <f>June!E9+D9</f>
        <v>186</v>
      </c>
      <c r="F9" s="17"/>
      <c r="G9" s="9">
        <f>June!G9+F9</f>
        <v>3497</v>
      </c>
      <c r="H9" s="19"/>
      <c r="I9" s="9">
        <f>June!I9+H9</f>
        <v>0</v>
      </c>
    </row>
    <row r="10" spans="1:9" s="5" customFormat="1" ht="18" customHeight="1">
      <c r="A10" s="9" t="s">
        <v>12</v>
      </c>
      <c r="B10" s="13">
        <v>674</v>
      </c>
      <c r="C10" s="9">
        <f>June!C10+B10</f>
        <v>8352</v>
      </c>
      <c r="D10" s="15">
        <v>1</v>
      </c>
      <c r="E10" s="9">
        <f>June!E10+D10</f>
        <v>28</v>
      </c>
      <c r="F10" s="17"/>
      <c r="G10" s="9">
        <f>June!G10+F10</f>
        <v>14</v>
      </c>
      <c r="H10" s="19"/>
      <c r="I10" s="9">
        <f>June!I10+H10</f>
        <v>0</v>
      </c>
    </row>
    <row r="11" spans="1:9" s="5" customFormat="1" ht="18" customHeight="1">
      <c r="A11" s="9" t="s">
        <v>13</v>
      </c>
      <c r="B11" s="13"/>
      <c r="C11" s="9">
        <f>June!C11+B11</f>
        <v>1049</v>
      </c>
      <c r="D11" s="15">
        <f>115+5+3</f>
        <v>123</v>
      </c>
      <c r="E11" s="9">
        <f>June!E11+D11</f>
        <v>853</v>
      </c>
      <c r="F11" s="17"/>
      <c r="G11" s="9">
        <f>June!G11+F11</f>
        <v>227</v>
      </c>
      <c r="H11" s="19"/>
      <c r="I11" s="9">
        <f>June!I11+H11</f>
        <v>0</v>
      </c>
    </row>
    <row r="12" spans="1:9" s="5" customFormat="1" ht="18" customHeight="1">
      <c r="A12" s="9" t="s">
        <v>14</v>
      </c>
      <c r="B12" s="13"/>
      <c r="C12" s="9">
        <f>June!C12+B12</f>
        <v>0</v>
      </c>
      <c r="D12" s="15"/>
      <c r="E12" s="9">
        <f>June!E12+D12</f>
        <v>0</v>
      </c>
      <c r="F12" s="17"/>
      <c r="G12" s="9">
        <f>June!G12+F12</f>
        <v>0</v>
      </c>
      <c r="H12" s="19"/>
      <c r="I12" s="9">
        <f>June!I12+H12</f>
        <v>0</v>
      </c>
    </row>
    <row r="13" spans="1:9" s="5" customFormat="1" ht="18" customHeight="1">
      <c r="A13" s="9" t="s">
        <v>15</v>
      </c>
      <c r="B13" s="13"/>
      <c r="C13" s="9">
        <f>June!C13+B13</f>
        <v>0</v>
      </c>
      <c r="D13" s="15"/>
      <c r="E13" s="9">
        <f>June!E13+D13</f>
        <v>0</v>
      </c>
      <c r="F13" s="17"/>
      <c r="G13" s="9">
        <f>June!G13+F13</f>
        <v>0</v>
      </c>
      <c r="H13" s="19"/>
      <c r="I13" s="9">
        <f>June!I13+H13</f>
        <v>0</v>
      </c>
    </row>
    <row r="14" spans="1:9" s="5" customFormat="1" ht="18" customHeight="1">
      <c r="A14" s="9" t="s">
        <v>16</v>
      </c>
      <c r="B14" s="13">
        <v>1027</v>
      </c>
      <c r="C14" s="9">
        <f>June!C14+B14</f>
        <v>1221</v>
      </c>
      <c r="D14" s="15"/>
      <c r="E14" s="9">
        <f>June!E14+D14</f>
        <v>0</v>
      </c>
      <c r="F14" s="17"/>
      <c r="G14" s="9">
        <f>June!G14+F14</f>
        <v>0</v>
      </c>
      <c r="H14" s="19"/>
      <c r="I14" s="9">
        <f>June!I14+H14</f>
        <v>0</v>
      </c>
    </row>
    <row r="15" spans="1:9" s="5" customFormat="1" ht="18" customHeight="1">
      <c r="A15" s="9" t="s">
        <v>17</v>
      </c>
      <c r="B15" s="13"/>
      <c r="C15" s="9">
        <f>June!C15+B15</f>
        <v>969</v>
      </c>
      <c r="D15" s="15"/>
      <c r="E15" s="9">
        <f>June!E15+D15</f>
        <v>67</v>
      </c>
      <c r="F15" s="17"/>
      <c r="G15" s="9">
        <f>June!G15+F15</f>
        <v>1</v>
      </c>
      <c r="H15" s="19"/>
      <c r="I15" s="9">
        <f>June!I15+H15</f>
        <v>0</v>
      </c>
    </row>
    <row r="16" spans="1:9" s="5" customFormat="1" ht="18" customHeight="1">
      <c r="A16" s="9" t="s">
        <v>18</v>
      </c>
      <c r="B16" s="13"/>
      <c r="C16" s="9">
        <f>June!C16+B16</f>
        <v>0</v>
      </c>
      <c r="D16" s="15"/>
      <c r="E16" s="9">
        <f>June!E16+D16</f>
        <v>0</v>
      </c>
      <c r="F16" s="17"/>
      <c r="G16" s="9">
        <f>June!G16+F16</f>
        <v>0</v>
      </c>
      <c r="H16" s="19"/>
      <c r="I16" s="9">
        <f>June!I16+H16</f>
        <v>0</v>
      </c>
    </row>
    <row r="17" spans="1:9" s="5" customFormat="1" ht="18" customHeight="1">
      <c r="A17" s="9" t="s">
        <v>19</v>
      </c>
      <c r="B17" s="13"/>
      <c r="C17" s="9">
        <f>June!C17+B17</f>
        <v>1047</v>
      </c>
      <c r="D17" s="15"/>
      <c r="E17" s="9">
        <f>June!E17+D17</f>
        <v>57</v>
      </c>
      <c r="F17" s="17"/>
      <c r="G17" s="9">
        <f>June!G17+F17</f>
        <v>715</v>
      </c>
      <c r="H17" s="19"/>
      <c r="I17" s="9">
        <f>June!I17+H17</f>
        <v>0</v>
      </c>
    </row>
    <row r="18" spans="1:9" s="5" customFormat="1" ht="18" customHeight="1">
      <c r="A18" s="9" t="s">
        <v>20</v>
      </c>
      <c r="B18" s="13">
        <f>91+1+2+29+8+18+8+6+3+200+82</f>
        <v>448</v>
      </c>
      <c r="C18" s="9">
        <f>June!C18+B18</f>
        <v>2568</v>
      </c>
      <c r="D18" s="15">
        <f>5+1+5+23+18+5+6+1</f>
        <v>64</v>
      </c>
      <c r="E18" s="9">
        <f>June!E18+D18</f>
        <v>1215</v>
      </c>
      <c r="F18" s="17">
        <v>74</v>
      </c>
      <c r="G18" s="9">
        <f>June!G18+F18</f>
        <v>284</v>
      </c>
      <c r="H18" s="19"/>
      <c r="I18" s="9">
        <f>June!I18+H18</f>
        <v>0</v>
      </c>
    </row>
    <row r="19" spans="1:9" s="5" customFormat="1" ht="18" customHeight="1">
      <c r="A19" s="9" t="s">
        <v>21</v>
      </c>
      <c r="B19" s="13">
        <f>68+1+150+150+150+400+69</f>
        <v>988</v>
      </c>
      <c r="C19" s="9">
        <f>June!C19+B19</f>
        <v>11064</v>
      </c>
      <c r="D19" s="15">
        <f>2+2+8+1+6+2+5+1+3+2+2+2+5</f>
        <v>41</v>
      </c>
      <c r="E19" s="9">
        <f>June!E19+D19</f>
        <v>98</v>
      </c>
      <c r="F19" s="17">
        <f>20</f>
        <v>20</v>
      </c>
      <c r="G19" s="9">
        <f>June!G19+F19</f>
        <v>817</v>
      </c>
      <c r="H19" s="19"/>
      <c r="I19" s="9">
        <f>June!I19+H19</f>
        <v>0</v>
      </c>
    </row>
    <row r="20" spans="1:9" s="5" customFormat="1" ht="18" customHeight="1">
      <c r="A20" s="9" t="s">
        <v>22</v>
      </c>
      <c r="B20" s="13">
        <f>10+28+77+58</f>
        <v>173</v>
      </c>
      <c r="C20" s="9">
        <f>June!C20+B20</f>
        <v>11906</v>
      </c>
      <c r="D20" s="15">
        <f>4+5+2+15+3+1+3+15+2+134+134+66+134+66+135</f>
        <v>719</v>
      </c>
      <c r="E20" s="9">
        <f>June!E20+D20</f>
        <v>1630</v>
      </c>
      <c r="F20" s="17">
        <f>7+8+1+1+1+1+1+5</f>
        <v>25</v>
      </c>
      <c r="G20" s="9">
        <f>June!G20+F20</f>
        <v>1500</v>
      </c>
      <c r="H20" s="19"/>
      <c r="I20" s="9">
        <f>June!I20+H20</f>
        <v>0</v>
      </c>
    </row>
    <row r="21" spans="1:9" s="5" customFormat="1" ht="18" customHeight="1">
      <c r="A21" s="9" t="s">
        <v>23</v>
      </c>
      <c r="B21" s="13">
        <f>66+62+186+126+60+63+53+137+54+114+343+56+59+78+78+70+105+65+66+67+105+64+71+64+114+70+65+70+82+55+139+120+56+145+62+28+113+126+49+70+85+72+88+80+73+130+72+125+124+71+66+80+110+73+70+58+15+32+23+142+66+74+184+147+60+66+118+67+65+60+98+53+102+228+107+57+72+64+73+67+76+60+117+93+64+61+183+108+84+176+107+53+168+337+58+100+157+122+60+60+150+66+75+77+182+65+170+110+68+55+53+254+124</f>
        <v>10686</v>
      </c>
      <c r="C21" s="9">
        <f>June!C21+B21</f>
        <v>49419</v>
      </c>
      <c r="D21" s="15"/>
      <c r="E21" s="9">
        <f>June!E21+D21</f>
        <v>16</v>
      </c>
      <c r="F21" s="17"/>
      <c r="G21" s="9">
        <f>June!G21+F21</f>
        <v>0</v>
      </c>
      <c r="H21" s="19"/>
      <c r="I21" s="9">
        <f>June!I21+H21</f>
        <v>0</v>
      </c>
    </row>
    <row r="22" spans="1:9" s="5" customFormat="1" ht="18" customHeight="1">
      <c r="A22" s="9" t="s">
        <v>24</v>
      </c>
      <c r="B22" s="13"/>
      <c r="C22" s="9">
        <f>June!C22+B22</f>
        <v>0</v>
      </c>
      <c r="D22" s="15"/>
      <c r="E22" s="9">
        <f>June!E22+D22</f>
        <v>0</v>
      </c>
      <c r="F22" s="17"/>
      <c r="G22" s="9">
        <f>June!G22+F22</f>
        <v>0</v>
      </c>
      <c r="H22" s="19"/>
      <c r="I22" s="9">
        <f>June!I22+H22</f>
        <v>0</v>
      </c>
    </row>
    <row r="23" spans="1:9" s="5" customFormat="1" ht="18" customHeight="1">
      <c r="A23" s="9" t="s">
        <v>25</v>
      </c>
      <c r="B23" s="13"/>
      <c r="C23" s="9">
        <f>June!C23+B23</f>
        <v>0</v>
      </c>
      <c r="D23" s="15"/>
      <c r="E23" s="9">
        <f>June!E23+D23</f>
        <v>0</v>
      </c>
      <c r="F23" s="17"/>
      <c r="G23" s="9">
        <f>June!G23+F23</f>
        <v>3</v>
      </c>
      <c r="H23" s="19"/>
      <c r="I23" s="9">
        <f>June!I23+H23</f>
        <v>0</v>
      </c>
    </row>
    <row r="24" spans="1:9" s="5" customFormat="1" ht="18" customHeight="1">
      <c r="A24" s="9" t="s">
        <v>26</v>
      </c>
      <c r="B24" s="13"/>
      <c r="C24" s="9">
        <f>June!C24+B24</f>
        <v>0</v>
      </c>
      <c r="D24" s="15">
        <f>1+2+2</f>
        <v>5</v>
      </c>
      <c r="E24" s="9">
        <f>June!E24+D24</f>
        <v>6</v>
      </c>
      <c r="F24" s="17">
        <f>1</f>
        <v>1</v>
      </c>
      <c r="G24" s="9">
        <f>June!G24+F24</f>
        <v>5</v>
      </c>
      <c r="H24" s="19"/>
      <c r="I24" s="9">
        <f>June!I24+H24</f>
        <v>0</v>
      </c>
    </row>
    <row r="25" spans="1:9" s="5" customFormat="1" ht="18" customHeight="1">
      <c r="A25" s="9" t="s">
        <v>27</v>
      </c>
      <c r="B25" s="13"/>
      <c r="C25" s="9">
        <f>June!C25+B25</f>
        <v>0</v>
      </c>
      <c r="D25" s="15"/>
      <c r="E25" s="9">
        <f>June!E25+D25</f>
        <v>0</v>
      </c>
      <c r="F25" s="17"/>
      <c r="G25" s="9">
        <f>June!G25+F25</f>
        <v>11</v>
      </c>
      <c r="H25" s="19"/>
      <c r="I25" s="9">
        <f>June!I25+H25</f>
        <v>0</v>
      </c>
    </row>
    <row r="26" spans="1:9" s="5" customFormat="1" ht="18" customHeight="1">
      <c r="A26" s="9" t="s">
        <v>28</v>
      </c>
      <c r="B26" s="13">
        <f>20+78+25+193+50+200</f>
        <v>566</v>
      </c>
      <c r="C26" s="9">
        <f>June!C26+B26</f>
        <v>1745</v>
      </c>
      <c r="D26" s="15">
        <f>3</f>
        <v>3</v>
      </c>
      <c r="E26" s="9">
        <f>June!E26+D26</f>
        <v>162</v>
      </c>
      <c r="F26" s="17"/>
      <c r="G26" s="9">
        <f>June!G26+F26</f>
        <v>158</v>
      </c>
      <c r="H26" s="19"/>
      <c r="I26" s="9">
        <f>June!I26+H26</f>
        <v>0</v>
      </c>
    </row>
    <row r="27" spans="1:9" s="5" customFormat="1" ht="18" customHeight="1">
      <c r="A27" s="9" t="s">
        <v>29</v>
      </c>
      <c r="B27" s="13">
        <f>51+10+13+29+4+3+32+25+33+7+44+9+3+13+18+27+4+17+19+4+6+17+5+21+40+6+16+4+24+18+4+7+14+2+98+159+55+36+48+30+45+29+35+40+37+39+56+12+5+9+66+5+8+94</f>
        <v>1455</v>
      </c>
      <c r="C27" s="9">
        <f>June!C27+B27</f>
        <v>16912</v>
      </c>
      <c r="D27" s="15">
        <f>45+4+8+16+9+6+7+7+4+8+14+19+4+10+3</f>
        <v>164</v>
      </c>
      <c r="E27" s="9">
        <f>June!E27+D27</f>
        <v>2512</v>
      </c>
      <c r="F27" s="17">
        <f>19+23+50+27+5+8+11+3+44+75+9+66+2+75+10+6</f>
        <v>433</v>
      </c>
      <c r="G27" s="9">
        <f>June!G27+F27</f>
        <v>4062</v>
      </c>
      <c r="H27" s="19"/>
      <c r="I27" s="9">
        <f>June!I27+H27</f>
        <v>0</v>
      </c>
    </row>
    <row r="28" spans="1:9" s="5" customFormat="1" ht="18" customHeight="1">
      <c r="A28" s="9" t="s">
        <v>30</v>
      </c>
      <c r="B28" s="13">
        <f>84+94+88+91+92+88+160+72+72+72+72+44+44</f>
        <v>1073</v>
      </c>
      <c r="C28" s="9">
        <f>June!C28+B28</f>
        <v>2327</v>
      </c>
      <c r="D28" s="15"/>
      <c r="E28" s="9">
        <f>June!E28+D28</f>
        <v>5</v>
      </c>
      <c r="F28" s="17"/>
      <c r="G28" s="9">
        <f>June!G28+F28</f>
        <v>0</v>
      </c>
      <c r="H28" s="19"/>
      <c r="I28" s="9">
        <f>June!I28+H28</f>
        <v>0</v>
      </c>
    </row>
    <row r="29" spans="1:9" s="5" customFormat="1" ht="18" customHeight="1">
      <c r="A29" s="9" t="s">
        <v>31</v>
      </c>
      <c r="B29" s="13">
        <f>79+80+54+77+83+61+17+11+84+67+72+57+90+105+71+74+120+75+53+28+23+53+82+73+75+90+97+126+87+16+86+86+56+76+74+73+45+63+33+90+82+55+66+67+21+65+71+65+24+78+27+62+126+47+5+108+8+57+68+73+72+81+122+43+75+195+30+82+133+25+5+93+121+61+580+138+78+68+125+136+172+75+78+58+75+77+127+55+50+79+56+60+77+82+15+128+184+55+2+85+75+63+62+60+69+80+60+61+92+65+38+60+24+71+73+53+75+90+39+65+28+120+60+53+24+72+80+23+65+260+66+16+66+64+124+163+180+45+68+7+64</f>
        <v>10713</v>
      </c>
      <c r="C29" s="9">
        <f>June!C29+B29</f>
        <v>85796</v>
      </c>
      <c r="D29" s="15">
        <f>2+7+2+1+1+1+16+44+1+2+6+16+19+27+8</f>
        <v>153</v>
      </c>
      <c r="E29" s="9">
        <f>June!E29+D29</f>
        <v>2177</v>
      </c>
      <c r="F29" s="17">
        <f>1</f>
        <v>1</v>
      </c>
      <c r="G29" s="9">
        <f>June!G29+F29</f>
        <v>172</v>
      </c>
      <c r="H29" s="19"/>
      <c r="I29" s="9">
        <f>June!I29+H29</f>
        <v>4</v>
      </c>
    </row>
    <row r="30" spans="1:9" s="5" customFormat="1" ht="18" customHeight="1">
      <c r="A30" s="9" t="s">
        <v>32</v>
      </c>
      <c r="B30" s="13">
        <f>52+4+7+1+23+232+9+93+370+250+38+165+96</f>
        <v>1340</v>
      </c>
      <c r="C30" s="9">
        <f>June!C30+B30</f>
        <v>31443</v>
      </c>
      <c r="D30" s="15">
        <f>51+56+145+17+51+54+54+6+55+1+55</f>
        <v>545</v>
      </c>
      <c r="E30" s="9">
        <f>June!E30+D30</f>
        <v>5716</v>
      </c>
      <c r="F30" s="17">
        <f>43</f>
        <v>43</v>
      </c>
      <c r="G30" s="9">
        <f>June!G30+F30</f>
        <v>43</v>
      </c>
      <c r="H30" s="19"/>
      <c r="I30" s="9">
        <f>June!I30+H30</f>
        <v>0</v>
      </c>
    </row>
    <row r="31" spans="1:9" s="5" customFormat="1" ht="18" customHeight="1">
      <c r="A31" s="9" t="s">
        <v>33</v>
      </c>
      <c r="B31" s="13">
        <f>66+93+56+114+158+225+65+142+30+59+87+4+57+157+70+62+117+236+166+121+45+98+105+165+195+188+246+112+72+135</f>
        <v>3446</v>
      </c>
      <c r="C31" s="9">
        <f>June!C31+B31</f>
        <v>3528</v>
      </c>
      <c r="D31" s="15"/>
      <c r="E31" s="9">
        <f>June!E31+D31</f>
        <v>12941</v>
      </c>
      <c r="F31" s="17"/>
      <c r="G31" s="9">
        <f>June!G31+F31</f>
        <v>681</v>
      </c>
      <c r="H31" s="19"/>
      <c r="I31" s="9">
        <f>June!I31+H31</f>
        <v>62</v>
      </c>
    </row>
    <row r="32" spans="1:9" s="5" customFormat="1" ht="18" customHeight="1">
      <c r="A32" s="9" t="s">
        <v>34</v>
      </c>
      <c r="B32" s="13"/>
      <c r="C32" s="9">
        <f>June!C32+B32</f>
        <v>0</v>
      </c>
      <c r="D32" s="15"/>
      <c r="E32" s="9">
        <f>June!E32+D32</f>
        <v>0</v>
      </c>
      <c r="F32" s="17"/>
      <c r="G32" s="9">
        <f>June!G32+F32</f>
        <v>0</v>
      </c>
      <c r="H32" s="19"/>
      <c r="I32" s="9">
        <f>June!I32+H32</f>
        <v>0</v>
      </c>
    </row>
    <row r="33" spans="1:9" s="5" customFormat="1" ht="18" customHeight="1">
      <c r="A33" s="9" t="s">
        <v>35</v>
      </c>
      <c r="B33" s="13"/>
      <c r="C33" s="9">
        <f>June!C33+B33</f>
        <v>0</v>
      </c>
      <c r="D33" s="15"/>
      <c r="E33" s="9">
        <f>June!E33+D33</f>
        <v>0</v>
      </c>
      <c r="F33" s="17"/>
      <c r="G33" s="9">
        <f>June!G33+F33</f>
        <v>0</v>
      </c>
      <c r="H33" s="19"/>
      <c r="I33" s="9">
        <f>June!I33+H33</f>
        <v>0</v>
      </c>
    </row>
    <row r="34" spans="1:9" s="5" customFormat="1" ht="18" customHeight="1">
      <c r="A34" s="9" t="s">
        <v>36</v>
      </c>
      <c r="B34" s="13"/>
      <c r="C34" s="9">
        <f>June!C34+B34</f>
        <v>0</v>
      </c>
      <c r="D34" s="15"/>
      <c r="E34" s="9">
        <f>June!E34+D34</f>
        <v>0</v>
      </c>
      <c r="F34" s="17"/>
      <c r="G34" s="9">
        <f>June!G34+F34</f>
        <v>0</v>
      </c>
      <c r="H34" s="19"/>
      <c r="I34" s="9">
        <f>June!I34+H34</f>
        <v>0</v>
      </c>
    </row>
    <row r="35" spans="1:9" s="5" customFormat="1" ht="18" customHeight="1">
      <c r="A35" s="9" t="s">
        <v>37</v>
      </c>
      <c r="B35" s="13"/>
      <c r="C35" s="9">
        <f>June!C35+B35</f>
        <v>1251</v>
      </c>
      <c r="D35" s="15">
        <f>1+2</f>
        <v>3</v>
      </c>
      <c r="E35" s="9">
        <f>June!E35+D35</f>
        <v>22</v>
      </c>
      <c r="F35" s="17"/>
      <c r="G35" s="9">
        <f>June!G35+F35</f>
        <v>389</v>
      </c>
      <c r="H35" s="19"/>
      <c r="I35" s="9">
        <f>June!I35+H35</f>
        <v>0</v>
      </c>
    </row>
    <row r="36" spans="1:9" s="5" customFormat="1" ht="18" customHeight="1">
      <c r="A36" s="9" t="s">
        <v>38</v>
      </c>
      <c r="B36" s="13"/>
      <c r="C36" s="9">
        <f>June!C36+B36</f>
        <v>101</v>
      </c>
      <c r="D36" s="15"/>
      <c r="E36" s="9">
        <f>June!E36+D36</f>
        <v>31</v>
      </c>
      <c r="F36" s="17">
        <f>90+39+96</f>
        <v>225</v>
      </c>
      <c r="G36" s="9">
        <f>June!G36+F36</f>
        <v>1035</v>
      </c>
      <c r="H36" s="19"/>
      <c r="I36" s="9">
        <f>June!I36+H36</f>
        <v>0</v>
      </c>
    </row>
    <row r="37" spans="1:9" s="5" customFormat="1" ht="18" customHeight="1">
      <c r="A37" s="9" t="s">
        <v>39</v>
      </c>
      <c r="B37" s="13">
        <f>210</f>
        <v>210</v>
      </c>
      <c r="C37" s="9">
        <f>June!C37+B37</f>
        <v>210</v>
      </c>
      <c r="D37" s="15">
        <f>1</f>
        <v>1</v>
      </c>
      <c r="E37" s="9">
        <f>June!E37+D37</f>
        <v>13</v>
      </c>
      <c r="F37" s="17"/>
      <c r="G37" s="9">
        <f>June!G37+F37</f>
        <v>184</v>
      </c>
      <c r="H37" s="19"/>
      <c r="I37" s="9">
        <f>June!I37+H37</f>
        <v>0</v>
      </c>
    </row>
    <row r="38" spans="1:9" s="5" customFormat="1" ht="18" customHeight="1">
      <c r="A38" s="9" t="s">
        <v>40</v>
      </c>
      <c r="B38" s="13">
        <f>74+68+117+70+140+62+18+95+62+225+198+68+300+134+150+176+64</f>
        <v>2021</v>
      </c>
      <c r="C38" s="9">
        <f>June!C38+B38</f>
        <v>55978</v>
      </c>
      <c r="D38" s="15">
        <f>22+13+1+1+3+3</f>
        <v>43</v>
      </c>
      <c r="E38" s="9">
        <f>June!E38+D38</f>
        <v>578</v>
      </c>
      <c r="F38" s="17">
        <f>39</f>
        <v>39</v>
      </c>
      <c r="G38" s="9">
        <f>June!G38+F38</f>
        <v>149</v>
      </c>
      <c r="H38" s="19"/>
      <c r="I38" s="9">
        <f>June!I38+H38</f>
        <v>0</v>
      </c>
    </row>
    <row r="39" spans="1:9" s="5" customFormat="1" ht="18" customHeight="1">
      <c r="A39" s="9" t="s">
        <v>41</v>
      </c>
      <c r="B39" s="13"/>
      <c r="C39" s="9">
        <f>June!C39+B39</f>
        <v>0</v>
      </c>
      <c r="D39" s="15"/>
      <c r="E39" s="9">
        <f>June!E39+D39</f>
        <v>39</v>
      </c>
      <c r="F39" s="17">
        <f>95</f>
        <v>95</v>
      </c>
      <c r="G39" s="9">
        <f>June!G39+F39</f>
        <v>95</v>
      </c>
      <c r="H39" s="19"/>
      <c r="I39" s="9">
        <f>June!I39+H39</f>
        <v>0</v>
      </c>
    </row>
    <row r="40" spans="1:9" s="5" customFormat="1" ht="18" customHeight="1">
      <c r="A40" s="9" t="s">
        <v>42</v>
      </c>
      <c r="B40" s="13">
        <f>59+120+94+66+95+215+92+575+80+250+463</f>
        <v>2109</v>
      </c>
      <c r="C40" s="9">
        <f>June!C40+B40</f>
        <v>42118</v>
      </c>
      <c r="D40" s="15">
        <f>1+3</f>
        <v>4</v>
      </c>
      <c r="E40" s="9">
        <f>June!E40+D40</f>
        <v>506</v>
      </c>
      <c r="F40" s="17">
        <f>2</f>
        <v>2</v>
      </c>
      <c r="G40" s="9">
        <f>June!G40+F40</f>
        <v>10</v>
      </c>
      <c r="H40" s="19"/>
      <c r="I40" s="9">
        <f>June!I40+H40</f>
        <v>0</v>
      </c>
    </row>
    <row r="41" spans="1:9" s="5" customFormat="1" ht="18" customHeight="1">
      <c r="A41" s="9" t="s">
        <v>43</v>
      </c>
      <c r="B41" s="13">
        <f>23+21+50+65+90</f>
        <v>249</v>
      </c>
      <c r="C41" s="9">
        <f>June!C41+B41</f>
        <v>876</v>
      </c>
      <c r="D41" s="15"/>
      <c r="E41" s="9">
        <f>June!E41+D41</f>
        <v>0</v>
      </c>
      <c r="F41" s="17">
        <f>35</f>
        <v>35</v>
      </c>
      <c r="G41" s="9">
        <f>June!G41+F41</f>
        <v>79</v>
      </c>
      <c r="H41" s="19"/>
      <c r="I41" s="9">
        <f>June!I41+H41</f>
        <v>0</v>
      </c>
    </row>
    <row r="42" spans="1:9" s="5" customFormat="1" ht="18" customHeight="1">
      <c r="A42" s="9" t="s">
        <v>44</v>
      </c>
      <c r="B42" s="13">
        <f>90</f>
        <v>90</v>
      </c>
      <c r="C42" s="9">
        <f>June!C42+B42</f>
        <v>488</v>
      </c>
      <c r="D42" s="15"/>
      <c r="E42" s="9">
        <f>June!E42+D42</f>
        <v>188</v>
      </c>
      <c r="F42" s="17">
        <f>162+325+25+15+30+28+15</f>
        <v>600</v>
      </c>
      <c r="G42" s="9">
        <f>June!G42+F42</f>
        <v>1482</v>
      </c>
      <c r="H42" s="19"/>
      <c r="I42" s="9">
        <f>June!I42+H42</f>
        <v>0</v>
      </c>
    </row>
    <row r="43" spans="1:9" s="5" customFormat="1" ht="18" customHeight="1">
      <c r="A43" s="9" t="s">
        <v>45</v>
      </c>
      <c r="B43" s="13"/>
      <c r="C43" s="9">
        <f>June!C43+B43</f>
        <v>0</v>
      </c>
      <c r="D43" s="15"/>
      <c r="E43" s="9">
        <f>June!E43+D43</f>
        <v>0</v>
      </c>
      <c r="F43" s="17"/>
      <c r="G43" s="9">
        <f>June!G43+F43</f>
        <v>0</v>
      </c>
      <c r="H43" s="19"/>
      <c r="I43" s="9">
        <f>June!I43+H43</f>
        <v>0</v>
      </c>
    </row>
    <row r="44" spans="1:9" s="5" customFormat="1" ht="18" customHeight="1">
      <c r="A44" s="9" t="s">
        <v>46</v>
      </c>
      <c r="B44" s="13"/>
      <c r="C44" s="9">
        <f>June!C44+B44</f>
        <v>1311</v>
      </c>
      <c r="D44" s="15"/>
      <c r="E44" s="9">
        <f>June!E44+D44</f>
        <v>0</v>
      </c>
      <c r="F44" s="17"/>
      <c r="G44" s="9">
        <f>June!G44+F44</f>
        <v>0</v>
      </c>
      <c r="H44" s="19"/>
      <c r="I44" s="9">
        <f>June!I44+H44</f>
        <v>0</v>
      </c>
    </row>
    <row r="45" spans="1:9" s="5" customFormat="1" ht="18" customHeight="1">
      <c r="A45" s="9" t="s">
        <v>47</v>
      </c>
      <c r="B45" s="13">
        <f>126+70+75+136+1+16+4+255+86+313+72+220+63+213+57+139+123+89+8+19+22+219+55+120+118+60+67+64+88+366+13+19+9+57+15+72+14+19+54+15+34+37+28+38+21+49+16+79+56+76+37+97+68+24+147+7+144+42+3+17+52+36+73+79+59+302+36+16+37+67+36+24+94+180+51+251+54+121+93+68+48+8+16+14+711</f>
        <v>7097</v>
      </c>
      <c r="C45" s="9">
        <f>June!C45+B45</f>
        <v>170049</v>
      </c>
      <c r="D45" s="15">
        <f>1+2+47+1+20+20+86+1+11+12+3+4+2+5+16+1+1+10+4+8+24+38+4</f>
        <v>321</v>
      </c>
      <c r="E45" s="9">
        <f>June!E45+D45</f>
        <v>9001</v>
      </c>
      <c r="F45" s="17">
        <v>185</v>
      </c>
      <c r="G45" s="9">
        <f>June!G45+F45</f>
        <v>827</v>
      </c>
      <c r="H45" s="19"/>
      <c r="I45" s="9">
        <f>June!I45+H45</f>
        <v>0</v>
      </c>
    </row>
    <row r="46" spans="1:9" s="5" customFormat="1" ht="18" customHeight="1">
      <c r="A46" s="9" t="s">
        <v>48</v>
      </c>
      <c r="B46" s="13">
        <f>81+120+68+86+50+51+39+37+23+17+97+50+113+73+123+104+84+85+72+44+61</f>
        <v>1478</v>
      </c>
      <c r="C46" s="9">
        <f>June!C46+B46</f>
        <v>9512</v>
      </c>
      <c r="D46" s="15">
        <f>3</f>
        <v>3</v>
      </c>
      <c r="E46" s="9">
        <f>June!E46+D46</f>
        <v>150</v>
      </c>
      <c r="F46" s="17"/>
      <c r="G46" s="9">
        <f>June!G46+F46</f>
        <v>3</v>
      </c>
      <c r="H46" s="19"/>
      <c r="I46" s="9">
        <f>June!I46+H46</f>
        <v>0</v>
      </c>
    </row>
    <row r="47" spans="1:9" s="5" customFormat="1" ht="18" customHeight="1">
      <c r="A47" s="9" t="s">
        <v>49</v>
      </c>
      <c r="B47" s="13">
        <f>200+200+115+466</f>
        <v>981</v>
      </c>
      <c r="C47" s="9">
        <f>June!C47+B47</f>
        <v>4998</v>
      </c>
      <c r="D47" s="15">
        <f>2+3+3+2</f>
        <v>10</v>
      </c>
      <c r="E47" s="9">
        <f>June!E47+D47</f>
        <v>824</v>
      </c>
      <c r="F47" s="17">
        <v>1081</v>
      </c>
      <c r="G47" s="9">
        <f>June!G47+F47</f>
        <v>2461</v>
      </c>
      <c r="H47" s="19">
        <f>23</f>
        <v>23</v>
      </c>
      <c r="I47" s="9">
        <f>June!I47+H47</f>
        <v>23</v>
      </c>
    </row>
    <row r="48" spans="1:9" s="5" customFormat="1" ht="18" customHeight="1">
      <c r="A48" s="9" t="s">
        <v>50</v>
      </c>
      <c r="B48" s="13"/>
      <c r="C48" s="9">
        <f>June!C48+B48</f>
        <v>133</v>
      </c>
      <c r="D48" s="15"/>
      <c r="E48" s="9">
        <f>June!E48+D48</f>
        <v>9</v>
      </c>
      <c r="F48" s="17"/>
      <c r="G48" s="9">
        <f>June!G48+F48</f>
        <v>1</v>
      </c>
      <c r="H48" s="19"/>
      <c r="I48" s="9">
        <f>June!I48+H48</f>
        <v>0</v>
      </c>
    </row>
    <row r="49" spans="1:9" s="5" customFormat="1" ht="18" customHeight="1">
      <c r="A49" s="9" t="s">
        <v>51</v>
      </c>
      <c r="B49" s="13"/>
      <c r="C49" s="9">
        <f>June!C49+B49</f>
        <v>0</v>
      </c>
      <c r="D49" s="15"/>
      <c r="E49" s="9">
        <f>June!E49+D49</f>
        <v>0</v>
      </c>
      <c r="F49" s="17"/>
      <c r="G49" s="9">
        <f>June!G49+F49</f>
        <v>0</v>
      </c>
      <c r="H49" s="19"/>
      <c r="I49" s="9">
        <f>June!I49+H49</f>
        <v>0</v>
      </c>
    </row>
    <row r="50" spans="1:9" s="5" customFormat="1" ht="18" customHeight="1">
      <c r="A50" s="9" t="s">
        <v>52</v>
      </c>
      <c r="B50" s="13">
        <f>32+54+79+94+52+180+58+52+31+60+154+31+116</f>
        <v>993</v>
      </c>
      <c r="C50" s="9">
        <f>June!C50+B50</f>
        <v>10097</v>
      </c>
      <c r="D50" s="15"/>
      <c r="E50" s="9">
        <f>June!E50+D50</f>
        <v>0</v>
      </c>
      <c r="F50" s="17">
        <f>1</f>
        <v>1</v>
      </c>
      <c r="G50" s="9">
        <f>June!G50+F50</f>
        <v>2</v>
      </c>
      <c r="H50" s="19"/>
      <c r="I50" s="9">
        <f>June!I50+H50</f>
        <v>0</v>
      </c>
    </row>
    <row r="51" spans="1:9" s="5" customFormat="1" ht="18" customHeight="1">
      <c r="A51" s="9" t="s">
        <v>53</v>
      </c>
      <c r="B51" s="13"/>
      <c r="C51" s="9">
        <f>June!C51+B51</f>
        <v>587</v>
      </c>
      <c r="D51" s="15"/>
      <c r="E51" s="9">
        <f>June!E51+D51</f>
        <v>4</v>
      </c>
      <c r="F51" s="17"/>
      <c r="G51" s="9">
        <f>June!G51+F51</f>
        <v>1</v>
      </c>
      <c r="H51" s="19"/>
      <c r="I51" s="9">
        <f>June!I51+H51</f>
        <v>0</v>
      </c>
    </row>
    <row r="52" spans="1:9" s="5" customFormat="1" ht="18" customHeight="1">
      <c r="A52" s="9" t="s">
        <v>54</v>
      </c>
      <c r="B52" s="13">
        <f>34+23+60+62+77+36+17+50+50</f>
        <v>409</v>
      </c>
      <c r="C52" s="9">
        <f>June!C52+B52</f>
        <v>1922</v>
      </c>
      <c r="D52" s="15"/>
      <c r="E52" s="9">
        <f>June!E52+D52</f>
        <v>0</v>
      </c>
      <c r="F52" s="17"/>
      <c r="G52" s="9">
        <f>June!G52+F52</f>
        <v>0</v>
      </c>
      <c r="H52" s="19"/>
      <c r="I52" s="9">
        <f>June!I52+H52</f>
        <v>0</v>
      </c>
    </row>
    <row r="53" spans="1:9" s="5" customFormat="1" ht="18" customHeight="1">
      <c r="A53" s="9" t="s">
        <v>55</v>
      </c>
      <c r="B53" s="13">
        <f>11+39+14+100+160+135+45+36+3+192+26+21+14+260+72+6+11+85+9+7+47+50+39+231+37+20+66+9+21+22+72+30+72+80+11+76+120+9+50+735+45+20+104+20+14+95+10+26+83+105+20+179</f>
        <v>3764</v>
      </c>
      <c r="C53" s="9">
        <f>June!C53+B53</f>
        <v>26588</v>
      </c>
      <c r="D53" s="15">
        <f>2+2+1+3+3+8+28+15+5+1+66</f>
        <v>134</v>
      </c>
      <c r="E53" s="9">
        <f>June!E53+D53</f>
        <v>735</v>
      </c>
      <c r="F53" s="17">
        <f>3+2+25+1+3+10+1+1+6+2+40+31+1+15+15+3+2+1+4+39+40+17+16+1+1+3+21+240</f>
        <v>544</v>
      </c>
      <c r="G53" s="9">
        <f>June!G53+F53</f>
        <v>4141</v>
      </c>
      <c r="H53" s="19"/>
      <c r="I53" s="9">
        <f>June!I53+H53</f>
        <v>0</v>
      </c>
    </row>
    <row r="54" spans="1:9" s="5" customFormat="1" ht="18" customHeight="1" thickBot="1">
      <c r="A54" s="10" t="s">
        <v>56</v>
      </c>
      <c r="B54" s="13">
        <f>79+102+139+7+18</f>
        <v>345</v>
      </c>
      <c r="C54" s="9">
        <f>June!C54+B54</f>
        <v>4263</v>
      </c>
      <c r="D54" s="16">
        <f>52+57</f>
        <v>109</v>
      </c>
      <c r="E54" s="9">
        <f>June!E54+D54</f>
        <v>2091</v>
      </c>
      <c r="F54" s="17"/>
      <c r="G54" s="9">
        <f>June!G54+F54</f>
        <v>0</v>
      </c>
      <c r="H54" s="19"/>
      <c r="I54" s="9">
        <f>June!I54+H54</f>
        <v>0</v>
      </c>
    </row>
    <row r="55" spans="1:9" s="5" customFormat="1" ht="18" customHeight="1" thickBot="1" thickTop="1">
      <c r="A55" s="11" t="s">
        <v>57</v>
      </c>
      <c r="B55" s="11">
        <f>SUM(B5:B54)</f>
        <v>53258</v>
      </c>
      <c r="C55" s="11"/>
      <c r="D55" s="11">
        <f>SUM(D5:D54)</f>
        <v>2628</v>
      </c>
      <c r="E55" s="11"/>
      <c r="F55" s="11">
        <f>SUM(F5:F54)</f>
        <v>3404</v>
      </c>
      <c r="G55" s="11"/>
      <c r="H55" s="11">
        <f>SUM(H5:H54)</f>
        <v>23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June!C57+B55</f>
        <v>601473</v>
      </c>
      <c r="D57" s="11"/>
      <c r="E57" s="11">
        <f>June!E57+D55</f>
        <v>42220</v>
      </c>
      <c r="F57" s="11"/>
      <c r="G57" s="11">
        <f>June!G57+F55</f>
        <v>24332</v>
      </c>
      <c r="H57" s="11"/>
      <c r="I57" s="11">
        <f>June!I57+H55</f>
        <v>104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732</v>
      </c>
    </row>
    <row r="61" s="5" customFormat="1" ht="18" customHeight="1"/>
    <row r="62" spans="1:7" s="4" customFormat="1" ht="18" customHeight="1">
      <c r="A62" s="4" t="s">
        <v>60</v>
      </c>
      <c r="E62" s="4">
        <f>June!E62+D60</f>
        <v>16705</v>
      </c>
      <c r="G62" s="4">
        <f>June!G62+F60</f>
        <v>2649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="115" zoomScaleNormal="115" zoomScalePageLayoutView="0" workbookViewId="0" topLeftCell="A1">
      <pane ySplit="4" topLeftCell="A23" activePane="bottomLeft" state="frozen"/>
      <selection pane="topLeft" activeCell="A1" sqref="A1"/>
      <selection pane="bottomLeft" activeCell="B21" sqref="B2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75390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68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July!C5+B5</f>
        <v>334</v>
      </c>
      <c r="D5" s="15"/>
      <c r="E5" s="9">
        <f>July!E5+D5</f>
        <v>26</v>
      </c>
      <c r="F5" s="17"/>
      <c r="G5" s="9">
        <f>July!G5+F5</f>
        <v>0</v>
      </c>
      <c r="H5" s="19"/>
      <c r="I5" s="9">
        <f>July!I5+H5</f>
        <v>0</v>
      </c>
    </row>
    <row r="6" spans="1:9" s="5" customFormat="1" ht="18" customHeight="1">
      <c r="A6" s="9" t="s">
        <v>8</v>
      </c>
      <c r="B6" s="13"/>
      <c r="C6" s="9">
        <f>July!C6+B6</f>
        <v>0</v>
      </c>
      <c r="D6" s="15"/>
      <c r="E6" s="9">
        <f>July!E6+D6</f>
        <v>0</v>
      </c>
      <c r="F6" s="17"/>
      <c r="G6" s="9">
        <f>July!G6+F6</f>
        <v>0</v>
      </c>
      <c r="H6" s="19"/>
      <c r="I6" s="9">
        <f>July!I6+H6</f>
        <v>0</v>
      </c>
    </row>
    <row r="7" spans="1:9" s="5" customFormat="1" ht="18" customHeight="1">
      <c r="A7" s="9" t="s">
        <v>9</v>
      </c>
      <c r="B7" s="13"/>
      <c r="C7" s="9">
        <f>July!C7+B7</f>
        <v>181</v>
      </c>
      <c r="D7" s="15"/>
      <c r="E7" s="9">
        <f>July!E7+D7</f>
        <v>292</v>
      </c>
      <c r="F7" s="17"/>
      <c r="G7" s="9">
        <f>July!G7+F7</f>
        <v>1283</v>
      </c>
      <c r="H7" s="19"/>
      <c r="I7" s="9">
        <f>July!I7+H7</f>
        <v>0</v>
      </c>
    </row>
    <row r="8" spans="1:9" s="5" customFormat="1" ht="18" customHeight="1">
      <c r="A8" s="9" t="s">
        <v>10</v>
      </c>
      <c r="B8" s="13"/>
      <c r="C8" s="9">
        <f>July!C8+B8</f>
        <v>2797</v>
      </c>
      <c r="D8" s="15"/>
      <c r="E8" s="9">
        <f>July!E8+D8</f>
        <v>42</v>
      </c>
      <c r="F8" s="17"/>
      <c r="G8" s="9">
        <f>July!G8+F8</f>
        <v>0</v>
      </c>
      <c r="H8" s="19"/>
      <c r="I8" s="9">
        <f>July!I8+H8</f>
        <v>15</v>
      </c>
    </row>
    <row r="9" spans="1:9" s="5" customFormat="1" ht="18" customHeight="1">
      <c r="A9" s="9" t="s">
        <v>11</v>
      </c>
      <c r="B9" s="13"/>
      <c r="C9" s="9">
        <f>July!C9+B9</f>
        <v>2823</v>
      </c>
      <c r="D9" s="15"/>
      <c r="E9" s="9">
        <f>July!E9+D9</f>
        <v>186</v>
      </c>
      <c r="F9" s="17"/>
      <c r="G9" s="9">
        <f>July!G9+F9</f>
        <v>3497</v>
      </c>
      <c r="H9" s="19"/>
      <c r="I9" s="9">
        <f>July!I9+H9</f>
        <v>0</v>
      </c>
    </row>
    <row r="10" spans="1:9" s="5" customFormat="1" ht="18" customHeight="1">
      <c r="A10" s="9" t="s">
        <v>12</v>
      </c>
      <c r="B10" s="13"/>
      <c r="C10" s="9">
        <f>July!C10+B10</f>
        <v>8352</v>
      </c>
      <c r="D10" s="15"/>
      <c r="E10" s="9">
        <f>July!E10+D10</f>
        <v>28</v>
      </c>
      <c r="F10" s="17"/>
      <c r="G10" s="9">
        <f>July!G10+F10</f>
        <v>14</v>
      </c>
      <c r="H10" s="19"/>
      <c r="I10" s="9">
        <f>July!I10+H10</f>
        <v>0</v>
      </c>
    </row>
    <row r="11" spans="1:9" s="5" customFormat="1" ht="18" customHeight="1">
      <c r="A11" s="9" t="s">
        <v>13</v>
      </c>
      <c r="B11" s="13"/>
      <c r="C11" s="9">
        <f>July!C11+B11</f>
        <v>1049</v>
      </c>
      <c r="D11" s="15">
        <f>83</f>
        <v>83</v>
      </c>
      <c r="E11" s="9">
        <f>July!E11+D11</f>
        <v>936</v>
      </c>
      <c r="F11" s="17">
        <f>6+30</f>
        <v>36</v>
      </c>
      <c r="G11" s="9">
        <f>July!G11+F11</f>
        <v>263</v>
      </c>
      <c r="H11" s="19"/>
      <c r="I11" s="9">
        <f>July!I11+H11</f>
        <v>0</v>
      </c>
    </row>
    <row r="12" spans="1:9" s="5" customFormat="1" ht="18" customHeight="1">
      <c r="A12" s="9" t="s">
        <v>14</v>
      </c>
      <c r="B12" s="13"/>
      <c r="C12" s="9">
        <f>July!C12+B12</f>
        <v>0</v>
      </c>
      <c r="D12" s="15"/>
      <c r="E12" s="9">
        <f>July!E12+D12</f>
        <v>0</v>
      </c>
      <c r="F12" s="17"/>
      <c r="G12" s="9">
        <f>July!G12+F12</f>
        <v>0</v>
      </c>
      <c r="H12" s="19"/>
      <c r="I12" s="9">
        <f>July!I12+H12</f>
        <v>0</v>
      </c>
    </row>
    <row r="13" spans="1:9" s="5" customFormat="1" ht="18" customHeight="1">
      <c r="A13" s="9" t="s">
        <v>15</v>
      </c>
      <c r="B13" s="13"/>
      <c r="C13" s="9">
        <f>July!C13+B13</f>
        <v>0</v>
      </c>
      <c r="D13" s="15"/>
      <c r="E13" s="9">
        <f>July!E13+D13</f>
        <v>0</v>
      </c>
      <c r="F13" s="17"/>
      <c r="G13" s="9">
        <f>July!G13+F13</f>
        <v>0</v>
      </c>
      <c r="H13" s="19"/>
      <c r="I13" s="9">
        <f>July!I13+H13</f>
        <v>0</v>
      </c>
    </row>
    <row r="14" spans="1:9" s="5" customFormat="1" ht="18" customHeight="1">
      <c r="A14" s="9" t="s">
        <v>16</v>
      </c>
      <c r="B14" s="13"/>
      <c r="C14" s="9">
        <f>July!C14+B14</f>
        <v>1221</v>
      </c>
      <c r="D14" s="15"/>
      <c r="E14" s="9">
        <f>July!E14+D14</f>
        <v>0</v>
      </c>
      <c r="F14" s="17"/>
      <c r="G14" s="9">
        <f>July!G14+F14</f>
        <v>0</v>
      </c>
      <c r="H14" s="19"/>
      <c r="I14" s="9">
        <f>July!I14+H14</f>
        <v>0</v>
      </c>
    </row>
    <row r="15" spans="1:9" s="5" customFormat="1" ht="18" customHeight="1">
      <c r="A15" s="9" t="s">
        <v>17</v>
      </c>
      <c r="B15" s="13"/>
      <c r="C15" s="9">
        <f>July!C15+B15</f>
        <v>969</v>
      </c>
      <c r="D15" s="15"/>
      <c r="E15" s="9">
        <f>July!E15+D15</f>
        <v>67</v>
      </c>
      <c r="F15" s="17"/>
      <c r="G15" s="9">
        <f>July!G15+F15</f>
        <v>1</v>
      </c>
      <c r="H15" s="19"/>
      <c r="I15" s="9">
        <f>July!I15+H15</f>
        <v>0</v>
      </c>
    </row>
    <row r="16" spans="1:9" s="5" customFormat="1" ht="18" customHeight="1">
      <c r="A16" s="9" t="s">
        <v>18</v>
      </c>
      <c r="B16" s="13"/>
      <c r="C16" s="9">
        <f>July!C16+B16</f>
        <v>0</v>
      </c>
      <c r="D16" s="15"/>
      <c r="E16" s="9">
        <f>July!E16+D16</f>
        <v>0</v>
      </c>
      <c r="F16" s="17"/>
      <c r="G16" s="9">
        <f>July!G16+F16</f>
        <v>0</v>
      </c>
      <c r="H16" s="19"/>
      <c r="I16" s="9">
        <f>July!I16+H16</f>
        <v>0</v>
      </c>
    </row>
    <row r="17" spans="1:9" s="5" customFormat="1" ht="18" customHeight="1">
      <c r="A17" s="9" t="s">
        <v>19</v>
      </c>
      <c r="B17" s="13"/>
      <c r="C17" s="9">
        <f>July!C17+B17</f>
        <v>1047</v>
      </c>
      <c r="D17" s="15"/>
      <c r="E17" s="9">
        <f>July!E17+D17</f>
        <v>57</v>
      </c>
      <c r="F17" s="17"/>
      <c r="G17" s="9">
        <f>July!G17+F17</f>
        <v>715</v>
      </c>
      <c r="H17" s="19"/>
      <c r="I17" s="9">
        <f>July!I17+H17</f>
        <v>0</v>
      </c>
    </row>
    <row r="18" spans="1:9" s="5" customFormat="1" ht="18" customHeight="1">
      <c r="A18" s="9" t="s">
        <v>20</v>
      </c>
      <c r="B18" s="13"/>
      <c r="C18" s="9">
        <f>July!C18+B18</f>
        <v>2568</v>
      </c>
      <c r="D18" s="15"/>
      <c r="E18" s="9">
        <f>July!E18+D18</f>
        <v>1215</v>
      </c>
      <c r="F18" s="17"/>
      <c r="G18" s="9">
        <f>July!G18+F18</f>
        <v>284</v>
      </c>
      <c r="H18" s="19"/>
      <c r="I18" s="9">
        <f>July!I18+H18</f>
        <v>0</v>
      </c>
    </row>
    <row r="19" spans="1:9" s="5" customFormat="1" ht="18" customHeight="1">
      <c r="A19" s="9" t="s">
        <v>21</v>
      </c>
      <c r="B19" s="13"/>
      <c r="C19" s="9">
        <f>July!C19+B19</f>
        <v>11064</v>
      </c>
      <c r="D19" s="15"/>
      <c r="E19" s="9">
        <f>July!E19+D19</f>
        <v>98</v>
      </c>
      <c r="F19" s="17"/>
      <c r="G19" s="9">
        <f>July!G19+F19</f>
        <v>817</v>
      </c>
      <c r="H19" s="19"/>
      <c r="I19" s="9">
        <f>July!I19+H19</f>
        <v>0</v>
      </c>
    </row>
    <row r="20" spans="1:9" s="5" customFormat="1" ht="18" customHeight="1">
      <c r="A20" s="9" t="s">
        <v>22</v>
      </c>
      <c r="B20" s="13">
        <f>283+75+75+75+193+62+120+117+169+69+245+515+64+29+350+65+60+103+270+66+60+67+123+128+56+70+35+109+69+64+136+180+65+180+50+430+74+135+225+64+88+117+55+64+73+60+106+64+63+123+329+202+61+193+96+64+189+29+4+240+6+69+192+56+185</f>
        <v>8053</v>
      </c>
      <c r="C20" s="9">
        <f>July!C20+B20</f>
        <v>19959</v>
      </c>
      <c r="D20" s="15">
        <f>8+3+65+10+35+2+2+7+8+10</f>
        <v>150</v>
      </c>
      <c r="E20" s="9">
        <f>July!E20+D20</f>
        <v>1780</v>
      </c>
      <c r="F20" s="17">
        <f>3+14+65+3+41+54+41+42</f>
        <v>263</v>
      </c>
      <c r="G20" s="9">
        <f>July!G20+F20</f>
        <v>1763</v>
      </c>
      <c r="H20" s="19"/>
      <c r="I20" s="9">
        <f>July!I20+H20</f>
        <v>0</v>
      </c>
    </row>
    <row r="21" spans="1:9" s="5" customFormat="1" ht="18" customHeight="1">
      <c r="A21" s="9" t="s">
        <v>23</v>
      </c>
      <c r="B21" s="13">
        <f>71+115+70+85+111+91+63+68+71+170+132+125+57+67+60+55+71+69+70+90+80+190+81+218+65+133+80+72+65+85+64</f>
        <v>2844</v>
      </c>
      <c r="C21" s="9">
        <f>July!C21+B21</f>
        <v>52263</v>
      </c>
      <c r="D21" s="15"/>
      <c r="E21" s="9">
        <f>July!E21+D21</f>
        <v>16</v>
      </c>
      <c r="F21" s="17">
        <f>1</f>
        <v>1</v>
      </c>
      <c r="G21" s="9">
        <f>July!G21+F21</f>
        <v>1</v>
      </c>
      <c r="H21" s="19"/>
      <c r="I21" s="9">
        <f>July!I21+H21</f>
        <v>0</v>
      </c>
    </row>
    <row r="22" spans="1:9" s="5" customFormat="1" ht="18" customHeight="1">
      <c r="A22" s="9" t="s">
        <v>24</v>
      </c>
      <c r="B22" s="13"/>
      <c r="C22" s="9">
        <f>July!C22+B22</f>
        <v>0</v>
      </c>
      <c r="D22" s="15"/>
      <c r="E22" s="9">
        <f>July!E22+D22</f>
        <v>0</v>
      </c>
      <c r="F22" s="17"/>
      <c r="G22" s="9">
        <f>July!G22+F22</f>
        <v>0</v>
      </c>
      <c r="H22" s="19"/>
      <c r="I22" s="9">
        <f>July!I22+H22</f>
        <v>0</v>
      </c>
    </row>
    <row r="23" spans="1:9" s="5" customFormat="1" ht="18" customHeight="1">
      <c r="A23" s="9" t="s">
        <v>25</v>
      </c>
      <c r="B23" s="13"/>
      <c r="C23" s="9">
        <f>July!C23+B23</f>
        <v>0</v>
      </c>
      <c r="D23" s="15"/>
      <c r="E23" s="9">
        <f>July!E23+D23</f>
        <v>0</v>
      </c>
      <c r="F23" s="17"/>
      <c r="G23" s="9">
        <f>July!G23+F23</f>
        <v>3</v>
      </c>
      <c r="H23" s="19"/>
      <c r="I23" s="9">
        <f>July!I23+H23</f>
        <v>0</v>
      </c>
    </row>
    <row r="24" spans="1:9" s="5" customFormat="1" ht="18" customHeight="1">
      <c r="A24" s="9" t="s">
        <v>26</v>
      </c>
      <c r="B24" s="13"/>
      <c r="C24" s="9">
        <f>July!C24+B24</f>
        <v>0</v>
      </c>
      <c r="D24" s="15"/>
      <c r="E24" s="9">
        <f>July!E24+D24</f>
        <v>6</v>
      </c>
      <c r="F24" s="17"/>
      <c r="G24" s="9">
        <f>July!G24+F24</f>
        <v>5</v>
      </c>
      <c r="H24" s="19"/>
      <c r="I24" s="9">
        <f>July!I24+H24</f>
        <v>0</v>
      </c>
    </row>
    <row r="25" spans="1:9" s="5" customFormat="1" ht="18" customHeight="1">
      <c r="A25" s="9" t="s">
        <v>27</v>
      </c>
      <c r="B25" s="13"/>
      <c r="C25" s="9">
        <f>July!C25+B25</f>
        <v>0</v>
      </c>
      <c r="D25" s="15"/>
      <c r="E25" s="9">
        <f>July!E25+D25</f>
        <v>0</v>
      </c>
      <c r="F25" s="17"/>
      <c r="G25" s="9">
        <f>July!G25+F25</f>
        <v>11</v>
      </c>
      <c r="H25" s="19"/>
      <c r="I25" s="9">
        <f>July!I25+H25</f>
        <v>0</v>
      </c>
    </row>
    <row r="26" spans="1:9" s="5" customFormat="1" ht="18" customHeight="1">
      <c r="A26" s="9" t="s">
        <v>28</v>
      </c>
      <c r="B26" s="13"/>
      <c r="C26" s="9">
        <f>July!C26+B26</f>
        <v>1745</v>
      </c>
      <c r="D26" s="15"/>
      <c r="E26" s="9">
        <f>July!E26+D26</f>
        <v>162</v>
      </c>
      <c r="F26" s="17"/>
      <c r="G26" s="9">
        <f>July!G26+F26</f>
        <v>158</v>
      </c>
      <c r="H26" s="19"/>
      <c r="I26" s="9">
        <f>July!I26+H26</f>
        <v>0</v>
      </c>
    </row>
    <row r="27" spans="1:9" s="5" customFormat="1" ht="18" customHeight="1">
      <c r="A27" s="9" t="s">
        <v>29</v>
      </c>
      <c r="B27" s="13">
        <f>3+29+81+66+171+145+75+52+66+66+67+63+166+140+23+18+12+295+13+18+16+6+14+2+46+13+12+47+47+18+13+10+3</f>
        <v>1816</v>
      </c>
      <c r="C27" s="9">
        <f>July!C27+B27</f>
        <v>18728</v>
      </c>
      <c r="D27" s="15">
        <f>1+4+4+5+8+10+6+6+5+1+4+6</f>
        <v>60</v>
      </c>
      <c r="E27" s="9">
        <f>July!E27+D27</f>
        <v>2572</v>
      </c>
      <c r="F27" s="17">
        <f>25+7+19+14+14+1+2+1</f>
        <v>83</v>
      </c>
      <c r="G27" s="9">
        <f>July!G27+F27</f>
        <v>4145</v>
      </c>
      <c r="H27" s="19"/>
      <c r="I27" s="9">
        <f>July!I27+H27</f>
        <v>0</v>
      </c>
    </row>
    <row r="28" spans="1:9" s="5" customFormat="1" ht="18" customHeight="1">
      <c r="A28" s="9" t="s">
        <v>30</v>
      </c>
      <c r="B28" s="13"/>
      <c r="C28" s="9">
        <f>July!C28+B28</f>
        <v>2327</v>
      </c>
      <c r="D28" s="15"/>
      <c r="E28" s="9">
        <f>July!E28+D28</f>
        <v>5</v>
      </c>
      <c r="F28" s="17"/>
      <c r="G28" s="9">
        <f>July!G28+F28</f>
        <v>0</v>
      </c>
      <c r="H28" s="19"/>
      <c r="I28" s="9">
        <f>July!I28+H28</f>
        <v>0</v>
      </c>
    </row>
    <row r="29" spans="1:9" s="5" customFormat="1" ht="18" customHeight="1">
      <c r="A29" s="9" t="s">
        <v>31</v>
      </c>
      <c r="B29" s="13">
        <f>23+123+68+8+84+38+33+26+28+140+71+80+77+194+52+75+62+99+58+55+215+71+95+63+57+140+60+95+76+82+71+83+84+67+71+19+66+12+88+87+90+178+89+79+132+73+72+75+75+85+65+59+67+98+95+25+23+53+30+4+120+54+94+22+57+145+77+74+22+11+23+20+78+12+23+180+277+58+127+49+84+65+65+55+2+85+63+79+104+141+185+52+35+168+120+82+12+63+72+47+24+65+68+68+88+107</f>
        <v>7985</v>
      </c>
      <c r="C29" s="9">
        <f>July!C29+B29</f>
        <v>93781</v>
      </c>
      <c r="D29" s="15">
        <f>30+3+8+5+10+9+30+21+47+2+2+17+2+44</f>
        <v>230</v>
      </c>
      <c r="E29" s="9">
        <f>July!E29+D29</f>
        <v>2407</v>
      </c>
      <c r="F29" s="17">
        <f>30+51+58</f>
        <v>139</v>
      </c>
      <c r="G29" s="9">
        <f>July!G29+F29</f>
        <v>311</v>
      </c>
      <c r="H29" s="19"/>
      <c r="I29" s="9">
        <f>July!I29+H29</f>
        <v>4</v>
      </c>
    </row>
    <row r="30" spans="1:9" s="5" customFormat="1" ht="18" customHeight="1">
      <c r="A30" s="9" t="s">
        <v>32</v>
      </c>
      <c r="B30" s="13"/>
      <c r="C30" s="9">
        <f>July!C30+B30</f>
        <v>31443</v>
      </c>
      <c r="D30" s="15"/>
      <c r="E30" s="9">
        <f>July!E30+D30</f>
        <v>5716</v>
      </c>
      <c r="F30" s="17"/>
      <c r="G30" s="9">
        <f>July!G30+F30</f>
        <v>43</v>
      </c>
      <c r="H30" s="19"/>
      <c r="I30" s="9">
        <f>July!I30+H30</f>
        <v>0</v>
      </c>
    </row>
    <row r="31" spans="1:9" s="5" customFormat="1" ht="18" customHeight="1">
      <c r="A31" s="9" t="s">
        <v>33</v>
      </c>
      <c r="B31" s="13">
        <f>56+66+52+68+57+3+7+178+118+59+58+57+93+122+62+62+315+65+211+143+62+38+81+38</f>
        <v>2071</v>
      </c>
      <c r="C31" s="9">
        <f>July!C31+B31</f>
        <v>5599</v>
      </c>
      <c r="D31" s="15">
        <f>3+3+1+9+150+5+2+7+4+1+3+3+4</f>
        <v>195</v>
      </c>
      <c r="E31" s="9">
        <f>July!E31+D31</f>
        <v>13136</v>
      </c>
      <c r="F31" s="17">
        <f>1+1+3</f>
        <v>5</v>
      </c>
      <c r="G31" s="9">
        <f>July!G31+F31</f>
        <v>686</v>
      </c>
      <c r="H31" s="19"/>
      <c r="I31" s="9">
        <f>July!I31+H31</f>
        <v>62</v>
      </c>
    </row>
    <row r="32" spans="1:9" s="5" customFormat="1" ht="18" customHeight="1">
      <c r="A32" s="9" t="s">
        <v>34</v>
      </c>
      <c r="B32" s="13"/>
      <c r="C32" s="9">
        <f>July!C32+B32</f>
        <v>0</v>
      </c>
      <c r="D32" s="15"/>
      <c r="E32" s="9">
        <f>July!E32+D32</f>
        <v>0</v>
      </c>
      <c r="F32" s="17"/>
      <c r="G32" s="9">
        <f>July!G32+F32</f>
        <v>0</v>
      </c>
      <c r="H32" s="19"/>
      <c r="I32" s="9">
        <f>July!I32+H32</f>
        <v>0</v>
      </c>
    </row>
    <row r="33" spans="1:9" s="5" customFormat="1" ht="18" customHeight="1">
      <c r="A33" s="9" t="s">
        <v>35</v>
      </c>
      <c r="B33" s="13"/>
      <c r="C33" s="9">
        <f>July!C33+B33</f>
        <v>0</v>
      </c>
      <c r="D33" s="15"/>
      <c r="E33" s="9">
        <f>July!E33+D33</f>
        <v>0</v>
      </c>
      <c r="F33" s="17"/>
      <c r="G33" s="9">
        <f>July!G33+F33</f>
        <v>0</v>
      </c>
      <c r="H33" s="19"/>
      <c r="I33" s="9">
        <f>July!I33+H33</f>
        <v>0</v>
      </c>
    </row>
    <row r="34" spans="1:9" s="5" customFormat="1" ht="18" customHeight="1">
      <c r="A34" s="9" t="s">
        <v>36</v>
      </c>
      <c r="B34" s="13"/>
      <c r="C34" s="9">
        <f>July!C34+B34</f>
        <v>0</v>
      </c>
      <c r="D34" s="15"/>
      <c r="E34" s="9">
        <f>July!E34+D34</f>
        <v>0</v>
      </c>
      <c r="F34" s="17"/>
      <c r="G34" s="9">
        <f>July!G34+F34</f>
        <v>0</v>
      </c>
      <c r="H34" s="19"/>
      <c r="I34" s="9">
        <f>July!I34+H34</f>
        <v>0</v>
      </c>
    </row>
    <row r="35" spans="1:9" s="5" customFormat="1" ht="18" customHeight="1">
      <c r="A35" s="9" t="s">
        <v>37</v>
      </c>
      <c r="B35" s="13"/>
      <c r="C35" s="9">
        <f>July!C35+B35</f>
        <v>1251</v>
      </c>
      <c r="D35" s="15"/>
      <c r="E35" s="9">
        <f>July!E35+D35</f>
        <v>22</v>
      </c>
      <c r="F35" s="17"/>
      <c r="G35" s="9">
        <f>July!G35+F35</f>
        <v>389</v>
      </c>
      <c r="H35" s="19"/>
      <c r="I35" s="9">
        <f>July!I35+H35</f>
        <v>0</v>
      </c>
    </row>
    <row r="36" spans="1:9" s="5" customFormat="1" ht="18" customHeight="1">
      <c r="A36" s="9" t="s">
        <v>38</v>
      </c>
      <c r="B36" s="13"/>
      <c r="C36" s="9">
        <f>July!C36+B36</f>
        <v>101</v>
      </c>
      <c r="D36" s="15"/>
      <c r="E36" s="9">
        <f>July!E36+D36</f>
        <v>31</v>
      </c>
      <c r="F36" s="17"/>
      <c r="G36" s="9">
        <f>July!G36+F36</f>
        <v>1035</v>
      </c>
      <c r="H36" s="19"/>
      <c r="I36" s="9">
        <f>July!I36+H36</f>
        <v>0</v>
      </c>
    </row>
    <row r="37" spans="1:9" s="5" customFormat="1" ht="18" customHeight="1">
      <c r="A37" s="9" t="s">
        <v>39</v>
      </c>
      <c r="B37" s="13">
        <f>54</f>
        <v>54</v>
      </c>
      <c r="C37" s="9">
        <f>July!C37+B37</f>
        <v>264</v>
      </c>
      <c r="D37" s="15"/>
      <c r="E37" s="9">
        <f>July!E37+D37</f>
        <v>13</v>
      </c>
      <c r="F37" s="17"/>
      <c r="G37" s="9">
        <f>July!G37+F37</f>
        <v>184</v>
      </c>
      <c r="H37" s="19"/>
      <c r="I37" s="9">
        <f>July!I37+H37</f>
        <v>0</v>
      </c>
    </row>
    <row r="38" spans="1:9" s="5" customFormat="1" ht="18" customHeight="1">
      <c r="A38" s="9" t="s">
        <v>40</v>
      </c>
      <c r="B38" s="13"/>
      <c r="C38" s="9">
        <f>July!C38+B38</f>
        <v>55978</v>
      </c>
      <c r="D38" s="15"/>
      <c r="E38" s="9">
        <f>July!E38+D38</f>
        <v>578</v>
      </c>
      <c r="F38" s="17"/>
      <c r="G38" s="9">
        <f>July!G38+F38</f>
        <v>149</v>
      </c>
      <c r="H38" s="19"/>
      <c r="I38" s="9">
        <f>July!I38+H38</f>
        <v>0</v>
      </c>
    </row>
    <row r="39" spans="1:9" s="5" customFormat="1" ht="18" customHeight="1">
      <c r="A39" s="9" t="s">
        <v>41</v>
      </c>
      <c r="B39" s="13"/>
      <c r="C39" s="9">
        <f>July!C39+B39</f>
        <v>0</v>
      </c>
      <c r="D39" s="15"/>
      <c r="E39" s="9">
        <f>July!E39+D39</f>
        <v>39</v>
      </c>
      <c r="F39" s="17">
        <f>10+100</f>
        <v>110</v>
      </c>
      <c r="G39" s="9">
        <f>July!G39+F39</f>
        <v>205</v>
      </c>
      <c r="H39" s="19"/>
      <c r="I39" s="9">
        <f>July!I39+H39</f>
        <v>0</v>
      </c>
    </row>
    <row r="40" spans="1:9" s="5" customFormat="1" ht="18" customHeight="1">
      <c r="A40" s="9" t="s">
        <v>42</v>
      </c>
      <c r="B40" s="13">
        <f>75+73+51+53+180+68+64+83+70</f>
        <v>717</v>
      </c>
      <c r="C40" s="9">
        <f>July!C40+B40</f>
        <v>42835</v>
      </c>
      <c r="D40" s="15">
        <f>2</f>
        <v>2</v>
      </c>
      <c r="E40" s="9">
        <f>July!E40+D40</f>
        <v>508</v>
      </c>
      <c r="F40" s="17"/>
      <c r="G40" s="9">
        <f>July!G40+F40</f>
        <v>10</v>
      </c>
      <c r="H40" s="19"/>
      <c r="I40" s="9">
        <f>July!I40+H40</f>
        <v>0</v>
      </c>
    </row>
    <row r="41" spans="1:9" s="5" customFormat="1" ht="18" customHeight="1">
      <c r="A41" s="9" t="s">
        <v>43</v>
      </c>
      <c r="B41" s="13">
        <f>35+79+80+63</f>
        <v>257</v>
      </c>
      <c r="C41" s="9">
        <f>July!C41+B41</f>
        <v>1133</v>
      </c>
      <c r="D41" s="15"/>
      <c r="E41" s="9">
        <f>July!E41+D41</f>
        <v>0</v>
      </c>
      <c r="F41" s="17"/>
      <c r="G41" s="9">
        <f>July!G41+F41</f>
        <v>79</v>
      </c>
      <c r="H41" s="19"/>
      <c r="I41" s="9">
        <f>July!I41+H41</f>
        <v>0</v>
      </c>
    </row>
    <row r="42" spans="1:9" s="5" customFormat="1" ht="18" customHeight="1">
      <c r="A42" s="9" t="s">
        <v>44</v>
      </c>
      <c r="B42" s="13"/>
      <c r="C42" s="9">
        <f>July!C42+B42</f>
        <v>488</v>
      </c>
      <c r="D42" s="15"/>
      <c r="E42" s="9">
        <f>July!E42+D42</f>
        <v>188</v>
      </c>
      <c r="F42" s="17"/>
      <c r="G42" s="9">
        <f>July!G42+F42</f>
        <v>1482</v>
      </c>
      <c r="H42" s="19"/>
      <c r="I42" s="9">
        <f>July!I42+H42</f>
        <v>0</v>
      </c>
    </row>
    <row r="43" spans="1:9" s="5" customFormat="1" ht="18" customHeight="1">
      <c r="A43" s="9" t="s">
        <v>45</v>
      </c>
      <c r="B43" s="13"/>
      <c r="C43" s="9">
        <f>July!C43+B43</f>
        <v>0</v>
      </c>
      <c r="D43" s="15"/>
      <c r="E43" s="9">
        <f>July!E43+D43</f>
        <v>0</v>
      </c>
      <c r="F43" s="17"/>
      <c r="G43" s="9">
        <f>July!G43+F43</f>
        <v>0</v>
      </c>
      <c r="H43" s="19"/>
      <c r="I43" s="9">
        <f>July!I43+H43</f>
        <v>0</v>
      </c>
    </row>
    <row r="44" spans="1:9" s="5" customFormat="1" ht="18" customHeight="1">
      <c r="A44" s="9" t="s">
        <v>46</v>
      </c>
      <c r="B44" s="13"/>
      <c r="C44" s="9">
        <f>July!C44+B44</f>
        <v>1311</v>
      </c>
      <c r="D44" s="15"/>
      <c r="E44" s="9">
        <f>July!E44+D44</f>
        <v>0</v>
      </c>
      <c r="F44" s="17"/>
      <c r="G44" s="9">
        <f>July!G44+F44</f>
        <v>0</v>
      </c>
      <c r="H44" s="19"/>
      <c r="I44" s="9">
        <f>July!I44+H44</f>
        <v>0</v>
      </c>
    </row>
    <row r="45" spans="1:9" s="5" customFormat="1" ht="18" customHeight="1">
      <c r="A45" s="9" t="s">
        <v>47</v>
      </c>
      <c r="B45" s="13">
        <f>150+250+431+79+69+23+19+15+123+118+226+51+284+44+181+149+1+63+72+63+16+23+15+9+368+155+66+18+17+83</f>
        <v>3181</v>
      </c>
      <c r="C45" s="9">
        <f>July!C45+B45</f>
        <v>173230</v>
      </c>
      <c r="D45" s="15">
        <f>51+1+4+5</f>
        <v>61</v>
      </c>
      <c r="E45" s="9">
        <f>July!E45+D45</f>
        <v>9062</v>
      </c>
      <c r="F45" s="17"/>
      <c r="G45" s="9">
        <f>July!G45+F45</f>
        <v>827</v>
      </c>
      <c r="H45" s="19"/>
      <c r="I45" s="9">
        <f>July!I45+H45</f>
        <v>0</v>
      </c>
    </row>
    <row r="46" spans="1:9" s="5" customFormat="1" ht="18" customHeight="1">
      <c r="A46" s="9" t="s">
        <v>48</v>
      </c>
      <c r="B46" s="13">
        <f>285</f>
        <v>285</v>
      </c>
      <c r="C46" s="9">
        <f>July!C46+B46</f>
        <v>9797</v>
      </c>
      <c r="D46" s="15"/>
      <c r="E46" s="9">
        <f>July!E46+D46</f>
        <v>150</v>
      </c>
      <c r="F46" s="17"/>
      <c r="G46" s="9">
        <f>July!G46+F46</f>
        <v>3</v>
      </c>
      <c r="H46" s="19"/>
      <c r="I46" s="9">
        <f>July!I46+H46</f>
        <v>0</v>
      </c>
    </row>
    <row r="47" spans="1:9" s="5" customFormat="1" ht="18" customHeight="1">
      <c r="A47" s="9" t="s">
        <v>49</v>
      </c>
      <c r="B47" s="13"/>
      <c r="C47" s="9">
        <f>July!C47+B47</f>
        <v>4998</v>
      </c>
      <c r="D47" s="15"/>
      <c r="E47" s="9">
        <f>July!E47+D47</f>
        <v>824</v>
      </c>
      <c r="F47" s="17"/>
      <c r="G47" s="9">
        <f>July!G47+F47</f>
        <v>2461</v>
      </c>
      <c r="H47" s="19"/>
      <c r="I47" s="9">
        <f>July!I47+H47</f>
        <v>23</v>
      </c>
    </row>
    <row r="48" spans="1:9" s="5" customFormat="1" ht="18" customHeight="1">
      <c r="A48" s="9" t="s">
        <v>50</v>
      </c>
      <c r="B48" s="13"/>
      <c r="C48" s="9">
        <f>July!C48+B48</f>
        <v>133</v>
      </c>
      <c r="D48" s="15"/>
      <c r="E48" s="9">
        <f>July!E48+D48</f>
        <v>9</v>
      </c>
      <c r="F48" s="17"/>
      <c r="G48" s="9">
        <f>July!G48+F48</f>
        <v>1</v>
      </c>
      <c r="H48" s="19"/>
      <c r="I48" s="9">
        <f>July!I48+H48</f>
        <v>0</v>
      </c>
    </row>
    <row r="49" spans="1:9" s="5" customFormat="1" ht="18" customHeight="1">
      <c r="A49" s="9" t="s">
        <v>51</v>
      </c>
      <c r="B49" s="13"/>
      <c r="C49" s="9">
        <f>July!C49+B49</f>
        <v>0</v>
      </c>
      <c r="D49" s="15"/>
      <c r="E49" s="9">
        <f>July!E49+D49</f>
        <v>0</v>
      </c>
      <c r="F49" s="17"/>
      <c r="G49" s="9">
        <f>July!G49+F49</f>
        <v>0</v>
      </c>
      <c r="H49" s="19"/>
      <c r="I49" s="9">
        <f>July!I49+H49</f>
        <v>0</v>
      </c>
    </row>
    <row r="50" spans="1:9" s="5" customFormat="1" ht="18" customHeight="1">
      <c r="A50" s="9" t="s">
        <v>52</v>
      </c>
      <c r="B50" s="13"/>
      <c r="C50" s="9">
        <f>July!C50+B50</f>
        <v>10097</v>
      </c>
      <c r="D50" s="15"/>
      <c r="E50" s="9">
        <f>July!E50+D50</f>
        <v>0</v>
      </c>
      <c r="F50" s="17"/>
      <c r="G50" s="9">
        <f>July!G50+F50</f>
        <v>2</v>
      </c>
      <c r="H50" s="19"/>
      <c r="I50" s="9">
        <f>July!I50+H50</f>
        <v>0</v>
      </c>
    </row>
    <row r="51" spans="1:9" s="5" customFormat="1" ht="18" customHeight="1">
      <c r="A51" s="9" t="s">
        <v>53</v>
      </c>
      <c r="B51" s="13"/>
      <c r="C51" s="9">
        <f>July!C51+B51</f>
        <v>587</v>
      </c>
      <c r="D51" s="15">
        <f>2</f>
        <v>2</v>
      </c>
      <c r="E51" s="9">
        <f>July!E51+D51</f>
        <v>6</v>
      </c>
      <c r="F51" s="17"/>
      <c r="G51" s="9">
        <f>July!G51+F51</f>
        <v>1</v>
      </c>
      <c r="H51" s="19"/>
      <c r="I51" s="9">
        <f>July!I51+H51</f>
        <v>0</v>
      </c>
    </row>
    <row r="52" spans="1:9" s="5" customFormat="1" ht="18" customHeight="1">
      <c r="A52" s="9" t="s">
        <v>54</v>
      </c>
      <c r="B52" s="13"/>
      <c r="C52" s="9">
        <f>July!C52+B52</f>
        <v>1922</v>
      </c>
      <c r="D52" s="15"/>
      <c r="E52" s="9">
        <f>July!E52+D52</f>
        <v>0</v>
      </c>
      <c r="F52" s="17"/>
      <c r="G52" s="9">
        <f>July!G52+F52</f>
        <v>0</v>
      </c>
      <c r="H52" s="19"/>
      <c r="I52" s="9">
        <f>July!I52+H52</f>
        <v>0</v>
      </c>
    </row>
    <row r="53" spans="1:9" s="5" customFormat="1" ht="18" customHeight="1">
      <c r="A53" s="9" t="s">
        <v>55</v>
      </c>
      <c r="B53" s="13"/>
      <c r="C53" s="9">
        <f>July!C53+B53</f>
        <v>26588</v>
      </c>
      <c r="D53" s="15"/>
      <c r="E53" s="9">
        <f>July!E53+D53</f>
        <v>735</v>
      </c>
      <c r="F53" s="17"/>
      <c r="G53" s="9">
        <f>July!G53+F53</f>
        <v>4141</v>
      </c>
      <c r="H53" s="19"/>
      <c r="I53" s="9">
        <f>July!I53+H53</f>
        <v>0</v>
      </c>
    </row>
    <row r="54" spans="1:9" s="5" customFormat="1" ht="18" customHeight="1" thickBot="1">
      <c r="A54" s="10" t="s">
        <v>56</v>
      </c>
      <c r="B54" s="13"/>
      <c r="C54" s="9">
        <f>July!C54+B54</f>
        <v>4263</v>
      </c>
      <c r="D54" s="16"/>
      <c r="E54" s="9">
        <f>July!E54+D54</f>
        <v>2091</v>
      </c>
      <c r="F54" s="17"/>
      <c r="G54" s="9">
        <f>July!G54+F54</f>
        <v>0</v>
      </c>
      <c r="H54" s="19"/>
      <c r="I54" s="9">
        <f>July!I54+H54</f>
        <v>0</v>
      </c>
    </row>
    <row r="55" spans="1:9" s="5" customFormat="1" ht="18" customHeight="1" thickBot="1" thickTop="1">
      <c r="A55" s="11" t="s">
        <v>57</v>
      </c>
      <c r="B55" s="11">
        <f>SUM(B5:B54)</f>
        <v>27263</v>
      </c>
      <c r="C55" s="11"/>
      <c r="D55" s="11">
        <f>SUM(D5:D54)</f>
        <v>783</v>
      </c>
      <c r="E55" s="11"/>
      <c r="F55" s="11">
        <f>SUM(F5:F54)</f>
        <v>637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July!C57+B55</f>
        <v>628736</v>
      </c>
      <c r="D57" s="11"/>
      <c r="E57" s="11">
        <f>July!E57+D55</f>
        <v>43003</v>
      </c>
      <c r="F57" s="11"/>
      <c r="G57" s="11">
        <f>July!G57+F55</f>
        <v>24969</v>
      </c>
      <c r="H57" s="11"/>
      <c r="I57" s="11">
        <f>July!I57+H55</f>
        <v>104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July!E62+D60</f>
        <v>16705</v>
      </c>
      <c r="G62" s="4">
        <f>July!G62+F60</f>
        <v>2649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">
      <pane ySplit="4" topLeftCell="A52" activePane="bottomLeft" state="frozen"/>
      <selection pane="topLeft" activeCell="A1" sqref="A1"/>
      <selection pane="bottomLeft" activeCell="A52" sqref="A52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69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August!C5+B5</f>
        <v>334</v>
      </c>
      <c r="D5" s="15"/>
      <c r="E5" s="9">
        <f>August!E5+D5</f>
        <v>26</v>
      </c>
      <c r="F5" s="17"/>
      <c r="G5" s="9">
        <f>August!G5+F5</f>
        <v>0</v>
      </c>
      <c r="H5" s="19"/>
      <c r="I5" s="9">
        <f>August!I5+H5</f>
        <v>0</v>
      </c>
    </row>
    <row r="6" spans="1:9" s="5" customFormat="1" ht="18" customHeight="1">
      <c r="A6" s="9" t="s">
        <v>8</v>
      </c>
      <c r="B6" s="13"/>
      <c r="C6" s="9">
        <f>August!C6+B6</f>
        <v>0</v>
      </c>
      <c r="D6" s="15"/>
      <c r="E6" s="9">
        <f>August!E6+D6</f>
        <v>0</v>
      </c>
      <c r="F6" s="17"/>
      <c r="G6" s="9">
        <f>August!G6+F6</f>
        <v>0</v>
      </c>
      <c r="H6" s="19"/>
      <c r="I6" s="9">
        <f>August!I6+H6</f>
        <v>0</v>
      </c>
    </row>
    <row r="7" spans="1:9" s="5" customFormat="1" ht="18" customHeight="1">
      <c r="A7" s="9" t="s">
        <v>9</v>
      </c>
      <c r="B7" s="13"/>
      <c r="C7" s="9">
        <f>August!C7+B7</f>
        <v>181</v>
      </c>
      <c r="D7" s="15"/>
      <c r="E7" s="9">
        <f>August!E7+D7</f>
        <v>292</v>
      </c>
      <c r="F7" s="17"/>
      <c r="G7" s="9">
        <f>August!G7+F7</f>
        <v>1283</v>
      </c>
      <c r="H7" s="19"/>
      <c r="I7" s="9">
        <f>August!I7+H7</f>
        <v>0</v>
      </c>
    </row>
    <row r="8" spans="1:9" s="5" customFormat="1" ht="18" customHeight="1">
      <c r="A8" s="9" t="s">
        <v>10</v>
      </c>
      <c r="B8" s="13"/>
      <c r="C8" s="9">
        <f>August!C8+B8</f>
        <v>2797</v>
      </c>
      <c r="D8" s="15"/>
      <c r="E8" s="9">
        <f>August!E8+D8</f>
        <v>42</v>
      </c>
      <c r="F8" s="17"/>
      <c r="G8" s="9">
        <f>August!G8+F8</f>
        <v>0</v>
      </c>
      <c r="H8" s="19"/>
      <c r="I8" s="9">
        <f>August!I8+H8</f>
        <v>15</v>
      </c>
    </row>
    <row r="9" spans="1:9" s="5" customFormat="1" ht="18" customHeight="1">
      <c r="A9" s="9" t="s">
        <v>11</v>
      </c>
      <c r="B9" s="13"/>
      <c r="C9" s="9">
        <f>August!C9+B9</f>
        <v>2823</v>
      </c>
      <c r="D9" s="15"/>
      <c r="E9" s="9">
        <f>August!E9+D9</f>
        <v>186</v>
      </c>
      <c r="F9" s="17"/>
      <c r="G9" s="9">
        <f>August!G9+F9</f>
        <v>3497</v>
      </c>
      <c r="H9" s="19"/>
      <c r="I9" s="9">
        <f>August!I9+H9</f>
        <v>0</v>
      </c>
    </row>
    <row r="10" spans="1:9" s="5" customFormat="1" ht="18" customHeight="1">
      <c r="A10" s="9" t="s">
        <v>12</v>
      </c>
      <c r="B10" s="13"/>
      <c r="C10" s="9">
        <f>August!C10+B10</f>
        <v>8352</v>
      </c>
      <c r="D10" s="15"/>
      <c r="E10" s="9">
        <f>August!E10+D10</f>
        <v>28</v>
      </c>
      <c r="F10" s="17"/>
      <c r="G10" s="9">
        <f>August!G10+F10</f>
        <v>14</v>
      </c>
      <c r="H10" s="19"/>
      <c r="I10" s="9">
        <f>August!I10+H10</f>
        <v>0</v>
      </c>
    </row>
    <row r="11" spans="1:9" s="5" customFormat="1" ht="18" customHeight="1">
      <c r="A11" s="9" t="s">
        <v>13</v>
      </c>
      <c r="B11" s="13"/>
      <c r="C11" s="9">
        <f>August!C11+B11</f>
        <v>1049</v>
      </c>
      <c r="D11" s="15"/>
      <c r="E11" s="9">
        <f>August!E11+D11</f>
        <v>936</v>
      </c>
      <c r="F11" s="17"/>
      <c r="G11" s="9">
        <f>August!G11+F11</f>
        <v>263</v>
      </c>
      <c r="H11" s="19"/>
      <c r="I11" s="9">
        <f>August!I11+H11</f>
        <v>0</v>
      </c>
    </row>
    <row r="12" spans="1:9" s="5" customFormat="1" ht="18" customHeight="1">
      <c r="A12" s="9" t="s">
        <v>14</v>
      </c>
      <c r="B12" s="13"/>
      <c r="C12" s="9">
        <f>August!C12+B12</f>
        <v>0</v>
      </c>
      <c r="D12" s="15"/>
      <c r="E12" s="9">
        <f>August!E12+D12</f>
        <v>0</v>
      </c>
      <c r="F12" s="17"/>
      <c r="G12" s="9">
        <f>August!G12+F12</f>
        <v>0</v>
      </c>
      <c r="H12" s="19"/>
      <c r="I12" s="9">
        <f>August!I12+H12</f>
        <v>0</v>
      </c>
    </row>
    <row r="13" spans="1:9" s="5" customFormat="1" ht="18" customHeight="1">
      <c r="A13" s="9" t="s">
        <v>15</v>
      </c>
      <c r="B13" s="13"/>
      <c r="C13" s="9">
        <f>August!C13+B13</f>
        <v>0</v>
      </c>
      <c r="D13" s="15"/>
      <c r="E13" s="9">
        <f>August!E13+D13</f>
        <v>0</v>
      </c>
      <c r="F13" s="17"/>
      <c r="G13" s="9">
        <f>August!G13+F13</f>
        <v>0</v>
      </c>
      <c r="H13" s="19"/>
      <c r="I13" s="9">
        <f>August!I13+H13</f>
        <v>0</v>
      </c>
    </row>
    <row r="14" spans="1:9" s="5" customFormat="1" ht="18" customHeight="1">
      <c r="A14" s="9" t="s">
        <v>16</v>
      </c>
      <c r="B14" s="13"/>
      <c r="C14" s="9">
        <f>August!C14+B14</f>
        <v>1221</v>
      </c>
      <c r="D14" s="15"/>
      <c r="E14" s="9">
        <f>August!E14+D14</f>
        <v>0</v>
      </c>
      <c r="F14" s="17"/>
      <c r="G14" s="9">
        <f>August!G14+F14</f>
        <v>0</v>
      </c>
      <c r="H14" s="19"/>
      <c r="I14" s="9">
        <f>August!I14+H14</f>
        <v>0</v>
      </c>
    </row>
    <row r="15" spans="1:9" s="5" customFormat="1" ht="18" customHeight="1">
      <c r="A15" s="9" t="s">
        <v>17</v>
      </c>
      <c r="B15" s="13"/>
      <c r="C15" s="9">
        <f>August!C15+B15</f>
        <v>969</v>
      </c>
      <c r="D15" s="15"/>
      <c r="E15" s="9">
        <f>August!E15+D15</f>
        <v>67</v>
      </c>
      <c r="F15" s="17"/>
      <c r="G15" s="9">
        <f>August!G15+F15</f>
        <v>1</v>
      </c>
      <c r="H15" s="19"/>
      <c r="I15" s="9">
        <f>August!I15+H15</f>
        <v>0</v>
      </c>
    </row>
    <row r="16" spans="1:9" s="5" customFormat="1" ht="18" customHeight="1">
      <c r="A16" s="9" t="s">
        <v>18</v>
      </c>
      <c r="B16" s="13"/>
      <c r="C16" s="9">
        <f>August!C16+B16</f>
        <v>0</v>
      </c>
      <c r="D16" s="15"/>
      <c r="E16" s="9">
        <f>August!E16+D16</f>
        <v>0</v>
      </c>
      <c r="F16" s="17"/>
      <c r="G16" s="9">
        <f>August!G16+F16</f>
        <v>0</v>
      </c>
      <c r="H16" s="19"/>
      <c r="I16" s="9">
        <f>August!I16+H16</f>
        <v>0</v>
      </c>
    </row>
    <row r="17" spans="1:9" s="5" customFormat="1" ht="18" customHeight="1">
      <c r="A17" s="9" t="s">
        <v>19</v>
      </c>
      <c r="B17" s="13"/>
      <c r="C17" s="9">
        <f>August!C17+B17</f>
        <v>1047</v>
      </c>
      <c r="D17" s="15"/>
      <c r="E17" s="9">
        <f>August!E17+D17</f>
        <v>57</v>
      </c>
      <c r="F17" s="17"/>
      <c r="G17" s="9">
        <f>August!G17+F17</f>
        <v>715</v>
      </c>
      <c r="H17" s="19"/>
      <c r="I17" s="9">
        <f>August!I17+H17</f>
        <v>0</v>
      </c>
    </row>
    <row r="18" spans="1:9" s="5" customFormat="1" ht="18" customHeight="1">
      <c r="A18" s="9" t="s">
        <v>20</v>
      </c>
      <c r="B18" s="13"/>
      <c r="C18" s="9">
        <f>August!C18+B18</f>
        <v>2568</v>
      </c>
      <c r="D18" s="15"/>
      <c r="E18" s="9">
        <f>August!E18+D18</f>
        <v>1215</v>
      </c>
      <c r="F18" s="17"/>
      <c r="G18" s="9">
        <f>August!G18+F18</f>
        <v>284</v>
      </c>
      <c r="H18" s="19"/>
      <c r="I18" s="9">
        <f>August!I18+H18</f>
        <v>0</v>
      </c>
    </row>
    <row r="19" spans="1:9" s="5" customFormat="1" ht="18" customHeight="1">
      <c r="A19" s="9" t="s">
        <v>21</v>
      </c>
      <c r="B19" s="13"/>
      <c r="C19" s="9">
        <f>August!C19+B19</f>
        <v>11064</v>
      </c>
      <c r="D19" s="15"/>
      <c r="E19" s="9">
        <f>August!E19+D19</f>
        <v>98</v>
      </c>
      <c r="F19" s="17"/>
      <c r="G19" s="9">
        <f>August!G19+F19</f>
        <v>817</v>
      </c>
      <c r="H19" s="19"/>
      <c r="I19" s="9">
        <f>August!I19+H19</f>
        <v>0</v>
      </c>
    </row>
    <row r="20" spans="1:9" s="5" customFormat="1" ht="18" customHeight="1">
      <c r="A20" s="9" t="s">
        <v>22</v>
      </c>
      <c r="B20" s="13"/>
      <c r="C20" s="9">
        <f>August!C20+B20</f>
        <v>19959</v>
      </c>
      <c r="D20" s="15"/>
      <c r="E20" s="9">
        <f>August!E20+D20</f>
        <v>1780</v>
      </c>
      <c r="F20" s="17"/>
      <c r="G20" s="9">
        <f>August!G20+F20</f>
        <v>1763</v>
      </c>
      <c r="H20" s="19"/>
      <c r="I20" s="9">
        <f>August!I20+H20</f>
        <v>0</v>
      </c>
    </row>
    <row r="21" spans="1:9" s="5" customFormat="1" ht="18" customHeight="1">
      <c r="A21" s="9" t="s">
        <v>23</v>
      </c>
      <c r="B21" s="13"/>
      <c r="C21" s="9">
        <f>August!C21+B21</f>
        <v>52263</v>
      </c>
      <c r="D21" s="15"/>
      <c r="E21" s="9">
        <f>August!E21+D21</f>
        <v>16</v>
      </c>
      <c r="F21" s="17"/>
      <c r="G21" s="9">
        <f>August!G21+F21</f>
        <v>1</v>
      </c>
      <c r="H21" s="19"/>
      <c r="I21" s="9">
        <f>August!I21+H21</f>
        <v>0</v>
      </c>
    </row>
    <row r="22" spans="1:9" s="5" customFormat="1" ht="18" customHeight="1">
      <c r="A22" s="9" t="s">
        <v>24</v>
      </c>
      <c r="B22" s="13"/>
      <c r="C22" s="9">
        <f>August!C22+B22</f>
        <v>0</v>
      </c>
      <c r="D22" s="15"/>
      <c r="E22" s="9">
        <f>August!E22+D22</f>
        <v>0</v>
      </c>
      <c r="F22" s="17"/>
      <c r="G22" s="9">
        <f>August!G22+F22</f>
        <v>0</v>
      </c>
      <c r="H22" s="19"/>
      <c r="I22" s="9">
        <f>August!I22+H22</f>
        <v>0</v>
      </c>
    </row>
    <row r="23" spans="1:9" s="5" customFormat="1" ht="18" customHeight="1">
      <c r="A23" s="9" t="s">
        <v>25</v>
      </c>
      <c r="B23" s="13"/>
      <c r="C23" s="9">
        <f>August!C23+B23</f>
        <v>0</v>
      </c>
      <c r="D23" s="15"/>
      <c r="E23" s="9">
        <f>August!E23+D23</f>
        <v>0</v>
      </c>
      <c r="F23" s="17"/>
      <c r="G23" s="9">
        <f>August!G23+F23</f>
        <v>3</v>
      </c>
      <c r="H23" s="19"/>
      <c r="I23" s="9">
        <f>August!I23+H23</f>
        <v>0</v>
      </c>
    </row>
    <row r="24" spans="1:9" s="5" customFormat="1" ht="18" customHeight="1">
      <c r="A24" s="9" t="s">
        <v>26</v>
      </c>
      <c r="B24" s="13"/>
      <c r="C24" s="9">
        <f>August!C24+B24</f>
        <v>0</v>
      </c>
      <c r="D24" s="15"/>
      <c r="E24" s="9">
        <f>August!E24+D24</f>
        <v>6</v>
      </c>
      <c r="F24" s="17"/>
      <c r="G24" s="9">
        <f>August!G24+F24</f>
        <v>5</v>
      </c>
      <c r="H24" s="19"/>
      <c r="I24" s="9">
        <f>August!I24+H24</f>
        <v>0</v>
      </c>
    </row>
    <row r="25" spans="1:9" s="5" customFormat="1" ht="18" customHeight="1">
      <c r="A25" s="9" t="s">
        <v>27</v>
      </c>
      <c r="B25" s="13"/>
      <c r="C25" s="9">
        <f>August!C25+B25</f>
        <v>0</v>
      </c>
      <c r="D25" s="15"/>
      <c r="E25" s="9">
        <f>August!E25+D25</f>
        <v>0</v>
      </c>
      <c r="F25" s="17"/>
      <c r="G25" s="9">
        <f>August!G25+F25</f>
        <v>11</v>
      </c>
      <c r="H25" s="19"/>
      <c r="I25" s="9">
        <f>August!I25+H25</f>
        <v>0</v>
      </c>
    </row>
    <row r="26" spans="1:9" s="5" customFormat="1" ht="18" customHeight="1">
      <c r="A26" s="9" t="s">
        <v>28</v>
      </c>
      <c r="B26" s="13"/>
      <c r="C26" s="9">
        <f>August!C26+B26</f>
        <v>1745</v>
      </c>
      <c r="D26" s="15"/>
      <c r="E26" s="9">
        <f>August!E26+D26</f>
        <v>162</v>
      </c>
      <c r="F26" s="17"/>
      <c r="G26" s="9">
        <f>August!G26+F26</f>
        <v>158</v>
      </c>
      <c r="H26" s="19"/>
      <c r="I26" s="9">
        <f>August!I26+H26</f>
        <v>0</v>
      </c>
    </row>
    <row r="27" spans="1:9" s="5" customFormat="1" ht="18" customHeight="1">
      <c r="A27" s="9" t="s">
        <v>29</v>
      </c>
      <c r="B27" s="13"/>
      <c r="C27" s="9">
        <f>August!C27+B27</f>
        <v>18728</v>
      </c>
      <c r="D27" s="15"/>
      <c r="E27" s="9">
        <f>August!E27+D27</f>
        <v>2572</v>
      </c>
      <c r="F27" s="17"/>
      <c r="G27" s="9">
        <f>August!G27+F27</f>
        <v>4145</v>
      </c>
      <c r="H27" s="19"/>
      <c r="I27" s="9">
        <f>August!I27+H27</f>
        <v>0</v>
      </c>
    </row>
    <row r="28" spans="1:9" s="5" customFormat="1" ht="18" customHeight="1">
      <c r="A28" s="9" t="s">
        <v>30</v>
      </c>
      <c r="B28" s="13"/>
      <c r="C28" s="9">
        <f>August!C28+B28</f>
        <v>2327</v>
      </c>
      <c r="D28" s="15"/>
      <c r="E28" s="9">
        <f>August!E28+D28</f>
        <v>5</v>
      </c>
      <c r="F28" s="17"/>
      <c r="G28" s="9">
        <f>August!G28+F28</f>
        <v>0</v>
      </c>
      <c r="H28" s="19"/>
      <c r="I28" s="9">
        <f>August!I28+H28</f>
        <v>0</v>
      </c>
    </row>
    <row r="29" spans="1:9" s="5" customFormat="1" ht="18" customHeight="1">
      <c r="A29" s="9" t="s">
        <v>31</v>
      </c>
      <c r="B29" s="13"/>
      <c r="C29" s="9">
        <f>August!C29+B29</f>
        <v>93781</v>
      </c>
      <c r="D29" s="15"/>
      <c r="E29" s="9">
        <f>August!E29+D29</f>
        <v>2407</v>
      </c>
      <c r="F29" s="17"/>
      <c r="G29" s="9">
        <f>August!G29+F29</f>
        <v>311</v>
      </c>
      <c r="H29" s="19"/>
      <c r="I29" s="9">
        <f>August!I29+H29</f>
        <v>4</v>
      </c>
    </row>
    <row r="30" spans="1:9" s="5" customFormat="1" ht="18" customHeight="1">
      <c r="A30" s="9" t="s">
        <v>32</v>
      </c>
      <c r="B30" s="13"/>
      <c r="C30" s="9">
        <f>August!C30+B30</f>
        <v>31443</v>
      </c>
      <c r="D30" s="15"/>
      <c r="E30" s="9">
        <f>August!E30+D30</f>
        <v>5716</v>
      </c>
      <c r="F30" s="17"/>
      <c r="G30" s="9">
        <f>August!G30+F30</f>
        <v>43</v>
      </c>
      <c r="H30" s="19"/>
      <c r="I30" s="9">
        <f>August!I30+H30</f>
        <v>0</v>
      </c>
    </row>
    <row r="31" spans="1:9" s="5" customFormat="1" ht="18" customHeight="1">
      <c r="A31" s="9" t="s">
        <v>33</v>
      </c>
      <c r="B31" s="13"/>
      <c r="C31" s="9">
        <f>August!C31+B31</f>
        <v>5599</v>
      </c>
      <c r="D31" s="15"/>
      <c r="E31" s="9">
        <f>August!E31+D31</f>
        <v>13136</v>
      </c>
      <c r="F31" s="17"/>
      <c r="G31" s="9">
        <f>August!G31+F31</f>
        <v>686</v>
      </c>
      <c r="H31" s="19"/>
      <c r="I31" s="9">
        <f>August!I31+H31</f>
        <v>62</v>
      </c>
    </row>
    <row r="32" spans="1:9" s="5" customFormat="1" ht="18" customHeight="1">
      <c r="A32" s="9" t="s">
        <v>34</v>
      </c>
      <c r="B32" s="13"/>
      <c r="C32" s="9">
        <f>August!C32+B32</f>
        <v>0</v>
      </c>
      <c r="D32" s="15"/>
      <c r="E32" s="9">
        <f>August!E32+D32</f>
        <v>0</v>
      </c>
      <c r="F32" s="17"/>
      <c r="G32" s="9">
        <f>August!G32+F32</f>
        <v>0</v>
      </c>
      <c r="H32" s="19"/>
      <c r="I32" s="9">
        <f>August!I32+H32</f>
        <v>0</v>
      </c>
    </row>
    <row r="33" spans="1:9" s="5" customFormat="1" ht="18" customHeight="1">
      <c r="A33" s="9" t="s">
        <v>35</v>
      </c>
      <c r="B33" s="13"/>
      <c r="C33" s="9">
        <f>August!C33+B33</f>
        <v>0</v>
      </c>
      <c r="D33" s="15"/>
      <c r="E33" s="9">
        <f>August!E33+D33</f>
        <v>0</v>
      </c>
      <c r="F33" s="17"/>
      <c r="G33" s="9">
        <f>August!G33+F33</f>
        <v>0</v>
      </c>
      <c r="H33" s="19"/>
      <c r="I33" s="9">
        <f>August!I33+H33</f>
        <v>0</v>
      </c>
    </row>
    <row r="34" spans="1:9" s="5" customFormat="1" ht="18" customHeight="1">
      <c r="A34" s="9" t="s">
        <v>36</v>
      </c>
      <c r="B34" s="13"/>
      <c r="C34" s="9">
        <f>August!C34+B34</f>
        <v>0</v>
      </c>
      <c r="D34" s="15"/>
      <c r="E34" s="9">
        <f>August!E34+D34</f>
        <v>0</v>
      </c>
      <c r="F34" s="17"/>
      <c r="G34" s="9">
        <f>August!G34+F34</f>
        <v>0</v>
      </c>
      <c r="H34" s="19"/>
      <c r="I34" s="9">
        <f>August!I34+H34</f>
        <v>0</v>
      </c>
    </row>
    <row r="35" spans="1:9" s="5" customFormat="1" ht="18" customHeight="1">
      <c r="A35" s="9" t="s">
        <v>37</v>
      </c>
      <c r="B35" s="13"/>
      <c r="C35" s="9">
        <f>August!C35+B35</f>
        <v>1251</v>
      </c>
      <c r="D35" s="15"/>
      <c r="E35" s="9">
        <f>August!E35+D35</f>
        <v>22</v>
      </c>
      <c r="F35" s="17"/>
      <c r="G35" s="9">
        <f>August!G35+F35</f>
        <v>389</v>
      </c>
      <c r="H35" s="19"/>
      <c r="I35" s="9">
        <f>August!I35+H35</f>
        <v>0</v>
      </c>
    </row>
    <row r="36" spans="1:9" s="5" customFormat="1" ht="18" customHeight="1">
      <c r="A36" s="9" t="s">
        <v>38</v>
      </c>
      <c r="B36" s="13"/>
      <c r="C36" s="9">
        <f>August!C36+B36</f>
        <v>101</v>
      </c>
      <c r="D36" s="15"/>
      <c r="E36" s="9">
        <f>August!E36+D36</f>
        <v>31</v>
      </c>
      <c r="F36" s="17"/>
      <c r="G36" s="9">
        <f>August!G36+F36</f>
        <v>1035</v>
      </c>
      <c r="H36" s="19"/>
      <c r="I36" s="9">
        <f>August!I36+H36</f>
        <v>0</v>
      </c>
    </row>
    <row r="37" spans="1:9" s="5" customFormat="1" ht="18" customHeight="1">
      <c r="A37" s="9" t="s">
        <v>39</v>
      </c>
      <c r="B37" s="13"/>
      <c r="C37" s="9">
        <f>August!C37+B37</f>
        <v>264</v>
      </c>
      <c r="D37" s="15"/>
      <c r="E37" s="9">
        <f>August!E37+D37</f>
        <v>13</v>
      </c>
      <c r="F37" s="17"/>
      <c r="G37" s="9">
        <f>August!G37+F37</f>
        <v>184</v>
      </c>
      <c r="H37" s="19"/>
      <c r="I37" s="9">
        <f>August!I37+H37</f>
        <v>0</v>
      </c>
    </row>
    <row r="38" spans="1:9" s="5" customFormat="1" ht="18" customHeight="1">
      <c r="A38" s="9" t="s">
        <v>40</v>
      </c>
      <c r="B38" s="13"/>
      <c r="C38" s="9">
        <f>August!C38+B38</f>
        <v>55978</v>
      </c>
      <c r="D38" s="15"/>
      <c r="E38" s="9">
        <f>August!E38+D38</f>
        <v>578</v>
      </c>
      <c r="F38" s="17"/>
      <c r="G38" s="9">
        <f>August!G38+F38</f>
        <v>149</v>
      </c>
      <c r="H38" s="19"/>
      <c r="I38" s="9">
        <f>August!I38+H38</f>
        <v>0</v>
      </c>
    </row>
    <row r="39" spans="1:9" s="5" customFormat="1" ht="18" customHeight="1">
      <c r="A39" s="9" t="s">
        <v>41</v>
      </c>
      <c r="B39" s="13"/>
      <c r="C39" s="9">
        <f>August!C39+B39</f>
        <v>0</v>
      </c>
      <c r="D39" s="15"/>
      <c r="E39" s="9">
        <f>August!E39+D39</f>
        <v>39</v>
      </c>
      <c r="F39" s="17"/>
      <c r="G39" s="9">
        <f>August!G39+F39</f>
        <v>205</v>
      </c>
      <c r="H39" s="19"/>
      <c r="I39" s="9">
        <f>August!I39+H39</f>
        <v>0</v>
      </c>
    </row>
    <row r="40" spans="1:9" s="5" customFormat="1" ht="18" customHeight="1">
      <c r="A40" s="9" t="s">
        <v>42</v>
      </c>
      <c r="B40" s="13"/>
      <c r="C40" s="9">
        <f>August!C40+B40</f>
        <v>42835</v>
      </c>
      <c r="D40" s="15"/>
      <c r="E40" s="9">
        <f>August!E40+D40</f>
        <v>508</v>
      </c>
      <c r="F40" s="17"/>
      <c r="G40" s="9">
        <f>August!G40+F40</f>
        <v>10</v>
      </c>
      <c r="H40" s="19"/>
      <c r="I40" s="9">
        <f>August!I40+H40</f>
        <v>0</v>
      </c>
    </row>
    <row r="41" spans="1:9" s="5" customFormat="1" ht="18" customHeight="1">
      <c r="A41" s="9" t="s">
        <v>43</v>
      </c>
      <c r="B41" s="13"/>
      <c r="C41" s="9">
        <f>August!C41+B41</f>
        <v>1133</v>
      </c>
      <c r="D41" s="15"/>
      <c r="E41" s="9">
        <f>August!E41+D41</f>
        <v>0</v>
      </c>
      <c r="F41" s="17"/>
      <c r="G41" s="9">
        <f>August!G41+F41</f>
        <v>79</v>
      </c>
      <c r="H41" s="19"/>
      <c r="I41" s="9">
        <f>August!I41+H41</f>
        <v>0</v>
      </c>
    </row>
    <row r="42" spans="1:9" s="5" customFormat="1" ht="18" customHeight="1">
      <c r="A42" s="9" t="s">
        <v>44</v>
      </c>
      <c r="B42" s="13"/>
      <c r="C42" s="9">
        <f>August!C42+B42</f>
        <v>488</v>
      </c>
      <c r="D42" s="15"/>
      <c r="E42" s="9">
        <f>August!E42+D42</f>
        <v>188</v>
      </c>
      <c r="F42" s="17"/>
      <c r="G42" s="9">
        <f>August!G42+F42</f>
        <v>1482</v>
      </c>
      <c r="H42" s="19"/>
      <c r="I42" s="9">
        <f>August!I42+H42</f>
        <v>0</v>
      </c>
    </row>
    <row r="43" spans="1:9" s="5" customFormat="1" ht="18" customHeight="1">
      <c r="A43" s="9" t="s">
        <v>45</v>
      </c>
      <c r="B43" s="13"/>
      <c r="C43" s="9">
        <f>August!C43+B43</f>
        <v>0</v>
      </c>
      <c r="D43" s="15"/>
      <c r="E43" s="9">
        <f>August!E43+D43</f>
        <v>0</v>
      </c>
      <c r="F43" s="17"/>
      <c r="G43" s="9">
        <f>August!G43+F43</f>
        <v>0</v>
      </c>
      <c r="H43" s="19"/>
      <c r="I43" s="9">
        <f>August!I43+H43</f>
        <v>0</v>
      </c>
    </row>
    <row r="44" spans="1:9" s="5" customFormat="1" ht="18" customHeight="1">
      <c r="A44" s="9" t="s">
        <v>46</v>
      </c>
      <c r="B44" s="13"/>
      <c r="C44" s="9">
        <f>August!C44+B44</f>
        <v>1311</v>
      </c>
      <c r="D44" s="15"/>
      <c r="E44" s="9">
        <f>August!E44+D44</f>
        <v>0</v>
      </c>
      <c r="F44" s="17"/>
      <c r="G44" s="9">
        <f>August!G44+F44</f>
        <v>0</v>
      </c>
      <c r="H44" s="19"/>
      <c r="I44" s="9">
        <f>August!I44+H44</f>
        <v>0</v>
      </c>
    </row>
    <row r="45" spans="1:9" s="5" customFormat="1" ht="18" customHeight="1">
      <c r="A45" s="9" t="s">
        <v>47</v>
      </c>
      <c r="B45" s="13"/>
      <c r="C45" s="9">
        <f>August!C45+B45</f>
        <v>173230</v>
      </c>
      <c r="D45" s="15"/>
      <c r="E45" s="9">
        <f>August!E45+D45</f>
        <v>9062</v>
      </c>
      <c r="F45" s="17"/>
      <c r="G45" s="9">
        <f>August!G45+F45</f>
        <v>827</v>
      </c>
      <c r="H45" s="19"/>
      <c r="I45" s="9">
        <f>August!I45+H45</f>
        <v>0</v>
      </c>
    </row>
    <row r="46" spans="1:9" s="5" customFormat="1" ht="18" customHeight="1">
      <c r="A46" s="9" t="s">
        <v>48</v>
      </c>
      <c r="B46" s="13"/>
      <c r="C46" s="9">
        <f>August!C46+B46</f>
        <v>9797</v>
      </c>
      <c r="D46" s="15"/>
      <c r="E46" s="9">
        <f>August!E46+D46</f>
        <v>150</v>
      </c>
      <c r="F46" s="17"/>
      <c r="G46" s="9">
        <f>August!G46+F46</f>
        <v>3</v>
      </c>
      <c r="H46" s="19"/>
      <c r="I46" s="9">
        <f>August!I46+H46</f>
        <v>0</v>
      </c>
    </row>
    <row r="47" spans="1:9" s="5" customFormat="1" ht="18" customHeight="1">
      <c r="A47" s="9" t="s">
        <v>49</v>
      </c>
      <c r="B47" s="13"/>
      <c r="C47" s="9">
        <f>August!C47+B47</f>
        <v>4998</v>
      </c>
      <c r="D47" s="15"/>
      <c r="E47" s="9">
        <f>August!E47+D47</f>
        <v>824</v>
      </c>
      <c r="F47" s="17"/>
      <c r="G47" s="9">
        <f>August!G47+F47</f>
        <v>2461</v>
      </c>
      <c r="H47" s="19"/>
      <c r="I47" s="9">
        <f>August!I47+H47</f>
        <v>23</v>
      </c>
    </row>
    <row r="48" spans="1:9" s="5" customFormat="1" ht="18" customHeight="1">
      <c r="A48" s="9" t="s">
        <v>50</v>
      </c>
      <c r="B48" s="13"/>
      <c r="C48" s="9">
        <f>August!C48+B48</f>
        <v>133</v>
      </c>
      <c r="D48" s="15"/>
      <c r="E48" s="9">
        <f>August!E48+D48</f>
        <v>9</v>
      </c>
      <c r="F48" s="17"/>
      <c r="G48" s="9">
        <f>August!G48+F48</f>
        <v>1</v>
      </c>
      <c r="H48" s="19"/>
      <c r="I48" s="9">
        <f>August!I48+H48</f>
        <v>0</v>
      </c>
    </row>
    <row r="49" spans="1:9" s="5" customFormat="1" ht="18" customHeight="1">
      <c r="A49" s="9" t="s">
        <v>51</v>
      </c>
      <c r="B49" s="13"/>
      <c r="C49" s="9">
        <f>August!C49+B49</f>
        <v>0</v>
      </c>
      <c r="D49" s="15"/>
      <c r="E49" s="9">
        <f>August!E49+D49</f>
        <v>0</v>
      </c>
      <c r="F49" s="17"/>
      <c r="G49" s="9">
        <f>August!G49+F49</f>
        <v>0</v>
      </c>
      <c r="H49" s="19"/>
      <c r="I49" s="9">
        <f>August!I49+H49</f>
        <v>0</v>
      </c>
    </row>
    <row r="50" spans="1:9" s="5" customFormat="1" ht="18" customHeight="1">
      <c r="A50" s="9" t="s">
        <v>52</v>
      </c>
      <c r="B50" s="13"/>
      <c r="C50" s="9">
        <f>August!C50+B50</f>
        <v>10097</v>
      </c>
      <c r="D50" s="15"/>
      <c r="E50" s="9">
        <f>August!E50+D50</f>
        <v>0</v>
      </c>
      <c r="F50" s="17"/>
      <c r="G50" s="9">
        <f>August!G50+F50</f>
        <v>2</v>
      </c>
      <c r="H50" s="19"/>
      <c r="I50" s="9">
        <f>August!I50+H50</f>
        <v>0</v>
      </c>
    </row>
    <row r="51" spans="1:9" s="5" customFormat="1" ht="18" customHeight="1">
      <c r="A51" s="9" t="s">
        <v>53</v>
      </c>
      <c r="B51" s="13"/>
      <c r="C51" s="9">
        <f>August!C51+B51</f>
        <v>587</v>
      </c>
      <c r="D51" s="15"/>
      <c r="E51" s="9">
        <f>August!E51+D51</f>
        <v>6</v>
      </c>
      <c r="F51" s="17"/>
      <c r="G51" s="9">
        <f>August!G51+F51</f>
        <v>1</v>
      </c>
      <c r="H51" s="19"/>
      <c r="I51" s="9">
        <f>August!I51+H51</f>
        <v>0</v>
      </c>
    </row>
    <row r="52" spans="1:9" s="5" customFormat="1" ht="18" customHeight="1">
      <c r="A52" s="9" t="s">
        <v>54</v>
      </c>
      <c r="B52" s="13"/>
      <c r="C52" s="9">
        <f>August!C52+B52</f>
        <v>1922</v>
      </c>
      <c r="D52" s="15"/>
      <c r="E52" s="9">
        <f>August!E52+D52</f>
        <v>0</v>
      </c>
      <c r="F52" s="17"/>
      <c r="G52" s="9">
        <f>August!G52+F52</f>
        <v>0</v>
      </c>
      <c r="H52" s="19"/>
      <c r="I52" s="9">
        <f>August!I52+H52</f>
        <v>0</v>
      </c>
    </row>
    <row r="53" spans="1:9" s="5" customFormat="1" ht="18" customHeight="1">
      <c r="A53" s="9" t="s">
        <v>55</v>
      </c>
      <c r="B53" s="13"/>
      <c r="C53" s="9">
        <f>August!C53+B53</f>
        <v>26588</v>
      </c>
      <c r="D53" s="15"/>
      <c r="E53" s="9">
        <f>August!E53+D53</f>
        <v>735</v>
      </c>
      <c r="F53" s="17"/>
      <c r="G53" s="9">
        <f>August!G53+F53</f>
        <v>4141</v>
      </c>
      <c r="H53" s="19"/>
      <c r="I53" s="9">
        <f>August!I53+H53</f>
        <v>0</v>
      </c>
    </row>
    <row r="54" spans="1:9" s="5" customFormat="1" ht="18" customHeight="1" thickBot="1">
      <c r="A54" s="10" t="s">
        <v>56</v>
      </c>
      <c r="B54" s="13"/>
      <c r="C54" s="9">
        <f>August!C54+B54</f>
        <v>4263</v>
      </c>
      <c r="D54" s="16"/>
      <c r="E54" s="9">
        <f>August!E54+D54</f>
        <v>2091</v>
      </c>
      <c r="F54" s="17"/>
      <c r="G54" s="9">
        <f>August!G54+F54</f>
        <v>0</v>
      </c>
      <c r="H54" s="19"/>
      <c r="I54" s="9">
        <f>August!I54+H54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August!C57+B55</f>
        <v>628736</v>
      </c>
      <c r="D57" s="11"/>
      <c r="E57" s="11">
        <f>August!E57+D55</f>
        <v>43003</v>
      </c>
      <c r="F57" s="11"/>
      <c r="G57" s="11">
        <f>August!G57+F55</f>
        <v>24969</v>
      </c>
      <c r="H57" s="11"/>
      <c r="I57" s="11">
        <f>August!I57+H55</f>
        <v>104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August!E62+D60</f>
        <v>16705</v>
      </c>
      <c r="G62" s="4">
        <f>August!G62+F60</f>
        <v>2649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Iowa Library Services</cp:lastModifiedBy>
  <cp:lastPrinted>2011-01-10T22:07:14Z</cp:lastPrinted>
  <dcterms:created xsi:type="dcterms:W3CDTF">2010-10-14T14:44:24Z</dcterms:created>
  <dcterms:modified xsi:type="dcterms:W3CDTF">2013-08-28T14:14:25Z</dcterms:modified>
  <cp:category/>
  <cp:version/>
  <cp:contentType/>
  <cp:contentStatus/>
</cp:coreProperties>
</file>