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2655" windowWidth="11445" windowHeight="5580" tabRatio="914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definedNames>
    <definedName name="_xlnm.Print_Area" localSheetId="3">April!$A$1:$G$67</definedName>
    <definedName name="_xlnm.Print_Area" localSheetId="7">August!$A$1:$G$67</definedName>
    <definedName name="_xlnm.Print_Area" localSheetId="11">December!$A$1:$G$67</definedName>
    <definedName name="_xlnm.Print_Area" localSheetId="1">February!$A$1:$G$67</definedName>
    <definedName name="_xlnm.Print_Area" localSheetId="0">January!$A$1:$G$67</definedName>
    <definedName name="_xlnm.Print_Area" localSheetId="6">July!$A$2:$G$67</definedName>
    <definedName name="_xlnm.Print_Area" localSheetId="5">June!$A$1:$G$67</definedName>
    <definedName name="_xlnm.Print_Area" localSheetId="2">March!$A$1:$G$67</definedName>
    <definedName name="_xlnm.Print_Area" localSheetId="4">May!$A$1:$G$67</definedName>
    <definedName name="_xlnm.Print_Area" localSheetId="10">November!$A$1:$G$67</definedName>
    <definedName name="_xlnm.Print_Area" localSheetId="9">October!$A$1:$G$67</definedName>
    <definedName name="_xlnm.Print_Area" localSheetId="8">September!$A$1:$G$67</definedName>
  </definedNames>
  <calcPr calcId="145621"/>
</workbook>
</file>

<file path=xl/calcChain.xml><?xml version="1.0" encoding="utf-8"?>
<calcChain xmlns="http://schemas.openxmlformats.org/spreadsheetml/2006/main">
  <c r="B54" i="5" l="1"/>
  <c r="D53" i="5"/>
  <c r="B53" i="5"/>
  <c r="D45" i="5"/>
  <c r="B45" i="5"/>
  <c r="B40" i="5"/>
  <c r="D39" i="5"/>
  <c r="B31" i="5"/>
  <c r="B38" i="5"/>
  <c r="B29" i="5"/>
  <c r="D27" i="5"/>
  <c r="B27" i="5"/>
  <c r="B26" i="5"/>
  <c r="D20" i="5"/>
  <c r="B20" i="5"/>
  <c r="D18" i="5"/>
  <c r="B18" i="5"/>
  <c r="B12" i="5"/>
  <c r="C64" i="5"/>
  <c r="C63" i="5"/>
  <c r="C62" i="5"/>
  <c r="B54" i="4"/>
  <c r="D45" i="4"/>
  <c r="B45" i="4"/>
  <c r="D40" i="4"/>
  <c r="B40" i="4"/>
  <c r="B39" i="4"/>
  <c r="B38" i="4"/>
  <c r="B31" i="4"/>
  <c r="B30" i="4"/>
  <c r="D29" i="4"/>
  <c r="B29" i="4"/>
  <c r="D27" i="4"/>
  <c r="B27" i="4"/>
  <c r="D26" i="4"/>
  <c r="D21" i="4"/>
  <c r="D20" i="4"/>
  <c r="B20" i="4"/>
  <c r="D19" i="4"/>
  <c r="D18" i="4"/>
  <c r="B18" i="4"/>
  <c r="C66" i="4"/>
  <c r="C62" i="4"/>
  <c r="B12" i="4"/>
  <c r="B54" i="3" l="1"/>
  <c r="B53" i="3"/>
  <c r="D45" i="3"/>
  <c r="B45" i="3"/>
  <c r="D40" i="3"/>
  <c r="B40" i="3"/>
  <c r="B31" i="3"/>
  <c r="B38" i="3"/>
  <c r="B30" i="3"/>
  <c r="D29" i="3"/>
  <c r="B29" i="3"/>
  <c r="D27" i="3"/>
  <c r="B27" i="3"/>
  <c r="D26" i="3"/>
  <c r="D21" i="3"/>
  <c r="B20" i="3"/>
  <c r="B18" i="3"/>
  <c r="D18" i="3"/>
  <c r="B12" i="3"/>
  <c r="C66" i="3"/>
  <c r="C62" i="3"/>
  <c r="B54" i="2"/>
  <c r="B53" i="2"/>
  <c r="D45" i="2"/>
  <c r="B45" i="2"/>
  <c r="C66" i="2"/>
  <c r="D42" i="2"/>
  <c r="B40" i="2"/>
  <c r="B31" i="2"/>
  <c r="B38" i="2"/>
  <c r="D27" i="2"/>
  <c r="B29" i="2"/>
  <c r="C62" i="2"/>
  <c r="B27" i="2"/>
  <c r="B20" i="2"/>
  <c r="B18" i="2"/>
  <c r="B12" i="2"/>
  <c r="B53" i="1" l="1"/>
  <c r="C66" i="1"/>
  <c r="D45" i="1"/>
  <c r="B45" i="1"/>
  <c r="D42" i="1"/>
  <c r="B40" i="1"/>
  <c r="B39" i="1"/>
  <c r="B31" i="1"/>
  <c r="B38" i="1"/>
  <c r="B30" i="1"/>
  <c r="B29" i="1"/>
  <c r="C62" i="1"/>
  <c r="D27" i="1"/>
  <c r="B27" i="1"/>
  <c r="B20" i="1"/>
  <c r="D18" i="1"/>
  <c r="B18" i="1"/>
  <c r="B12" i="1"/>
  <c r="B12" i="6" l="1"/>
  <c r="D12" i="6"/>
  <c r="D39" i="6"/>
  <c r="B31" i="6"/>
  <c r="D31" i="6"/>
  <c r="C64" i="6"/>
  <c r="D22" i="6"/>
  <c r="D40" i="6"/>
  <c r="D20" i="6"/>
  <c r="B20" i="6"/>
  <c r="D45" i="6"/>
  <c r="B45" i="6"/>
  <c r="C66" i="6"/>
  <c r="D29" i="6"/>
  <c r="B29" i="6"/>
  <c r="B40" i="6"/>
  <c r="D47" i="6"/>
  <c r="D9" i="5" l="1"/>
  <c r="B9" i="5"/>
  <c r="F27" i="5" l="1"/>
  <c r="D21" i="5"/>
  <c r="B16" i="5"/>
  <c r="B7" i="5"/>
  <c r="C66" i="5" l="1"/>
  <c r="D12" i="5"/>
  <c r="D31" i="5"/>
  <c r="F29" i="5" l="1"/>
  <c r="D22" i="5"/>
  <c r="B16" i="4" l="1"/>
  <c r="B53" i="4" l="1"/>
  <c r="D38" i="4"/>
  <c r="B9" i="4"/>
  <c r="D9" i="4"/>
  <c r="D31" i="4" l="1"/>
  <c r="C64" i="4" l="1"/>
  <c r="D47" i="4" l="1"/>
  <c r="C63" i="4" l="1"/>
  <c r="F29" i="4" l="1"/>
  <c r="B16" i="3" l="1"/>
  <c r="D9" i="3"/>
  <c r="B9" i="3"/>
  <c r="B7" i="3"/>
  <c r="C63" i="3" l="1"/>
  <c r="D31" i="3"/>
  <c r="C64" i="3"/>
  <c r="D47" i="3" l="1"/>
  <c r="D53" i="2" l="1"/>
  <c r="D47" i="2"/>
  <c r="D38" i="2"/>
  <c r="B16" i="2" l="1"/>
  <c r="D16" i="2"/>
  <c r="B9" i="2"/>
  <c r="D8" i="2"/>
  <c r="B7" i="2"/>
  <c r="D31" i="2" l="1"/>
  <c r="C64" i="2"/>
  <c r="C63" i="2"/>
  <c r="D29" i="2" l="1"/>
  <c r="D21" i="2" l="1"/>
  <c r="B54" i="1" l="1"/>
  <c r="B9" i="1"/>
  <c r="D21" i="1" l="1"/>
  <c r="C64" i="1"/>
  <c r="D31" i="1"/>
  <c r="C63" i="1"/>
  <c r="F29" i="1"/>
  <c r="D53" i="1" l="1"/>
  <c r="D38" i="1"/>
  <c r="B17" i="1" l="1"/>
  <c r="B16" i="1"/>
  <c r="F55" i="2" l="1"/>
  <c r="F55" i="11" l="1"/>
  <c r="E26" i="1"/>
  <c r="E26" i="2" s="1"/>
  <c r="E26" i="3" s="1"/>
  <c r="E26" i="4" s="1"/>
  <c r="E26" i="5" s="1"/>
  <c r="E26" i="6" s="1"/>
  <c r="E26" i="7" s="1"/>
  <c r="E26" i="8" s="1"/>
  <c r="E26" i="9" s="1"/>
  <c r="E26" i="10" s="1"/>
  <c r="E26" i="11" s="1"/>
  <c r="E26" i="12" s="1"/>
  <c r="D62" i="1"/>
  <c r="D62" i="2" s="1"/>
  <c r="D62" i="3" s="1"/>
  <c r="D62" i="4" s="1"/>
  <c r="D62" i="5" s="1"/>
  <c r="D62" i="6" s="1"/>
  <c r="D62" i="7" s="1"/>
  <c r="D62" i="8" s="1"/>
  <c r="D62" i="9" s="1"/>
  <c r="D62" i="10" s="1"/>
  <c r="D62" i="11" s="1"/>
  <c r="D62" i="12" s="1"/>
  <c r="E45" i="1"/>
  <c r="E39" i="1"/>
  <c r="E27" i="1"/>
  <c r="E27" i="2" s="1"/>
  <c r="E27" i="3" s="1"/>
  <c r="E27" i="4" s="1"/>
  <c r="E27" i="5" s="1"/>
  <c r="E27" i="6" s="1"/>
  <c r="E27" i="7" s="1"/>
  <c r="E27" i="8" s="1"/>
  <c r="E27" i="9" s="1"/>
  <c r="E27" i="10" s="1"/>
  <c r="E27" i="11" s="1"/>
  <c r="E27" i="12" s="1"/>
  <c r="E21" i="1"/>
  <c r="E19" i="1"/>
  <c r="E19" i="2" s="1"/>
  <c r="E19" i="3" s="1"/>
  <c r="E19" i="4" s="1"/>
  <c r="E19" i="5" s="1"/>
  <c r="E19" i="6" s="1"/>
  <c r="E19" i="7" s="1"/>
  <c r="E19" i="8" s="1"/>
  <c r="E19" i="9" s="1"/>
  <c r="E19" i="10" s="1"/>
  <c r="E19" i="11" s="1"/>
  <c r="E19" i="12" s="1"/>
  <c r="C48" i="1"/>
  <c r="C27" i="1"/>
  <c r="C27" i="2" s="1"/>
  <c r="C54" i="1"/>
  <c r="C38" i="1"/>
  <c r="C18" i="1"/>
  <c r="C18" i="2" s="1"/>
  <c r="C18" i="3" s="1"/>
  <c r="C18" i="4" s="1"/>
  <c r="C18" i="5" s="1"/>
  <c r="C18" i="6" s="1"/>
  <c r="C18" i="7" s="1"/>
  <c r="C18" i="8" s="1"/>
  <c r="C18" i="9" s="1"/>
  <c r="C18" i="10" s="1"/>
  <c r="C18" i="11" s="1"/>
  <c r="C18" i="12" s="1"/>
  <c r="G11" i="1"/>
  <c r="G11" i="2" s="1"/>
  <c r="G11" i="3" s="1"/>
  <c r="G11" i="4" s="1"/>
  <c r="G11" i="5" s="1"/>
  <c r="G11" i="6" s="1"/>
  <c r="G11" i="7" s="1"/>
  <c r="G11" i="8" s="1"/>
  <c r="G11" i="9" s="1"/>
  <c r="G11" i="10" s="1"/>
  <c r="G11" i="11" s="1"/>
  <c r="G11" i="12" s="1"/>
  <c r="C17" i="1"/>
  <c r="C17" i="2" s="1"/>
  <c r="C17" i="3" s="1"/>
  <c r="C17" i="4" s="1"/>
  <c r="C17" i="5" s="1"/>
  <c r="C17" i="6" s="1"/>
  <c r="C17" i="7" s="1"/>
  <c r="C17" i="8" s="1"/>
  <c r="C17" i="9" s="1"/>
  <c r="C16" i="1"/>
  <c r="C16" i="2" s="1"/>
  <c r="C16" i="3" s="1"/>
  <c r="C16" i="4" s="1"/>
  <c r="C16" i="5" s="1"/>
  <c r="C16" i="6" s="1"/>
  <c r="C16" i="7" s="1"/>
  <c r="C16" i="8" s="1"/>
  <c r="C16" i="9" s="1"/>
  <c r="C16" i="10" s="1"/>
  <c r="C16" i="11" s="1"/>
  <c r="C16" i="12" s="1"/>
  <c r="C8" i="1"/>
  <c r="C8" i="2" s="1"/>
  <c r="C8" i="3" s="1"/>
  <c r="C8" i="4" s="1"/>
  <c r="C8" i="5" s="1"/>
  <c r="C8" i="6" s="1"/>
  <c r="C8" i="7" s="1"/>
  <c r="C8" i="8" s="1"/>
  <c r="C8" i="9" s="1"/>
  <c r="C8" i="10" s="1"/>
  <c r="C8" i="11" s="1"/>
  <c r="C8" i="12" s="1"/>
  <c r="D63" i="1"/>
  <c r="D63" i="2" s="1"/>
  <c r="D63" i="3" s="1"/>
  <c r="D63" i="4" s="1"/>
  <c r="D63" i="5" s="1"/>
  <c r="D63" i="6" s="1"/>
  <c r="D63" i="7" s="1"/>
  <c r="D63" i="8" s="1"/>
  <c r="D63" i="9" s="1"/>
  <c r="D63" i="10" s="1"/>
  <c r="D63" i="11" s="1"/>
  <c r="D63" i="12" s="1"/>
  <c r="D64" i="1"/>
  <c r="D64" i="2" s="1"/>
  <c r="D64" i="3" s="1"/>
  <c r="D64" i="4" s="1"/>
  <c r="D64" i="5" s="1"/>
  <c r="D64" i="6" s="1"/>
  <c r="D64" i="7" s="1"/>
  <c r="D64" i="8" s="1"/>
  <c r="D64" i="9" s="1"/>
  <c r="D64" i="10" s="1"/>
  <c r="D64" i="11" s="1"/>
  <c r="D64" i="12" s="1"/>
  <c r="C21" i="1"/>
  <c r="C21" i="2" s="1"/>
  <c r="C21" i="3" s="1"/>
  <c r="C21" i="4" s="1"/>
  <c r="C21" i="5" s="1"/>
  <c r="C21" i="6" s="1"/>
  <c r="C21" i="7" s="1"/>
  <c r="C21" i="8" s="1"/>
  <c r="C21" i="9" s="1"/>
  <c r="C21" i="10" s="1"/>
  <c r="C21" i="11" s="1"/>
  <c r="C21" i="12" s="1"/>
  <c r="C47" i="1"/>
  <c r="C47" i="2" s="1"/>
  <c r="C47" i="3" s="1"/>
  <c r="C47" i="4" s="1"/>
  <c r="C47" i="5" s="1"/>
  <c r="C47" i="6" s="1"/>
  <c r="C47" i="7" s="1"/>
  <c r="C47" i="8" s="1"/>
  <c r="C47" i="9" s="1"/>
  <c r="C47" i="10" s="1"/>
  <c r="C47" i="11" s="1"/>
  <c r="C47" i="12" s="1"/>
  <c r="C7" i="1"/>
  <c r="E7" i="1"/>
  <c r="E7" i="2" s="1"/>
  <c r="E7" i="3" s="1"/>
  <c r="E7" i="4" s="1"/>
  <c r="E7" i="5" s="1"/>
  <c r="E7" i="6" s="1"/>
  <c r="E7" i="7" s="1"/>
  <c r="E7" i="8" s="1"/>
  <c r="E7" i="9" s="1"/>
  <c r="E7" i="10" s="1"/>
  <c r="E7" i="11" s="1"/>
  <c r="E7" i="12" s="1"/>
  <c r="G7" i="1"/>
  <c r="E8" i="1"/>
  <c r="E8" i="2" s="1"/>
  <c r="E8" i="3" s="1"/>
  <c r="E8" i="4" s="1"/>
  <c r="E8" i="5" s="1"/>
  <c r="E8" i="6" s="1"/>
  <c r="E8" i="7" s="1"/>
  <c r="E8" i="8" s="1"/>
  <c r="E8" i="9" s="1"/>
  <c r="E8" i="10" s="1"/>
  <c r="E8" i="11" s="1"/>
  <c r="E8" i="12" s="1"/>
  <c r="G8" i="1"/>
  <c r="C9" i="1"/>
  <c r="C9" i="2" s="1"/>
  <c r="C9" i="3" s="1"/>
  <c r="C9" i="4" s="1"/>
  <c r="C9" i="5" s="1"/>
  <c r="C9" i="6" s="1"/>
  <c r="C9" i="7" s="1"/>
  <c r="C9" i="8" s="1"/>
  <c r="C9" i="9" s="1"/>
  <c r="C9" i="10" s="1"/>
  <c r="C9" i="11" s="1"/>
  <c r="C9" i="12" s="1"/>
  <c r="E9" i="1"/>
  <c r="G9" i="1"/>
  <c r="G9" i="2" s="1"/>
  <c r="G9" i="3" s="1"/>
  <c r="G9" i="4" s="1"/>
  <c r="G9" i="5" s="1"/>
  <c r="G9" i="6" s="1"/>
  <c r="G9" i="7" s="1"/>
  <c r="G9" i="8" s="1"/>
  <c r="G9" i="9" s="1"/>
  <c r="G9" i="10" s="1"/>
  <c r="G9" i="11" s="1"/>
  <c r="G9" i="12" s="1"/>
  <c r="C10" i="1"/>
  <c r="E10" i="1"/>
  <c r="E10" i="2" s="1"/>
  <c r="E10" i="3" s="1"/>
  <c r="E10" i="4" s="1"/>
  <c r="E10" i="5" s="1"/>
  <c r="E10" i="6" s="1"/>
  <c r="E10" i="7" s="1"/>
  <c r="E10" i="8" s="1"/>
  <c r="E10" i="9" s="1"/>
  <c r="E10" i="10" s="1"/>
  <c r="E10" i="11" s="1"/>
  <c r="E10" i="12" s="1"/>
  <c r="G10" i="1"/>
  <c r="C12" i="1"/>
  <c r="C12" i="2" s="1"/>
  <c r="C12" i="3" s="1"/>
  <c r="C12" i="4" s="1"/>
  <c r="C12" i="5" s="1"/>
  <c r="C12" i="6" s="1"/>
  <c r="C12" i="7" s="1"/>
  <c r="C12" i="8" s="1"/>
  <c r="C12" i="9" s="1"/>
  <c r="C12" i="10" s="1"/>
  <c r="C12" i="11" s="1"/>
  <c r="C12" i="12" s="1"/>
  <c r="E12" i="1"/>
  <c r="G12" i="1"/>
  <c r="G12" i="2" s="1"/>
  <c r="G12" i="3" s="1"/>
  <c r="G12" i="4" s="1"/>
  <c r="G12" i="5" s="1"/>
  <c r="G12" i="6" s="1"/>
  <c r="G12" i="7" s="1"/>
  <c r="G12" i="8" s="1"/>
  <c r="G12" i="9" s="1"/>
  <c r="G12" i="10" s="1"/>
  <c r="G12" i="11" s="1"/>
  <c r="G12" i="12" s="1"/>
  <c r="C13" i="1"/>
  <c r="E13" i="1"/>
  <c r="E13" i="2" s="1"/>
  <c r="G13" i="1"/>
  <c r="C14" i="1"/>
  <c r="C14" i="2" s="1"/>
  <c r="C14" i="3" s="1"/>
  <c r="C14" i="4" s="1"/>
  <c r="E14" i="1"/>
  <c r="G14" i="1"/>
  <c r="G14" i="2" s="1"/>
  <c r="G14" i="3" s="1"/>
  <c r="G14" i="4" s="1"/>
  <c r="G14" i="5" s="1"/>
  <c r="G14" i="6" s="1"/>
  <c r="G14" i="7" s="1"/>
  <c r="G14" i="8" s="1"/>
  <c r="G14" i="9" s="1"/>
  <c r="G14" i="10" s="1"/>
  <c r="G14" i="11" s="1"/>
  <c r="G14" i="12" s="1"/>
  <c r="C15" i="1"/>
  <c r="E15" i="1"/>
  <c r="E15" i="2" s="1"/>
  <c r="E15" i="3" s="1"/>
  <c r="E15" i="4" s="1"/>
  <c r="E15" i="5" s="1"/>
  <c r="E15" i="6" s="1"/>
  <c r="E15" i="7" s="1"/>
  <c r="E15" i="8" s="1"/>
  <c r="E15" i="9" s="1"/>
  <c r="E15" i="10" s="1"/>
  <c r="E15" i="11" s="1"/>
  <c r="E15" i="12" s="1"/>
  <c r="G15" i="1"/>
  <c r="E16" i="1"/>
  <c r="E16" i="2" s="1"/>
  <c r="G16" i="1"/>
  <c r="E17" i="1"/>
  <c r="E17" i="2" s="1"/>
  <c r="E17" i="3" s="1"/>
  <c r="E17" i="4" s="1"/>
  <c r="E17" i="5" s="1"/>
  <c r="E17" i="6" s="1"/>
  <c r="E17" i="7" s="1"/>
  <c r="E17" i="8" s="1"/>
  <c r="E17" i="9" s="1"/>
  <c r="E17" i="10" s="1"/>
  <c r="G17" i="1"/>
  <c r="E18" i="1"/>
  <c r="E18" i="2" s="1"/>
  <c r="E18" i="3" s="1"/>
  <c r="E18" i="4" s="1"/>
  <c r="E18" i="5" s="1"/>
  <c r="E18" i="6" s="1"/>
  <c r="E18" i="7" s="1"/>
  <c r="E18" i="8" s="1"/>
  <c r="E18" i="9" s="1"/>
  <c r="E18" i="10" s="1"/>
  <c r="E18" i="11" s="1"/>
  <c r="E18" i="12" s="1"/>
  <c r="G18" i="1"/>
  <c r="C19" i="1"/>
  <c r="C19" i="2" s="1"/>
  <c r="C19" i="3" s="1"/>
  <c r="C19" i="4" s="1"/>
  <c r="C19" i="5" s="1"/>
  <c r="G19" i="1"/>
  <c r="C20" i="1"/>
  <c r="C20" i="2" s="1"/>
  <c r="C20" i="3" s="1"/>
  <c r="C20" i="4" s="1"/>
  <c r="C20" i="5" s="1"/>
  <c r="C20" i="6" s="1"/>
  <c r="C20" i="7" s="1"/>
  <c r="C20" i="8" s="1"/>
  <c r="C20" i="9" s="1"/>
  <c r="C20" i="10" s="1"/>
  <c r="C20" i="11" s="1"/>
  <c r="C20" i="12" s="1"/>
  <c r="E20" i="1"/>
  <c r="G20" i="1"/>
  <c r="G20" i="2" s="1"/>
  <c r="G20" i="3" s="1"/>
  <c r="G20" i="4" s="1"/>
  <c r="G20" i="5" s="1"/>
  <c r="G20" i="6" s="1"/>
  <c r="G20" i="7" s="1"/>
  <c r="G20" i="8" s="1"/>
  <c r="G20" i="9" s="1"/>
  <c r="G20" i="10" s="1"/>
  <c r="G20" i="11" s="1"/>
  <c r="G20" i="12" s="1"/>
  <c r="G21" i="1"/>
  <c r="G21" i="2" s="1"/>
  <c r="G21" i="3" s="1"/>
  <c r="G21" i="4" s="1"/>
  <c r="G21" i="5" s="1"/>
  <c r="G21" i="6" s="1"/>
  <c r="G21" i="7" s="1"/>
  <c r="G21" i="8" s="1"/>
  <c r="G21" i="9" s="1"/>
  <c r="G21" i="10" s="1"/>
  <c r="G21" i="11" s="1"/>
  <c r="G21" i="12" s="1"/>
  <c r="C22" i="1"/>
  <c r="E22" i="1"/>
  <c r="E22" i="2" s="1"/>
  <c r="G22" i="1"/>
  <c r="G22" i="2" s="1"/>
  <c r="G22" i="3" s="1"/>
  <c r="G22" i="4" s="1"/>
  <c r="G22" i="5" s="1"/>
  <c r="G22" i="6" s="1"/>
  <c r="G22" i="7" s="1"/>
  <c r="G22" i="8" s="1"/>
  <c r="G22" i="9" s="1"/>
  <c r="G22" i="10" s="1"/>
  <c r="G22" i="11" s="1"/>
  <c r="G22" i="12" s="1"/>
  <c r="C23" i="1"/>
  <c r="C23" i="2" s="1"/>
  <c r="C23" i="3" s="1"/>
  <c r="C23" i="4" s="1"/>
  <c r="E23" i="1"/>
  <c r="E23" i="2" s="1"/>
  <c r="E23" i="3" s="1"/>
  <c r="E23" i="4" s="1"/>
  <c r="E23" i="5" s="1"/>
  <c r="E23" i="6" s="1"/>
  <c r="E23" i="7" s="1"/>
  <c r="E23" i="8" s="1"/>
  <c r="E23" i="9" s="1"/>
  <c r="E23" i="10" s="1"/>
  <c r="E23" i="11" s="1"/>
  <c r="E23" i="12" s="1"/>
  <c r="G23" i="1"/>
  <c r="G23" i="2" s="1"/>
  <c r="C24" i="1"/>
  <c r="C24" i="2" s="1"/>
  <c r="C24" i="3" s="1"/>
  <c r="C24" i="4" s="1"/>
  <c r="C24" i="5" s="1"/>
  <c r="C24" i="6" s="1"/>
  <c r="C24" i="7" s="1"/>
  <c r="C24" i="8" s="1"/>
  <c r="C24" i="9" s="1"/>
  <c r="C24" i="10" s="1"/>
  <c r="C24" i="11" s="1"/>
  <c r="C24" i="12" s="1"/>
  <c r="E24" i="1"/>
  <c r="E24" i="2" s="1"/>
  <c r="E24" i="3" s="1"/>
  <c r="E24" i="4" s="1"/>
  <c r="E24" i="5" s="1"/>
  <c r="E24" i="6" s="1"/>
  <c r="E24" i="7" s="1"/>
  <c r="E24" i="8" s="1"/>
  <c r="E24" i="9" s="1"/>
  <c r="E24" i="10" s="1"/>
  <c r="E24" i="11" s="1"/>
  <c r="E24" i="12" s="1"/>
  <c r="G24" i="1"/>
  <c r="C25" i="1"/>
  <c r="C25" i="2" s="1"/>
  <c r="E25" i="1"/>
  <c r="E25" i="2" s="1"/>
  <c r="G25" i="1"/>
  <c r="G25" i="2" s="1"/>
  <c r="G25" i="3" s="1"/>
  <c r="G25" i="4" s="1"/>
  <c r="C26" i="1"/>
  <c r="C26" i="2" s="1"/>
  <c r="C26" i="3" s="1"/>
  <c r="C26" i="4" s="1"/>
  <c r="C26" i="5" s="1"/>
  <c r="C26" i="6" s="1"/>
  <c r="C26" i="7" s="1"/>
  <c r="C26" i="8" s="1"/>
  <c r="C26" i="9" s="1"/>
  <c r="C26" i="10" s="1"/>
  <c r="C26" i="11" s="1"/>
  <c r="C26" i="12" s="1"/>
  <c r="G26" i="1"/>
  <c r="G26" i="2" s="1"/>
  <c r="G27" i="1"/>
  <c r="C28" i="1"/>
  <c r="C28" i="2" s="1"/>
  <c r="E28" i="1"/>
  <c r="G28" i="1"/>
  <c r="G28" i="2" s="1"/>
  <c r="C29" i="1"/>
  <c r="C29" i="2" s="1"/>
  <c r="C29" i="3" s="1"/>
  <c r="C29" i="4" s="1"/>
  <c r="C29" i="5" s="1"/>
  <c r="C29" i="6" s="1"/>
  <c r="C29" i="7" s="1"/>
  <c r="C29" i="8" s="1"/>
  <c r="C29" i="9" s="1"/>
  <c r="C29" i="10" s="1"/>
  <c r="C29" i="11" s="1"/>
  <c r="C29" i="12" s="1"/>
  <c r="E29" i="1"/>
  <c r="G29" i="1"/>
  <c r="G29" i="2" s="1"/>
  <c r="G29" i="3" s="1"/>
  <c r="G29" i="4" s="1"/>
  <c r="G29" i="5" s="1"/>
  <c r="G29" i="6" s="1"/>
  <c r="G29" i="7" s="1"/>
  <c r="G29" i="8" s="1"/>
  <c r="G29" i="9" s="1"/>
  <c r="G29" i="10" s="1"/>
  <c r="G29" i="11" s="1"/>
  <c r="G29" i="12" s="1"/>
  <c r="C30" i="1"/>
  <c r="C30" i="2" s="1"/>
  <c r="C30" i="3" s="1"/>
  <c r="C30" i="4" s="1"/>
  <c r="C30" i="5" s="1"/>
  <c r="C30" i="6" s="1"/>
  <c r="C30" i="7" s="1"/>
  <c r="C30" i="8" s="1"/>
  <c r="C30" i="9" s="1"/>
  <c r="C30" i="10" s="1"/>
  <c r="C30" i="11" s="1"/>
  <c r="C30" i="12" s="1"/>
  <c r="E30" i="1"/>
  <c r="E30" i="2" s="1"/>
  <c r="E30" i="3" s="1"/>
  <c r="E30" i="4" s="1"/>
  <c r="G30" i="1"/>
  <c r="C31" i="1"/>
  <c r="C31" i="2" s="1"/>
  <c r="C31" i="3" s="1"/>
  <c r="C31" i="4" s="1"/>
  <c r="C31" i="5" s="1"/>
  <c r="E31" i="1"/>
  <c r="E31" i="2" s="1"/>
  <c r="G31" i="1"/>
  <c r="G31" i="2" s="1"/>
  <c r="G31" i="3" s="1"/>
  <c r="G31" i="4" s="1"/>
  <c r="G31" i="5" s="1"/>
  <c r="G31" i="6" s="1"/>
  <c r="G31" i="7" s="1"/>
  <c r="G31" i="8" s="1"/>
  <c r="G31" i="9" s="1"/>
  <c r="G31" i="10" s="1"/>
  <c r="G31" i="11" s="1"/>
  <c r="G31" i="12" s="1"/>
  <c r="C32" i="1"/>
  <c r="E32" i="1"/>
  <c r="E32" i="2" s="1"/>
  <c r="G32" i="1"/>
  <c r="G32" i="2" s="1"/>
  <c r="C33" i="1"/>
  <c r="C33" i="2" s="1"/>
  <c r="C33" i="3" s="1"/>
  <c r="C33" i="4" s="1"/>
  <c r="E33" i="1"/>
  <c r="G33" i="1"/>
  <c r="G33" i="2" s="1"/>
  <c r="G33" i="3" s="1"/>
  <c r="G33" i="4" s="1"/>
  <c r="G33" i="5" s="1"/>
  <c r="G33" i="6" s="1"/>
  <c r="G33" i="7" s="1"/>
  <c r="G33" i="8" s="1"/>
  <c r="G33" i="9" s="1"/>
  <c r="G33" i="10" s="1"/>
  <c r="G33" i="11" s="1"/>
  <c r="G33" i="12" s="1"/>
  <c r="C34" i="1"/>
  <c r="C34" i="2" s="1"/>
  <c r="E34" i="1"/>
  <c r="E34" i="2" s="1"/>
  <c r="E34" i="3" s="1"/>
  <c r="E34" i="4" s="1"/>
  <c r="E34" i="5" s="1"/>
  <c r="E34" i="6" s="1"/>
  <c r="E34" i="7" s="1"/>
  <c r="E34" i="8" s="1"/>
  <c r="E34" i="9" s="1"/>
  <c r="E34" i="10" s="1"/>
  <c r="E34" i="11" s="1"/>
  <c r="E34" i="12" s="1"/>
  <c r="G34" i="1"/>
  <c r="C35" i="1"/>
  <c r="C35" i="2" s="1"/>
  <c r="C35" i="3" s="1"/>
  <c r="C35" i="4" s="1"/>
  <c r="C35" i="5" s="1"/>
  <c r="C35" i="6" s="1"/>
  <c r="C35" i="7" s="1"/>
  <c r="C35" i="8" s="1"/>
  <c r="C35" i="9" s="1"/>
  <c r="C35" i="10" s="1"/>
  <c r="C35" i="11" s="1"/>
  <c r="C35" i="12" s="1"/>
  <c r="E35" i="1"/>
  <c r="E35" i="2" s="1"/>
  <c r="G35" i="1"/>
  <c r="G35" i="2" s="1"/>
  <c r="G35" i="3" s="1"/>
  <c r="G35" i="4" s="1"/>
  <c r="C36" i="1"/>
  <c r="E36" i="1"/>
  <c r="E36" i="2" s="1"/>
  <c r="E36" i="3" s="1"/>
  <c r="E36" i="4" s="1"/>
  <c r="E36" i="5" s="1"/>
  <c r="E36" i="6" s="1"/>
  <c r="E36" i="7" s="1"/>
  <c r="E36" i="8" s="1"/>
  <c r="E36" i="9" s="1"/>
  <c r="E36" i="10" s="1"/>
  <c r="E36" i="11" s="1"/>
  <c r="E36" i="12" s="1"/>
  <c r="G36" i="1"/>
  <c r="G36" i="2" s="1"/>
  <c r="C37" i="1"/>
  <c r="C37" i="2" s="1"/>
  <c r="C37" i="3" s="1"/>
  <c r="C37" i="4" s="1"/>
  <c r="C37" i="5" s="1"/>
  <c r="C37" i="6" s="1"/>
  <c r="C37" i="7" s="1"/>
  <c r="C37" i="8" s="1"/>
  <c r="C37" i="9" s="1"/>
  <c r="C37" i="10" s="1"/>
  <c r="C37" i="11" s="1"/>
  <c r="C37" i="12" s="1"/>
  <c r="E37" i="1"/>
  <c r="E37" i="2" s="1"/>
  <c r="E37" i="3" s="1"/>
  <c r="E37" i="4" s="1"/>
  <c r="E37" i="5" s="1"/>
  <c r="E37" i="6" s="1"/>
  <c r="E37" i="7" s="1"/>
  <c r="E37" i="8" s="1"/>
  <c r="E37" i="9" s="1"/>
  <c r="E37" i="10" s="1"/>
  <c r="E37" i="11" s="1"/>
  <c r="E37" i="12" s="1"/>
  <c r="G37" i="1"/>
  <c r="G37" i="2" s="1"/>
  <c r="G37" i="3" s="1"/>
  <c r="G37" i="4" s="1"/>
  <c r="G37" i="5" s="1"/>
  <c r="G37" i="6" s="1"/>
  <c r="G37" i="7" s="1"/>
  <c r="G37" i="8" s="1"/>
  <c r="G37" i="9" s="1"/>
  <c r="G37" i="10" s="1"/>
  <c r="G37" i="11" s="1"/>
  <c r="G37" i="12" s="1"/>
  <c r="E38" i="1"/>
  <c r="E38" i="2" s="1"/>
  <c r="G38" i="1"/>
  <c r="C39" i="1"/>
  <c r="C39" i="2" s="1"/>
  <c r="C39" i="3" s="1"/>
  <c r="C39" i="4" s="1"/>
  <c r="C39" i="5" s="1"/>
  <c r="C39" i="6" s="1"/>
  <c r="C39" i="7" s="1"/>
  <c r="C39" i="8" s="1"/>
  <c r="C39" i="9" s="1"/>
  <c r="C39" i="10" s="1"/>
  <c r="C39" i="11" s="1"/>
  <c r="C39" i="12" s="1"/>
  <c r="G39" i="1"/>
  <c r="G39" i="2" s="1"/>
  <c r="G39" i="3" s="1"/>
  <c r="G39" i="4" s="1"/>
  <c r="G39" i="5" s="1"/>
  <c r="G39" i="6" s="1"/>
  <c r="G39" i="7" s="1"/>
  <c r="G39" i="8" s="1"/>
  <c r="G39" i="9" s="1"/>
  <c r="G39" i="10" s="1"/>
  <c r="G39" i="11" s="1"/>
  <c r="G39" i="12" s="1"/>
  <c r="C40" i="1"/>
  <c r="C40" i="2" s="1"/>
  <c r="C40" i="3" s="1"/>
  <c r="C40" i="4" s="1"/>
  <c r="C40" i="5" s="1"/>
  <c r="C40" i="6" s="1"/>
  <c r="C40" i="7" s="1"/>
  <c r="C40" i="8" s="1"/>
  <c r="C40" i="9" s="1"/>
  <c r="C40" i="10" s="1"/>
  <c r="C40" i="11" s="1"/>
  <c r="C40" i="12" s="1"/>
  <c r="E40" i="1"/>
  <c r="E40" i="2" s="1"/>
  <c r="E40" i="3" s="1"/>
  <c r="E40" i="4" s="1"/>
  <c r="E40" i="5" s="1"/>
  <c r="E40" i="6" s="1"/>
  <c r="E40" i="7" s="1"/>
  <c r="E40" i="8" s="1"/>
  <c r="E40" i="9" s="1"/>
  <c r="E40" i="10" s="1"/>
  <c r="E40" i="11" s="1"/>
  <c r="E40" i="12" s="1"/>
  <c r="G40" i="1"/>
  <c r="G40" i="2" s="1"/>
  <c r="C41" i="1"/>
  <c r="C41" i="2" s="1"/>
  <c r="E41" i="1"/>
  <c r="E41" i="2" s="1"/>
  <c r="G41" i="1"/>
  <c r="G41" i="2" s="1"/>
  <c r="G41" i="3" s="1"/>
  <c r="G41" i="4" s="1"/>
  <c r="C42" i="1"/>
  <c r="C42" i="2" s="1"/>
  <c r="E42" i="1"/>
  <c r="E42" i="2" s="1"/>
  <c r="E42" i="3" s="1"/>
  <c r="E42" i="4" s="1"/>
  <c r="E42" i="5" s="1"/>
  <c r="E42" i="6" s="1"/>
  <c r="E42" i="7" s="1"/>
  <c r="E42" i="8" s="1"/>
  <c r="E42" i="9" s="1"/>
  <c r="E42" i="10" s="1"/>
  <c r="E42" i="11" s="1"/>
  <c r="E42" i="12" s="1"/>
  <c r="G42" i="1"/>
  <c r="C43" i="1"/>
  <c r="C43" i="2" s="1"/>
  <c r="C43" i="3" s="1"/>
  <c r="C43" i="4" s="1"/>
  <c r="E43" i="1"/>
  <c r="E43" i="2" s="1"/>
  <c r="G43" i="1"/>
  <c r="G43" i="2" s="1"/>
  <c r="G43" i="3" s="1"/>
  <c r="G43" i="4" s="1"/>
  <c r="G43" i="5" s="1"/>
  <c r="G43" i="6" s="1"/>
  <c r="G43" i="7" s="1"/>
  <c r="G43" i="8" s="1"/>
  <c r="G43" i="9" s="1"/>
  <c r="G43" i="10" s="1"/>
  <c r="G43" i="11" s="1"/>
  <c r="G43" i="12" s="1"/>
  <c r="C44" i="1"/>
  <c r="C44" i="2" s="1"/>
  <c r="C44" i="3" s="1"/>
  <c r="C44" i="4" s="1"/>
  <c r="C44" i="5" s="1"/>
  <c r="C44" i="6" s="1"/>
  <c r="C44" i="7" s="1"/>
  <c r="C44" i="8" s="1"/>
  <c r="C44" i="9" s="1"/>
  <c r="C44" i="10" s="1"/>
  <c r="C44" i="11" s="1"/>
  <c r="C44" i="12" s="1"/>
  <c r="E44" i="1"/>
  <c r="E44" i="2" s="1"/>
  <c r="E44" i="3" s="1"/>
  <c r="E44" i="4" s="1"/>
  <c r="G44" i="1"/>
  <c r="G44" i="2" s="1"/>
  <c r="C45" i="1"/>
  <c r="C45" i="2" s="1"/>
  <c r="C45" i="3" s="1"/>
  <c r="C45" i="4" s="1"/>
  <c r="C45" i="5" s="1"/>
  <c r="C45" i="6" s="1"/>
  <c r="C45" i="7" s="1"/>
  <c r="C45" i="8" s="1"/>
  <c r="C45" i="9" s="1"/>
  <c r="C45" i="10" s="1"/>
  <c r="C45" i="11" s="1"/>
  <c r="C45" i="12" s="1"/>
  <c r="G45" i="1"/>
  <c r="G45" i="2" s="1"/>
  <c r="G45" i="3" s="1"/>
  <c r="G45" i="4" s="1"/>
  <c r="G45" i="5" s="1"/>
  <c r="G45" i="6" s="1"/>
  <c r="G45" i="7" s="1"/>
  <c r="G45" i="8" s="1"/>
  <c r="G45" i="9" s="1"/>
  <c r="G45" i="10" s="1"/>
  <c r="G45" i="11" s="1"/>
  <c r="G45" i="12" s="1"/>
  <c r="C46" i="1"/>
  <c r="C46" i="2" s="1"/>
  <c r="C46" i="3" s="1"/>
  <c r="C46" i="4" s="1"/>
  <c r="C46" i="5" s="1"/>
  <c r="C46" i="6" s="1"/>
  <c r="C46" i="7" s="1"/>
  <c r="C46" i="8" s="1"/>
  <c r="C46" i="9" s="1"/>
  <c r="C46" i="10" s="1"/>
  <c r="C46" i="11" s="1"/>
  <c r="C46" i="12" s="1"/>
  <c r="E46" i="1"/>
  <c r="E46" i="2" s="1"/>
  <c r="E46" i="3" s="1"/>
  <c r="E46" i="4" s="1"/>
  <c r="E46" i="5" s="1"/>
  <c r="E46" i="6" s="1"/>
  <c r="E46" i="7" s="1"/>
  <c r="E46" i="8" s="1"/>
  <c r="E46" i="9" s="1"/>
  <c r="E46" i="10" s="1"/>
  <c r="E46" i="11" s="1"/>
  <c r="E46" i="12" s="1"/>
  <c r="G46" i="1"/>
  <c r="E47" i="1"/>
  <c r="E47" i="2" s="1"/>
  <c r="E47" i="3" s="1"/>
  <c r="E47" i="4" s="1"/>
  <c r="E47" i="5" s="1"/>
  <c r="E47" i="6" s="1"/>
  <c r="E47" i="7" s="1"/>
  <c r="E47" i="8" s="1"/>
  <c r="E47" i="9" s="1"/>
  <c r="E47" i="10" s="1"/>
  <c r="E47" i="11" s="1"/>
  <c r="E47" i="12" s="1"/>
  <c r="G47" i="1"/>
  <c r="G47" i="2" s="1"/>
  <c r="G47" i="3" s="1"/>
  <c r="G47" i="4" s="1"/>
  <c r="G47" i="5" s="1"/>
  <c r="G47" i="6" s="1"/>
  <c r="G47" i="7" s="1"/>
  <c r="G47" i="8" s="1"/>
  <c r="G47" i="9" s="1"/>
  <c r="G47" i="10" s="1"/>
  <c r="G47" i="11" s="1"/>
  <c r="G47" i="12" s="1"/>
  <c r="E48" i="1"/>
  <c r="E48" i="2" s="1"/>
  <c r="E48" i="3" s="1"/>
  <c r="E48" i="4" s="1"/>
  <c r="E48" i="5" s="1"/>
  <c r="E48" i="6" s="1"/>
  <c r="E48" i="7" s="1"/>
  <c r="E48" i="8" s="1"/>
  <c r="E48" i="9" s="1"/>
  <c r="E48" i="10" s="1"/>
  <c r="E48" i="11" s="1"/>
  <c r="E48" i="12" s="1"/>
  <c r="G48" i="1"/>
  <c r="G48" i="2" s="1"/>
  <c r="G48" i="3" s="1"/>
  <c r="G48" i="4" s="1"/>
  <c r="G48" i="5" s="1"/>
  <c r="G48" i="6" s="1"/>
  <c r="G48" i="7" s="1"/>
  <c r="G48" i="8" s="1"/>
  <c r="G48" i="9" s="1"/>
  <c r="G48" i="10" s="1"/>
  <c r="G48" i="11" s="1"/>
  <c r="G48" i="12" s="1"/>
  <c r="C49" i="1"/>
  <c r="E49" i="1"/>
  <c r="E49" i="2" s="1"/>
  <c r="G49" i="1"/>
  <c r="G49" i="2" s="1"/>
  <c r="G49" i="3" s="1"/>
  <c r="G49" i="4" s="1"/>
  <c r="G49" i="5" s="1"/>
  <c r="G49" i="6" s="1"/>
  <c r="G49" i="7" s="1"/>
  <c r="G49" i="8" s="1"/>
  <c r="G49" i="9" s="1"/>
  <c r="G49" i="10" s="1"/>
  <c r="G49" i="11" s="1"/>
  <c r="G49" i="12" s="1"/>
  <c r="C50" i="1"/>
  <c r="C50" i="2" s="1"/>
  <c r="C50" i="3" s="1"/>
  <c r="C50" i="4" s="1"/>
  <c r="C50" i="5" s="1"/>
  <c r="C50" i="6" s="1"/>
  <c r="C50" i="7" s="1"/>
  <c r="C50" i="8" s="1"/>
  <c r="C50" i="9" s="1"/>
  <c r="C50" i="10" s="1"/>
  <c r="C50" i="11" s="1"/>
  <c r="C50" i="12" s="1"/>
  <c r="E50" i="1"/>
  <c r="E50" i="2" s="1"/>
  <c r="E50" i="3" s="1"/>
  <c r="E50" i="4" s="1"/>
  <c r="E50" i="5" s="1"/>
  <c r="E50" i="6" s="1"/>
  <c r="E50" i="7" s="1"/>
  <c r="E50" i="8" s="1"/>
  <c r="E50" i="9" s="1"/>
  <c r="E50" i="10" s="1"/>
  <c r="E50" i="11" s="1"/>
  <c r="E50" i="12" s="1"/>
  <c r="G50" i="1"/>
  <c r="G50" i="2" s="1"/>
  <c r="C51" i="1"/>
  <c r="C51" i="2" s="1"/>
  <c r="C51" i="3" s="1"/>
  <c r="C51" i="4" s="1"/>
  <c r="C51" i="5" s="1"/>
  <c r="C51" i="6" s="1"/>
  <c r="C51" i="7" s="1"/>
  <c r="C51" i="8" s="1"/>
  <c r="C51" i="9" s="1"/>
  <c r="C51" i="10" s="1"/>
  <c r="C51" i="11" s="1"/>
  <c r="C51" i="12" s="1"/>
  <c r="E51" i="1"/>
  <c r="E51" i="2" s="1"/>
  <c r="E51" i="3" s="1"/>
  <c r="E51" i="4" s="1"/>
  <c r="E51" i="5" s="1"/>
  <c r="E51" i="6" s="1"/>
  <c r="E51" i="7" s="1"/>
  <c r="E51" i="8" s="1"/>
  <c r="E51" i="9" s="1"/>
  <c r="E51" i="10" s="1"/>
  <c r="E51" i="11" s="1"/>
  <c r="E51" i="12" s="1"/>
  <c r="G51" i="1"/>
  <c r="C52" i="1"/>
  <c r="C52" i="2" s="1"/>
  <c r="C52" i="3" s="1"/>
  <c r="C52" i="4" s="1"/>
  <c r="C52" i="5" s="1"/>
  <c r="C52" i="6" s="1"/>
  <c r="C52" i="7" s="1"/>
  <c r="C52" i="8" s="1"/>
  <c r="C52" i="9" s="1"/>
  <c r="C52" i="10" s="1"/>
  <c r="C52" i="11" s="1"/>
  <c r="C52" i="12" s="1"/>
  <c r="E52" i="1"/>
  <c r="E52" i="2" s="1"/>
  <c r="E52" i="3" s="1"/>
  <c r="E52" i="4" s="1"/>
  <c r="E52" i="5" s="1"/>
  <c r="E52" i="6" s="1"/>
  <c r="E52" i="7" s="1"/>
  <c r="E52" i="8" s="1"/>
  <c r="E52" i="9" s="1"/>
  <c r="E52" i="10" s="1"/>
  <c r="E52" i="11" s="1"/>
  <c r="E52" i="12" s="1"/>
  <c r="G52" i="1"/>
  <c r="G52" i="2" s="1"/>
  <c r="G52" i="3" s="1"/>
  <c r="G52" i="4" s="1"/>
  <c r="G52" i="5" s="1"/>
  <c r="G52" i="6" s="1"/>
  <c r="G52" i="7" s="1"/>
  <c r="G52" i="8" s="1"/>
  <c r="G52" i="9" s="1"/>
  <c r="G52" i="10" s="1"/>
  <c r="G52" i="11" s="1"/>
  <c r="G52" i="12" s="1"/>
  <c r="C53" i="1"/>
  <c r="C53" i="2" s="1"/>
  <c r="C53" i="3" s="1"/>
  <c r="C53" i="4" s="1"/>
  <c r="C53" i="5" s="1"/>
  <c r="C53" i="6" s="1"/>
  <c r="C53" i="7" s="1"/>
  <c r="C53" i="8" s="1"/>
  <c r="C53" i="9" s="1"/>
  <c r="C53" i="10" s="1"/>
  <c r="C53" i="11" s="1"/>
  <c r="C53" i="12" s="1"/>
  <c r="E53" i="1"/>
  <c r="E53" i="2" s="1"/>
  <c r="G53" i="1"/>
  <c r="G53" i="2" s="1"/>
  <c r="G53" i="3" s="1"/>
  <c r="G53" i="4" s="1"/>
  <c r="G53" i="5" s="1"/>
  <c r="G53" i="6" s="1"/>
  <c r="G53" i="7" s="1"/>
  <c r="G53" i="8" s="1"/>
  <c r="G53" i="9" s="1"/>
  <c r="G53" i="10" s="1"/>
  <c r="G53" i="11" s="1"/>
  <c r="G53" i="12" s="1"/>
  <c r="E54" i="1"/>
  <c r="G54" i="1"/>
  <c r="C11" i="1"/>
  <c r="C11" i="2" s="1"/>
  <c r="C11" i="3" s="1"/>
  <c r="C11" i="4" s="1"/>
  <c r="C11" i="5" s="1"/>
  <c r="C11" i="6" s="1"/>
  <c r="C11" i="7" s="1"/>
  <c r="C11" i="8" s="1"/>
  <c r="C11" i="9" s="1"/>
  <c r="C11" i="10" s="1"/>
  <c r="C11" i="11" s="1"/>
  <c r="C11" i="12" s="1"/>
  <c r="E11" i="1"/>
  <c r="C7" i="2"/>
  <c r="C7" i="3" s="1"/>
  <c r="C7" i="4" s="1"/>
  <c r="C7" i="5" s="1"/>
  <c r="C7" i="6" s="1"/>
  <c r="C7" i="7" s="1"/>
  <c r="C7" i="8" s="1"/>
  <c r="C7" i="9" s="1"/>
  <c r="C7" i="10" s="1"/>
  <c r="C7" i="11" s="1"/>
  <c r="C7" i="12" s="1"/>
  <c r="G7" i="2"/>
  <c r="G8" i="2"/>
  <c r="E9" i="2"/>
  <c r="E9" i="3" s="1"/>
  <c r="E9" i="4" s="1"/>
  <c r="E9" i="5" s="1"/>
  <c r="E9" i="6" s="1"/>
  <c r="E9" i="7" s="1"/>
  <c r="E9" i="8" s="1"/>
  <c r="E9" i="9" s="1"/>
  <c r="E9" i="10" s="1"/>
  <c r="E9" i="11" s="1"/>
  <c r="E9" i="12" s="1"/>
  <c r="C10" i="2"/>
  <c r="C10" i="3" s="1"/>
  <c r="C10" i="4" s="1"/>
  <c r="C10" i="5" s="1"/>
  <c r="C10" i="6" s="1"/>
  <c r="C10" i="7" s="1"/>
  <c r="C10" i="8" s="1"/>
  <c r="C10" i="9" s="1"/>
  <c r="C10" i="10" s="1"/>
  <c r="C10" i="11" s="1"/>
  <c r="C10" i="12" s="1"/>
  <c r="G10" i="2"/>
  <c r="G10" i="3" s="1"/>
  <c r="G10" i="4" s="1"/>
  <c r="G10" i="5" s="1"/>
  <c r="G10" i="6" s="1"/>
  <c r="G10" i="7" s="1"/>
  <c r="G10" i="8" s="1"/>
  <c r="G10" i="9" s="1"/>
  <c r="G10" i="10" s="1"/>
  <c r="G10" i="11" s="1"/>
  <c r="G10" i="12" s="1"/>
  <c r="E12" i="2"/>
  <c r="E12" i="3" s="1"/>
  <c r="E12" i="4" s="1"/>
  <c r="E12" i="5" s="1"/>
  <c r="E12" i="6" s="1"/>
  <c r="E12" i="7" s="1"/>
  <c r="E12" i="8" s="1"/>
  <c r="E12" i="9" s="1"/>
  <c r="E12" i="10" s="1"/>
  <c r="E12" i="11" s="1"/>
  <c r="E12" i="12" s="1"/>
  <c r="C13" i="2"/>
  <c r="C13" i="3" s="1"/>
  <c r="C13" i="4" s="1"/>
  <c r="C13" i="5" s="1"/>
  <c r="C13" i="6" s="1"/>
  <c r="C13" i="7" s="1"/>
  <c r="C13" i="8" s="1"/>
  <c r="C13" i="9" s="1"/>
  <c r="C13" i="10" s="1"/>
  <c r="C13" i="11" s="1"/>
  <c r="C13" i="12" s="1"/>
  <c r="G13" i="2"/>
  <c r="G13" i="3" s="1"/>
  <c r="G13" i="4" s="1"/>
  <c r="G13" i="5" s="1"/>
  <c r="G13" i="6" s="1"/>
  <c r="G13" i="7" s="1"/>
  <c r="G13" i="8" s="1"/>
  <c r="G13" i="9" s="1"/>
  <c r="G13" i="10" s="1"/>
  <c r="G13" i="11" s="1"/>
  <c r="G13" i="12" s="1"/>
  <c r="E14" i="2"/>
  <c r="C15" i="2"/>
  <c r="C15" i="3" s="1"/>
  <c r="C15" i="4" s="1"/>
  <c r="C15" i="5" s="1"/>
  <c r="C15" i="6" s="1"/>
  <c r="C15" i="7" s="1"/>
  <c r="C15" i="8" s="1"/>
  <c r="C15" i="9" s="1"/>
  <c r="C15" i="10" s="1"/>
  <c r="C15" i="11" s="1"/>
  <c r="C15" i="12" s="1"/>
  <c r="G15" i="2"/>
  <c r="G15" i="3" s="1"/>
  <c r="G15" i="4" s="1"/>
  <c r="G15" i="5" s="1"/>
  <c r="G15" i="6" s="1"/>
  <c r="G15" i="7" s="1"/>
  <c r="G15" i="8" s="1"/>
  <c r="G15" i="9" s="1"/>
  <c r="G15" i="10" s="1"/>
  <c r="G15" i="11" s="1"/>
  <c r="G15" i="12" s="1"/>
  <c r="G16" i="2"/>
  <c r="G16" i="3" s="1"/>
  <c r="G16" i="4" s="1"/>
  <c r="G16" i="5" s="1"/>
  <c r="G16" i="6" s="1"/>
  <c r="G16" i="7" s="1"/>
  <c r="G16" i="8" s="1"/>
  <c r="G16" i="9" s="1"/>
  <c r="G16" i="10" s="1"/>
  <c r="G16" i="11" s="1"/>
  <c r="G16" i="12" s="1"/>
  <c r="G17" i="2"/>
  <c r="G17" i="3" s="1"/>
  <c r="G17" i="4" s="1"/>
  <c r="G17" i="5" s="1"/>
  <c r="G17" i="6" s="1"/>
  <c r="G17" i="7" s="1"/>
  <c r="G17" i="8" s="1"/>
  <c r="G17" i="9" s="1"/>
  <c r="G17" i="10" s="1"/>
  <c r="G17" i="11" s="1"/>
  <c r="G17" i="12" s="1"/>
  <c r="G18" i="2"/>
  <c r="G19" i="2"/>
  <c r="G19" i="3" s="1"/>
  <c r="G19" i="4" s="1"/>
  <c r="G19" i="5" s="1"/>
  <c r="G19" i="6" s="1"/>
  <c r="G19" i="7" s="1"/>
  <c r="G19" i="8" s="1"/>
  <c r="G19" i="9" s="1"/>
  <c r="G19" i="10" s="1"/>
  <c r="G19" i="11" s="1"/>
  <c r="G19" i="12" s="1"/>
  <c r="E20" i="2"/>
  <c r="E20" i="3" s="1"/>
  <c r="E20" i="4" s="1"/>
  <c r="E20" i="5" s="1"/>
  <c r="E20" i="6" s="1"/>
  <c r="E20" i="7" s="1"/>
  <c r="E20" i="8" s="1"/>
  <c r="E20" i="9" s="1"/>
  <c r="E20" i="10" s="1"/>
  <c r="E20" i="11" s="1"/>
  <c r="E20" i="12" s="1"/>
  <c r="E21" i="2"/>
  <c r="E21" i="3" s="1"/>
  <c r="E21" i="4" s="1"/>
  <c r="E21" i="5" s="1"/>
  <c r="E21" i="6" s="1"/>
  <c r="E21" i="7" s="1"/>
  <c r="E21" i="8" s="1"/>
  <c r="E21" i="9" s="1"/>
  <c r="E21" i="10" s="1"/>
  <c r="E21" i="11" s="1"/>
  <c r="E21" i="12" s="1"/>
  <c r="C22" i="2"/>
  <c r="C22" i="3" s="1"/>
  <c r="C22" i="4" s="1"/>
  <c r="C22" i="5" s="1"/>
  <c r="C22" i="6" s="1"/>
  <c r="C22" i="7" s="1"/>
  <c r="C22" i="8" s="1"/>
  <c r="C22" i="9" s="1"/>
  <c r="C22" i="10" s="1"/>
  <c r="C22" i="11" s="1"/>
  <c r="C22" i="12" s="1"/>
  <c r="G24" i="2"/>
  <c r="G24" i="3" s="1"/>
  <c r="G24" i="4" s="1"/>
  <c r="G24" i="5" s="1"/>
  <c r="G24" i="6" s="1"/>
  <c r="G24" i="7" s="1"/>
  <c r="G24" i="8" s="1"/>
  <c r="G24" i="9" s="1"/>
  <c r="G24" i="10" s="1"/>
  <c r="G24" i="11" s="1"/>
  <c r="G24" i="12" s="1"/>
  <c r="G27" i="2"/>
  <c r="G27" i="3" s="1"/>
  <c r="G27" i="4" s="1"/>
  <c r="G27" i="5" s="1"/>
  <c r="G27" i="6" s="1"/>
  <c r="G27" i="7" s="1"/>
  <c r="G27" i="8" s="1"/>
  <c r="G27" i="9" s="1"/>
  <c r="G27" i="10" s="1"/>
  <c r="G27" i="11" s="1"/>
  <c r="G27" i="12" s="1"/>
  <c r="E28" i="2"/>
  <c r="E28" i="3" s="1"/>
  <c r="E28" i="4" s="1"/>
  <c r="E28" i="5" s="1"/>
  <c r="E28" i="6" s="1"/>
  <c r="E28" i="7" s="1"/>
  <c r="E28" i="8" s="1"/>
  <c r="E28" i="9" s="1"/>
  <c r="E28" i="10" s="1"/>
  <c r="E28" i="11" s="1"/>
  <c r="E28" i="12" s="1"/>
  <c r="E29" i="2"/>
  <c r="E29" i="3" s="1"/>
  <c r="E29" i="4" s="1"/>
  <c r="E29" i="5" s="1"/>
  <c r="E29" i="6" s="1"/>
  <c r="E29" i="7" s="1"/>
  <c r="E29" i="8" s="1"/>
  <c r="E29" i="9" s="1"/>
  <c r="E29" i="10" s="1"/>
  <c r="E29" i="11" s="1"/>
  <c r="E29" i="12" s="1"/>
  <c r="G30" i="2"/>
  <c r="G30" i="3" s="1"/>
  <c r="G30" i="4" s="1"/>
  <c r="G30" i="5" s="1"/>
  <c r="G30" i="6" s="1"/>
  <c r="G30" i="7" s="1"/>
  <c r="G30" i="8" s="1"/>
  <c r="G30" i="9" s="1"/>
  <c r="G30" i="10" s="1"/>
  <c r="G30" i="11" s="1"/>
  <c r="G30" i="12" s="1"/>
  <c r="C32" i="2"/>
  <c r="C32" i="3" s="1"/>
  <c r="C32" i="4" s="1"/>
  <c r="C32" i="5" s="1"/>
  <c r="C32" i="6" s="1"/>
  <c r="C32" i="7" s="1"/>
  <c r="C32" i="8" s="1"/>
  <c r="C32" i="9" s="1"/>
  <c r="C32" i="10" s="1"/>
  <c r="C32" i="11" s="1"/>
  <c r="C32" i="12" s="1"/>
  <c r="E33" i="2"/>
  <c r="G34" i="2"/>
  <c r="G34" i="3" s="1"/>
  <c r="G34" i="4" s="1"/>
  <c r="G34" i="5" s="1"/>
  <c r="G34" i="6" s="1"/>
  <c r="G34" i="7" s="1"/>
  <c r="G34" i="8" s="1"/>
  <c r="G34" i="9" s="1"/>
  <c r="G34" i="10" s="1"/>
  <c r="G34" i="11" s="1"/>
  <c r="G34" i="12" s="1"/>
  <c r="C36" i="2"/>
  <c r="C36" i="3" s="1"/>
  <c r="C36" i="4" s="1"/>
  <c r="C36" i="5" s="1"/>
  <c r="C36" i="6" s="1"/>
  <c r="C36" i="7" s="1"/>
  <c r="C36" i="8" s="1"/>
  <c r="C36" i="9" s="1"/>
  <c r="C36" i="10" s="1"/>
  <c r="C36" i="11" s="1"/>
  <c r="C36" i="12" s="1"/>
  <c r="C38" i="2"/>
  <c r="C38" i="3" s="1"/>
  <c r="C38" i="4" s="1"/>
  <c r="C38" i="5" s="1"/>
  <c r="C38" i="6" s="1"/>
  <c r="C38" i="7" s="1"/>
  <c r="C38" i="8" s="1"/>
  <c r="C38" i="9" s="1"/>
  <c r="C38" i="10" s="1"/>
  <c r="C38" i="11" s="1"/>
  <c r="C38" i="12" s="1"/>
  <c r="G38" i="2"/>
  <c r="G38" i="3" s="1"/>
  <c r="G38" i="4" s="1"/>
  <c r="G38" i="5" s="1"/>
  <c r="G38" i="6" s="1"/>
  <c r="G38" i="7" s="1"/>
  <c r="G38" i="8" s="1"/>
  <c r="G38" i="9" s="1"/>
  <c r="G38" i="10" s="1"/>
  <c r="G38" i="11" s="1"/>
  <c r="G38" i="12" s="1"/>
  <c r="E39" i="2"/>
  <c r="E39" i="3" s="1"/>
  <c r="E39" i="4" s="1"/>
  <c r="E39" i="5" s="1"/>
  <c r="E39" i="6" s="1"/>
  <c r="E39" i="7" s="1"/>
  <c r="E39" i="8" s="1"/>
  <c r="E39" i="9" s="1"/>
  <c r="E39" i="10" s="1"/>
  <c r="E39" i="11" s="1"/>
  <c r="E39" i="12" s="1"/>
  <c r="G42" i="2"/>
  <c r="G42" i="3" s="1"/>
  <c r="G42" i="4" s="1"/>
  <c r="G42" i="5" s="1"/>
  <c r="G42" i="6" s="1"/>
  <c r="G42" i="7" s="1"/>
  <c r="G42" i="8" s="1"/>
  <c r="G42" i="9" s="1"/>
  <c r="G42" i="10" s="1"/>
  <c r="G42" i="11" s="1"/>
  <c r="G42" i="12" s="1"/>
  <c r="E45" i="2"/>
  <c r="E45" i="3" s="1"/>
  <c r="E45" i="4" s="1"/>
  <c r="E45" i="5" s="1"/>
  <c r="E45" i="6" s="1"/>
  <c r="E45" i="7" s="1"/>
  <c r="E45" i="8" s="1"/>
  <c r="E45" i="9" s="1"/>
  <c r="E45" i="10" s="1"/>
  <c r="E45" i="11" s="1"/>
  <c r="E45" i="12" s="1"/>
  <c r="G46" i="2"/>
  <c r="C48" i="2"/>
  <c r="C48" i="3" s="1"/>
  <c r="C48" i="4" s="1"/>
  <c r="C48" i="5" s="1"/>
  <c r="C48" i="6" s="1"/>
  <c r="C48" i="7" s="1"/>
  <c r="C48" i="8" s="1"/>
  <c r="C48" i="9" s="1"/>
  <c r="C48" i="10" s="1"/>
  <c r="C48" i="11" s="1"/>
  <c r="C48" i="12" s="1"/>
  <c r="C49" i="2"/>
  <c r="C49" i="3" s="1"/>
  <c r="C49" i="4" s="1"/>
  <c r="C49" i="5" s="1"/>
  <c r="C49" i="6" s="1"/>
  <c r="C49" i="7" s="1"/>
  <c r="C49" i="8" s="1"/>
  <c r="C49" i="9" s="1"/>
  <c r="C49" i="10" s="1"/>
  <c r="C49" i="11" s="1"/>
  <c r="C49" i="12" s="1"/>
  <c r="G51" i="2"/>
  <c r="G51" i="3" s="1"/>
  <c r="G51" i="4" s="1"/>
  <c r="G51" i="5" s="1"/>
  <c r="G51" i="6" s="1"/>
  <c r="G51" i="7" s="1"/>
  <c r="G51" i="8" s="1"/>
  <c r="G51" i="9" s="1"/>
  <c r="G51" i="10" s="1"/>
  <c r="G51" i="11" s="1"/>
  <c r="G51" i="12" s="1"/>
  <c r="C54" i="2"/>
  <c r="C54" i="3" s="1"/>
  <c r="C54" i="4" s="1"/>
  <c r="C54" i="5" s="1"/>
  <c r="C54" i="6" s="1"/>
  <c r="C54" i="7" s="1"/>
  <c r="C54" i="8" s="1"/>
  <c r="C54" i="9" s="1"/>
  <c r="C54" i="10" s="1"/>
  <c r="C54" i="11" s="1"/>
  <c r="C54" i="12" s="1"/>
  <c r="E54" i="2"/>
  <c r="E54" i="3" s="1"/>
  <c r="E54" i="4" s="1"/>
  <c r="E54" i="5" s="1"/>
  <c r="E54" i="6" s="1"/>
  <c r="E54" i="7" s="1"/>
  <c r="E54" i="8" s="1"/>
  <c r="E54" i="9" s="1"/>
  <c r="E54" i="10" s="1"/>
  <c r="E54" i="11" s="1"/>
  <c r="E54" i="12" s="1"/>
  <c r="G54" i="2"/>
  <c r="G54" i="3" s="1"/>
  <c r="G54" i="4" s="1"/>
  <c r="G54" i="5" s="1"/>
  <c r="G54" i="6" s="1"/>
  <c r="G54" i="7" s="1"/>
  <c r="G54" i="8" s="1"/>
  <c r="G54" i="9" s="1"/>
  <c r="G54" i="10" s="1"/>
  <c r="G54" i="11" s="1"/>
  <c r="G54" i="12" s="1"/>
  <c r="E11" i="2"/>
  <c r="E11" i="3" s="1"/>
  <c r="E11" i="4" s="1"/>
  <c r="E11" i="5" s="1"/>
  <c r="E11" i="6" s="1"/>
  <c r="E11" i="7" s="1"/>
  <c r="E11" i="8" s="1"/>
  <c r="E11" i="9" s="1"/>
  <c r="E11" i="10" s="1"/>
  <c r="E11" i="11" s="1"/>
  <c r="E11" i="12" s="1"/>
  <c r="E13" i="3"/>
  <c r="E13" i="4" s="1"/>
  <c r="E13" i="5" s="1"/>
  <c r="E13" i="6" s="1"/>
  <c r="E13" i="7" s="1"/>
  <c r="E13" i="8" s="1"/>
  <c r="E13" i="9" s="1"/>
  <c r="E13" i="10" s="1"/>
  <c r="E14" i="3"/>
  <c r="E14" i="4" s="1"/>
  <c r="E14" i="5" s="1"/>
  <c r="E14" i="6" s="1"/>
  <c r="E14" i="7" s="1"/>
  <c r="E14" i="8" s="1"/>
  <c r="E14" i="9" s="1"/>
  <c r="E14" i="10" s="1"/>
  <c r="E14" i="11" s="1"/>
  <c r="E14" i="12" s="1"/>
  <c r="E16" i="3"/>
  <c r="E16" i="4" s="1"/>
  <c r="E16" i="5" s="1"/>
  <c r="E16" i="6" s="1"/>
  <c r="E16" i="7" s="1"/>
  <c r="E16" i="8" s="1"/>
  <c r="E16" i="9" s="1"/>
  <c r="E16" i="10" s="1"/>
  <c r="E16" i="11" s="1"/>
  <c r="E16" i="12" s="1"/>
  <c r="E22" i="3"/>
  <c r="E22" i="4" s="1"/>
  <c r="E22" i="5" s="1"/>
  <c r="E22" i="6" s="1"/>
  <c r="E22" i="7" s="1"/>
  <c r="E22" i="8" s="1"/>
  <c r="E22" i="9" s="1"/>
  <c r="E22" i="10" s="1"/>
  <c r="E22" i="11" s="1"/>
  <c r="E22" i="12" s="1"/>
  <c r="B55" i="4"/>
  <c r="D55" i="4"/>
  <c r="F55" i="4"/>
  <c r="G8" i="3"/>
  <c r="G8" i="4" s="1"/>
  <c r="G8" i="5" s="1"/>
  <c r="G8" i="6" s="1"/>
  <c r="G8" i="7" s="1"/>
  <c r="G8" i="8" s="1"/>
  <c r="G8" i="9" s="1"/>
  <c r="G8" i="10" s="1"/>
  <c r="G8" i="11" s="1"/>
  <c r="G8" i="12" s="1"/>
  <c r="D58" i="1"/>
  <c r="D58" i="2" s="1"/>
  <c r="D58" i="3" s="1"/>
  <c r="D58" i="4" s="1"/>
  <c r="D59" i="1"/>
  <c r="D59" i="2" s="1"/>
  <c r="D59" i="3" s="1"/>
  <c r="D59" i="4" s="1"/>
  <c r="D59" i="5" s="1"/>
  <c r="D59" i="6" s="1"/>
  <c r="D59" i="7" s="1"/>
  <c r="D59" i="8" s="1"/>
  <c r="D59" i="9" s="1"/>
  <c r="D59" i="10" s="1"/>
  <c r="D59" i="11" s="1"/>
  <c r="D59" i="12" s="1"/>
  <c r="D60" i="1"/>
  <c r="D60" i="2" s="1"/>
  <c r="D60" i="3" s="1"/>
  <c r="D60" i="4" s="1"/>
  <c r="D60" i="5" s="1"/>
  <c r="D60" i="6" s="1"/>
  <c r="D60" i="7" s="1"/>
  <c r="D60" i="8" s="1"/>
  <c r="D60" i="9" s="1"/>
  <c r="D60" i="10" s="1"/>
  <c r="D60" i="11" s="1"/>
  <c r="D60" i="12" s="1"/>
  <c r="D61" i="1"/>
  <c r="D61" i="2" s="1"/>
  <c r="D61" i="3" s="1"/>
  <c r="D61" i="4" s="1"/>
  <c r="D61" i="5" s="1"/>
  <c r="D61" i="6" s="1"/>
  <c r="D61" i="7" s="1"/>
  <c r="D61" i="8" s="1"/>
  <c r="D61" i="9" s="1"/>
  <c r="D61" i="10" s="1"/>
  <c r="D61" i="11" s="1"/>
  <c r="D61" i="12" s="1"/>
  <c r="D65" i="1"/>
  <c r="D65" i="2" s="1"/>
  <c r="D65" i="3" s="1"/>
  <c r="D65" i="4" s="1"/>
  <c r="D66" i="1"/>
  <c r="D67" i="1"/>
  <c r="D67" i="2" s="1"/>
  <c r="D67" i="3" s="1"/>
  <c r="D67" i="4" s="1"/>
  <c r="D67" i="5" s="1"/>
  <c r="D67" i="6" s="1"/>
  <c r="D67" i="7" s="1"/>
  <c r="D67" i="8" s="1"/>
  <c r="D67" i="9" s="1"/>
  <c r="D67" i="10" s="1"/>
  <c r="D67" i="11" s="1"/>
  <c r="D67" i="12" s="1"/>
  <c r="B55" i="2"/>
  <c r="B55" i="3"/>
  <c r="G7" i="3"/>
  <c r="G7" i="4" s="1"/>
  <c r="G7" i="5" s="1"/>
  <c r="G7" i="6" s="1"/>
  <c r="G7" i="7" s="1"/>
  <c r="G7" i="8" s="1"/>
  <c r="G7" i="9" s="1"/>
  <c r="G7" i="10" s="1"/>
  <c r="G7" i="11" s="1"/>
  <c r="G7" i="12" s="1"/>
  <c r="G18" i="3"/>
  <c r="G18" i="4" s="1"/>
  <c r="G18" i="5" s="1"/>
  <c r="G18" i="6" s="1"/>
  <c r="G18" i="7" s="1"/>
  <c r="G18" i="8" s="1"/>
  <c r="G18" i="9" s="1"/>
  <c r="G18" i="10" s="1"/>
  <c r="G18" i="11" s="1"/>
  <c r="G18" i="12" s="1"/>
  <c r="G23" i="3"/>
  <c r="G23" i="4" s="1"/>
  <c r="G23" i="5" s="1"/>
  <c r="G23" i="6" s="1"/>
  <c r="G23" i="7" s="1"/>
  <c r="G23" i="8" s="1"/>
  <c r="G23" i="9" s="1"/>
  <c r="G23" i="10" s="1"/>
  <c r="G23" i="11" s="1"/>
  <c r="G23" i="12" s="1"/>
  <c r="C25" i="3"/>
  <c r="C25" i="4" s="1"/>
  <c r="C25" i="5" s="1"/>
  <c r="C25" i="6" s="1"/>
  <c r="C25" i="7" s="1"/>
  <c r="C25" i="8" s="1"/>
  <c r="C25" i="9" s="1"/>
  <c r="C25" i="10" s="1"/>
  <c r="C25" i="11" s="1"/>
  <c r="C25" i="12" s="1"/>
  <c r="E25" i="3"/>
  <c r="E25" i="4" s="1"/>
  <c r="E25" i="5" s="1"/>
  <c r="E25" i="6" s="1"/>
  <c r="E25" i="7" s="1"/>
  <c r="E25" i="8" s="1"/>
  <c r="E25" i="9" s="1"/>
  <c r="E25" i="10" s="1"/>
  <c r="E25" i="11" s="1"/>
  <c r="E25" i="12" s="1"/>
  <c r="G26" i="3"/>
  <c r="G26" i="4" s="1"/>
  <c r="G26" i="5" s="1"/>
  <c r="G26" i="6" s="1"/>
  <c r="G26" i="7" s="1"/>
  <c r="G26" i="8" s="1"/>
  <c r="G26" i="9" s="1"/>
  <c r="G26" i="10" s="1"/>
  <c r="G26" i="11" s="1"/>
  <c r="G26" i="12" s="1"/>
  <c r="C27" i="3"/>
  <c r="C27" i="4" s="1"/>
  <c r="C27" i="5" s="1"/>
  <c r="C27" i="6" s="1"/>
  <c r="C27" i="7" s="1"/>
  <c r="C27" i="8" s="1"/>
  <c r="C27" i="9" s="1"/>
  <c r="C27" i="10" s="1"/>
  <c r="C27" i="11" s="1"/>
  <c r="C27" i="12" s="1"/>
  <c r="C28" i="3"/>
  <c r="C28" i="4" s="1"/>
  <c r="C28" i="5" s="1"/>
  <c r="C28" i="6" s="1"/>
  <c r="C28" i="7" s="1"/>
  <c r="C28" i="8" s="1"/>
  <c r="C28" i="9" s="1"/>
  <c r="C28" i="10" s="1"/>
  <c r="C28" i="11" s="1"/>
  <c r="C28" i="12" s="1"/>
  <c r="G28" i="3"/>
  <c r="G28" i="4" s="1"/>
  <c r="G28" i="5" s="1"/>
  <c r="G28" i="6" s="1"/>
  <c r="G28" i="7" s="1"/>
  <c r="G28" i="8" s="1"/>
  <c r="G28" i="9" s="1"/>
  <c r="G28" i="10" s="1"/>
  <c r="G28" i="11" s="1"/>
  <c r="G28" i="12" s="1"/>
  <c r="E31" i="3"/>
  <c r="E31" i="4" s="1"/>
  <c r="E31" i="5" s="1"/>
  <c r="E31" i="6" s="1"/>
  <c r="E31" i="7" s="1"/>
  <c r="E31" i="8" s="1"/>
  <c r="E31" i="9" s="1"/>
  <c r="E31" i="10" s="1"/>
  <c r="E31" i="11" s="1"/>
  <c r="E31" i="12" s="1"/>
  <c r="E32" i="3"/>
  <c r="E32" i="4" s="1"/>
  <c r="E32" i="5" s="1"/>
  <c r="E32" i="6" s="1"/>
  <c r="E32" i="7" s="1"/>
  <c r="E32" i="8" s="1"/>
  <c r="E32" i="9" s="1"/>
  <c r="E32" i="10" s="1"/>
  <c r="E32" i="11" s="1"/>
  <c r="E32" i="12" s="1"/>
  <c r="G32" i="3"/>
  <c r="G32" i="4" s="1"/>
  <c r="G32" i="5" s="1"/>
  <c r="G32" i="6" s="1"/>
  <c r="G32" i="7" s="1"/>
  <c r="G32" i="8" s="1"/>
  <c r="G32" i="9" s="1"/>
  <c r="G32" i="10" s="1"/>
  <c r="G32" i="11" s="1"/>
  <c r="G32" i="12" s="1"/>
  <c r="E33" i="3"/>
  <c r="E33" i="4" s="1"/>
  <c r="E33" i="5" s="1"/>
  <c r="E33" i="6" s="1"/>
  <c r="E33" i="7" s="1"/>
  <c r="E33" i="8" s="1"/>
  <c r="E33" i="9" s="1"/>
  <c r="E33" i="10" s="1"/>
  <c r="E33" i="11" s="1"/>
  <c r="E33" i="12" s="1"/>
  <c r="C34" i="3"/>
  <c r="C34" i="4" s="1"/>
  <c r="C34" i="5" s="1"/>
  <c r="C34" i="6" s="1"/>
  <c r="C34" i="7" s="1"/>
  <c r="C34" i="8" s="1"/>
  <c r="C34" i="9" s="1"/>
  <c r="C34" i="10" s="1"/>
  <c r="C34" i="11" s="1"/>
  <c r="C34" i="12" s="1"/>
  <c r="E35" i="3"/>
  <c r="E35" i="4" s="1"/>
  <c r="G36" i="3"/>
  <c r="G36" i="4" s="1"/>
  <c r="G36" i="5" s="1"/>
  <c r="G36" i="6" s="1"/>
  <c r="G36" i="7" s="1"/>
  <c r="G36" i="8" s="1"/>
  <c r="G36" i="9" s="1"/>
  <c r="G36" i="10" s="1"/>
  <c r="G36" i="11" s="1"/>
  <c r="G36" i="12" s="1"/>
  <c r="E38" i="3"/>
  <c r="E38" i="4" s="1"/>
  <c r="E38" i="5" s="1"/>
  <c r="E38" i="6" s="1"/>
  <c r="E38" i="7" s="1"/>
  <c r="E38" i="8" s="1"/>
  <c r="E38" i="9" s="1"/>
  <c r="E38" i="10" s="1"/>
  <c r="E38" i="11" s="1"/>
  <c r="E38" i="12" s="1"/>
  <c r="G40" i="3"/>
  <c r="G40" i="4" s="1"/>
  <c r="G40" i="5" s="1"/>
  <c r="G40" i="6" s="1"/>
  <c r="G40" i="7" s="1"/>
  <c r="G40" i="8" s="1"/>
  <c r="G40" i="9" s="1"/>
  <c r="G40" i="10" s="1"/>
  <c r="G40" i="11" s="1"/>
  <c r="G40" i="12" s="1"/>
  <c r="C41" i="3"/>
  <c r="C41" i="4" s="1"/>
  <c r="C41" i="5" s="1"/>
  <c r="C41" i="6" s="1"/>
  <c r="C41" i="7" s="1"/>
  <c r="C41" i="8" s="1"/>
  <c r="C41" i="9" s="1"/>
  <c r="C41" i="10" s="1"/>
  <c r="C41" i="11" s="1"/>
  <c r="C41" i="12" s="1"/>
  <c r="E41" i="3"/>
  <c r="E41" i="4" s="1"/>
  <c r="E41" i="5" s="1"/>
  <c r="E41" i="6" s="1"/>
  <c r="E41" i="7" s="1"/>
  <c r="E41" i="8" s="1"/>
  <c r="E41" i="9" s="1"/>
  <c r="E41" i="10" s="1"/>
  <c r="E41" i="11" s="1"/>
  <c r="E41" i="12" s="1"/>
  <c r="C42" i="3"/>
  <c r="C42" i="4" s="1"/>
  <c r="C42" i="5" s="1"/>
  <c r="C42" i="6" s="1"/>
  <c r="C42" i="7" s="1"/>
  <c r="C42" i="8" s="1"/>
  <c r="C42" i="9" s="1"/>
  <c r="C42" i="10" s="1"/>
  <c r="C42" i="11" s="1"/>
  <c r="C42" i="12" s="1"/>
  <c r="E43" i="3"/>
  <c r="E43" i="4" s="1"/>
  <c r="E43" i="5" s="1"/>
  <c r="E43" i="6" s="1"/>
  <c r="E43" i="7" s="1"/>
  <c r="E43" i="8" s="1"/>
  <c r="E43" i="9" s="1"/>
  <c r="E43" i="10" s="1"/>
  <c r="E43" i="11" s="1"/>
  <c r="E43" i="12" s="1"/>
  <c r="G44" i="3"/>
  <c r="G44" i="4" s="1"/>
  <c r="G44" i="5" s="1"/>
  <c r="G44" i="6" s="1"/>
  <c r="G44" i="7" s="1"/>
  <c r="G44" i="8" s="1"/>
  <c r="G44" i="9" s="1"/>
  <c r="G44" i="10" s="1"/>
  <c r="G44" i="11" s="1"/>
  <c r="G44" i="12" s="1"/>
  <c r="G46" i="3"/>
  <c r="G46" i="4" s="1"/>
  <c r="G46" i="5" s="1"/>
  <c r="G46" i="6" s="1"/>
  <c r="G46" i="7" s="1"/>
  <c r="G46" i="8" s="1"/>
  <c r="G46" i="9" s="1"/>
  <c r="G46" i="10" s="1"/>
  <c r="G46" i="11" s="1"/>
  <c r="G46" i="12" s="1"/>
  <c r="E49" i="3"/>
  <c r="E49" i="4" s="1"/>
  <c r="E49" i="5" s="1"/>
  <c r="E49" i="6" s="1"/>
  <c r="E49" i="7" s="1"/>
  <c r="E49" i="8" s="1"/>
  <c r="E49" i="9" s="1"/>
  <c r="E49" i="10" s="1"/>
  <c r="E49" i="11" s="1"/>
  <c r="E49" i="12" s="1"/>
  <c r="G50" i="3"/>
  <c r="G50" i="4" s="1"/>
  <c r="E53" i="3"/>
  <c r="E53" i="4" s="1"/>
  <c r="E53" i="5" s="1"/>
  <c r="E53" i="6" s="1"/>
  <c r="E53" i="7" s="1"/>
  <c r="E53" i="8" s="1"/>
  <c r="E53" i="9" s="1"/>
  <c r="E53" i="10" s="1"/>
  <c r="E53" i="11" s="1"/>
  <c r="E53" i="12" s="1"/>
  <c r="D55" i="1"/>
  <c r="E55" i="1" s="1"/>
  <c r="D55" i="2"/>
  <c r="D55" i="3"/>
  <c r="F55" i="1"/>
  <c r="G55" i="1" s="1"/>
  <c r="F55" i="3"/>
  <c r="F55" i="5"/>
  <c r="F55" i="6"/>
  <c r="F55" i="7"/>
  <c r="B55" i="8"/>
  <c r="D55" i="8"/>
  <c r="F55" i="8"/>
  <c r="B55" i="5"/>
  <c r="B55" i="6"/>
  <c r="D55" i="5"/>
  <c r="D55" i="6"/>
  <c r="D55" i="7"/>
  <c r="G50" i="5"/>
  <c r="G50" i="6" s="1"/>
  <c r="G50" i="7" s="1"/>
  <c r="G50" i="8" s="1"/>
  <c r="G50" i="9" s="1"/>
  <c r="G50" i="10" s="1"/>
  <c r="G50" i="11" s="1"/>
  <c r="G50" i="12" s="1"/>
  <c r="E44" i="5"/>
  <c r="E44" i="6" s="1"/>
  <c r="E44" i="7" s="1"/>
  <c r="E44" i="8" s="1"/>
  <c r="E44" i="9" s="1"/>
  <c r="E44" i="10" s="1"/>
  <c r="E44" i="11" s="1"/>
  <c r="E44" i="12" s="1"/>
  <c r="C43" i="5"/>
  <c r="C43" i="6" s="1"/>
  <c r="C43" i="7" s="1"/>
  <c r="C43" i="8" s="1"/>
  <c r="C43" i="9" s="1"/>
  <c r="C43" i="10" s="1"/>
  <c r="C43" i="11" s="1"/>
  <c r="C43" i="12" s="1"/>
  <c r="G41" i="5"/>
  <c r="G41" i="6" s="1"/>
  <c r="G41" i="7" s="1"/>
  <c r="G41" i="8" s="1"/>
  <c r="G41" i="9" s="1"/>
  <c r="G41" i="10" s="1"/>
  <c r="G41" i="11" s="1"/>
  <c r="G41" i="12" s="1"/>
  <c r="G35" i="5"/>
  <c r="G35" i="6" s="1"/>
  <c r="G35" i="7" s="1"/>
  <c r="G35" i="8" s="1"/>
  <c r="G35" i="9" s="1"/>
  <c r="G35" i="10" s="1"/>
  <c r="G35" i="11" s="1"/>
  <c r="G35" i="12" s="1"/>
  <c r="E35" i="5"/>
  <c r="E35" i="6" s="1"/>
  <c r="E35" i="7" s="1"/>
  <c r="E35" i="8" s="1"/>
  <c r="E35" i="9" s="1"/>
  <c r="E35" i="10" s="1"/>
  <c r="E35" i="11" s="1"/>
  <c r="E35" i="12" s="1"/>
  <c r="C33" i="5"/>
  <c r="C33" i="6" s="1"/>
  <c r="C33" i="7" s="1"/>
  <c r="C33" i="8" s="1"/>
  <c r="C33" i="9" s="1"/>
  <c r="C33" i="10" s="1"/>
  <c r="C33" i="11" s="1"/>
  <c r="C33" i="12" s="1"/>
  <c r="E30" i="5"/>
  <c r="E30" i="6" s="1"/>
  <c r="E30" i="7" s="1"/>
  <c r="E30" i="8" s="1"/>
  <c r="E30" i="9" s="1"/>
  <c r="E30" i="10" s="1"/>
  <c r="E30" i="11" s="1"/>
  <c r="E30" i="12" s="1"/>
  <c r="G25" i="5"/>
  <c r="G25" i="6" s="1"/>
  <c r="G25" i="7" s="1"/>
  <c r="G25" i="8" s="1"/>
  <c r="G25" i="9" s="1"/>
  <c r="G25" i="10" s="1"/>
  <c r="G25" i="11" s="1"/>
  <c r="G25" i="12" s="1"/>
  <c r="C23" i="5"/>
  <c r="C23" i="6" s="1"/>
  <c r="C23" i="7" s="1"/>
  <c r="C23" i="8" s="1"/>
  <c r="C23" i="9" s="1"/>
  <c r="C23" i="10" s="1"/>
  <c r="C23" i="11" s="1"/>
  <c r="C23" i="12" s="1"/>
  <c r="C14" i="5"/>
  <c r="C14" i="6" s="1"/>
  <c r="C14" i="7" s="1"/>
  <c r="C14" i="8" s="1"/>
  <c r="C14" i="9" s="1"/>
  <c r="C14" i="10" s="1"/>
  <c r="C14" i="11" s="1"/>
  <c r="C14" i="12" s="1"/>
  <c r="D65" i="5"/>
  <c r="D65" i="6" s="1"/>
  <c r="D65" i="7" s="1"/>
  <c r="D65" i="8" s="1"/>
  <c r="D65" i="9" s="1"/>
  <c r="D65" i="10" s="1"/>
  <c r="D65" i="11" s="1"/>
  <c r="D65" i="12" s="1"/>
  <c r="D58" i="5"/>
  <c r="D58" i="6" s="1"/>
  <c r="D58" i="7" s="1"/>
  <c r="D58" i="8" s="1"/>
  <c r="D58" i="9" s="1"/>
  <c r="D58" i="10" s="1"/>
  <c r="D58" i="11" s="1"/>
  <c r="D58" i="12" s="1"/>
  <c r="B55" i="12"/>
  <c r="D55" i="12"/>
  <c r="F55" i="12"/>
  <c r="B55" i="9"/>
  <c r="B55" i="10"/>
  <c r="B55" i="11"/>
  <c r="E13" i="11"/>
  <c r="E13" i="12" s="1"/>
  <c r="C17" i="10"/>
  <c r="C17" i="11" s="1"/>
  <c r="C17" i="12" s="1"/>
  <c r="E17" i="11"/>
  <c r="E17" i="12" s="1"/>
  <c r="D55" i="9"/>
  <c r="D55" i="11"/>
  <c r="F55" i="9"/>
  <c r="F55" i="10"/>
  <c r="B55" i="1"/>
  <c r="B55" i="7"/>
  <c r="D55" i="10"/>
  <c r="D66" i="3" l="1"/>
  <c r="D66" i="4" s="1"/>
  <c r="D66" i="5" s="1"/>
  <c r="D66" i="6" s="1"/>
  <c r="D66" i="7" s="1"/>
  <c r="D66" i="8" s="1"/>
  <c r="D66" i="9" s="1"/>
  <c r="D66" i="10" s="1"/>
  <c r="D66" i="11" s="1"/>
  <c r="D66" i="12" s="1"/>
  <c r="D66" i="2"/>
  <c r="C31" i="6"/>
  <c r="C31" i="7" s="1"/>
  <c r="C31" i="8" s="1"/>
  <c r="C31" i="9" s="1"/>
  <c r="C31" i="10" s="1"/>
  <c r="C31" i="11" s="1"/>
  <c r="C31" i="12" s="1"/>
  <c r="C55" i="1"/>
  <c r="C55" i="2" s="1"/>
  <c r="C55" i="3" s="1"/>
  <c r="C55" i="4" s="1"/>
  <c r="C55" i="5" s="1"/>
  <c r="C55" i="6" s="1"/>
  <c r="C55" i="7" s="1"/>
  <c r="C55" i="8" s="1"/>
  <c r="C55" i="9" s="1"/>
  <c r="C55" i="10" s="1"/>
  <c r="C55" i="11" s="1"/>
  <c r="C55" i="12" s="1"/>
  <c r="C19" i="6"/>
  <c r="C19" i="7" s="1"/>
  <c r="C19" i="8" s="1"/>
  <c r="C19" i="9" s="1"/>
  <c r="C19" i="10" s="1"/>
  <c r="C19" i="11" s="1"/>
  <c r="C19" i="12" s="1"/>
  <c r="G55" i="2"/>
  <c r="G55" i="3" s="1"/>
  <c r="G55" i="4" s="1"/>
  <c r="G55" i="5" s="1"/>
  <c r="G55" i="6" s="1"/>
  <c r="G55" i="7" s="1"/>
  <c r="G55" i="8" s="1"/>
  <c r="G55" i="9" s="1"/>
  <c r="G55" i="10" s="1"/>
  <c r="G55" i="11" s="1"/>
  <c r="G55" i="12" s="1"/>
  <c r="E55" i="2"/>
  <c r="E55" i="3" s="1"/>
  <c r="E55" i="4" s="1"/>
  <c r="E55" i="5" s="1"/>
  <c r="E55" i="6" s="1"/>
  <c r="E55" i="7" s="1"/>
  <c r="E55" i="8" s="1"/>
  <c r="E55" i="9" s="1"/>
  <c r="E55" i="10" s="1"/>
  <c r="E55" i="11" s="1"/>
  <c r="E55" i="12" s="1"/>
</calcChain>
</file>

<file path=xl/comments1.xml><?xml version="1.0" encoding="utf-8"?>
<comments xmlns="http://schemas.openxmlformats.org/spreadsheetml/2006/main">
  <authors>
    <author>Pauline Hartman</author>
  </authors>
  <commentList>
    <comment ref="F11" authorId="0">
      <text>
        <r>
          <rPr>
            <b/>
            <sz val="8"/>
            <color indexed="81"/>
            <rFont val="Tahoma"/>
            <family val="2"/>
          </rPr>
          <t>Pauline Hartman: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<sst xmlns="http://schemas.openxmlformats.org/spreadsheetml/2006/main" count="900" uniqueCount="81">
  <si>
    <t xml:space="preserve">      FEEDER PIGS</t>
  </si>
  <si>
    <t xml:space="preserve">   BREEDING SWINE</t>
  </si>
  <si>
    <t xml:space="preserve">   SLAUGHTER SWINE</t>
  </si>
  <si>
    <t>STATE OF ORIGIN</t>
  </si>
  <si>
    <t>MONTH</t>
  </si>
  <si>
    <t>YTD</t>
  </si>
  <si>
    <t>ALABAMA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</si>
  <si>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</si>
  <si>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</si>
  <si>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</si>
  <si>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</si>
  <si>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</si>
  <si>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</si>
  <si>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</si>
  <si>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</si>
  <si>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</si>
  <si>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</si>
  <si>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</si>
  <si>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</si>
  <si>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</si>
  <si>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</si>
  <si>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</si>
  <si>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</si>
  <si>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</si>
  <si>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</si>
  <si>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</si>
  <si>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</si>
  <si>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</si>
  <si>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</si>
  <si>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</si>
  <si>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</si>
  <si>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</si>
  <si>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</si>
  <si>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</si>
  <si>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</si>
  <si>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</si>
  <si>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</si>
  <si>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</si>
  <si>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</si>
  <si>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</si>
  <si>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</si>
  <si>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</si>
  <si>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</si>
  <si>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</si>
  <si>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</si>
  <si>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</si>
  <si>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</si>
  <si>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</si>
  <si>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</si>
  <si>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</si>
  <si>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</si>
  <si>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</si>
  <si>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CANADA</t>
  </si>
  <si>
    <t>TOTALS:</t>
  </si>
  <si>
    <t>UNITS:</t>
  </si>
  <si>
    <t>Canada</t>
  </si>
  <si>
    <t>Illinois</t>
  </si>
  <si>
    <t>Indiana</t>
  </si>
  <si>
    <t>Kentucky</t>
  </si>
  <si>
    <t>Minnesota</t>
  </si>
  <si>
    <t>Oklahoma</t>
  </si>
  <si>
    <t>South Dakota</t>
  </si>
  <si>
    <t>Wisconsin</t>
  </si>
  <si>
    <t>Nebraska</t>
  </si>
  <si>
    <t>ARIZONA</t>
  </si>
  <si>
    <t>Missouri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</si>
  <si>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</si>
  <si>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</si>
  <si>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</si>
  <si>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</si>
  <si>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</si>
  <si>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</si>
  <si>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</si>
  <si>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</si>
  <si>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</si>
  <si>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</si>
  <si>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</si>
  <si>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KARLA CRAWFORD AND LISA POTTER</t>
  </si>
  <si>
    <t>August</t>
  </si>
  <si>
    <t>Karla Crawford and Lisa Potter</t>
  </si>
  <si>
    <t xml:space="preserve">                      2013 Imported Swine Count: 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</si>
</sst>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8" x14ac:knownFonts="1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Monotype Corsiva"/>
      <family val="4"/>
    </font>
    <font>
      <sz val="12"/>
      <color indexed="8"/>
      <name val="Arial"/>
      <family val="2"/>
    </font>
    <font>
      <sz val="12"/>
      <color indexed="21"/>
      <name val="Arial"/>
      <family val="2"/>
    </font>
    <font>
      <b/>
      <sz val="12"/>
      <color indexed="21"/>
      <name val="Arial"/>
      <family val="2"/>
    </font>
    <font>
      <b/>
      <sz val="13"/>
      <name val="Arial"/>
      <family val="2"/>
    </font>
    <font>
      <b/>
      <sz val="12"/>
      <color indexed="4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2" xfId="0" applyBorder="1"/>
    <xf numFmtId="0" fontId="5" fillId="0" borderId="3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/>
    </xf>
    <xf numFmtId="37" fontId="0" fillId="0" borderId="5" xfId="0" applyNumberFormat="1" applyBorder="1" applyAlignment="1" applyProtection="1">
      <alignment horizontal="center"/>
    </xf>
    <xf numFmtId="0" fontId="0" fillId="0" borderId="6" xfId="0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37" fontId="0" fillId="0" borderId="0" xfId="0" applyNumberFormat="1" applyProtection="1"/>
    <xf numFmtId="0" fontId="7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37" fontId="2" fillId="0" borderId="8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37" fontId="0" fillId="0" borderId="0" xfId="0" applyNumberFormat="1" applyAlignment="1" applyProtection="1">
      <alignment horizontal="center" vertical="center"/>
    </xf>
    <xf numFmtId="37" fontId="9" fillId="0" borderId="5" xfId="0" applyNumberFormat="1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37" fontId="10" fillId="0" borderId="5" xfId="0" applyNumberFormat="1" applyFont="1" applyBorder="1" applyAlignment="1" applyProtection="1">
      <alignment horizontal="center"/>
    </xf>
    <xf numFmtId="0" fontId="11" fillId="0" borderId="0" xfId="0" applyFont="1"/>
    <xf numFmtId="0" fontId="10" fillId="0" borderId="5" xfId="0" applyFont="1" applyBorder="1" applyAlignment="1">
      <alignment horizontal="left"/>
    </xf>
    <xf numFmtId="37" fontId="10" fillId="0" borderId="0" xfId="0" applyNumberFormat="1" applyFont="1" applyProtection="1"/>
    <xf numFmtId="0" fontId="10" fillId="0" borderId="0" xfId="0" applyFont="1"/>
    <xf numFmtId="0" fontId="10" fillId="0" borderId="0" xfId="0" applyFont="1" applyAlignment="1">
      <alignment horizontal="left"/>
    </xf>
    <xf numFmtId="37" fontId="10" fillId="0" borderId="0" xfId="0" applyNumberFormat="1" applyFont="1" applyAlignment="1" applyProtection="1">
      <alignment horizontal="center"/>
    </xf>
    <xf numFmtId="0" fontId="10" fillId="0" borderId="0" xfId="0" applyFont="1" applyAlignment="1">
      <alignment horizontal="center"/>
    </xf>
    <xf numFmtId="37" fontId="10" fillId="0" borderId="0" xfId="0" applyNumberFormat="1" applyFont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37" fontId="13" fillId="0" borderId="5" xfId="0" applyNumberFormat="1" applyFont="1" applyBorder="1" applyAlignment="1" applyProtection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/>
    <xf numFmtId="0" fontId="9" fillId="0" borderId="5" xfId="0" applyFont="1" applyBorder="1" applyAlignment="1">
      <alignment horizontal="left"/>
    </xf>
    <xf numFmtId="0" fontId="20" fillId="0" borderId="7" xfId="0" applyFont="1" applyBorder="1" applyAlignment="1">
      <alignment horizontal="center" vertical="center"/>
    </xf>
    <xf numFmtId="37" fontId="20" fillId="0" borderId="7" xfId="0" applyNumberFormat="1" applyFont="1" applyBorder="1" applyAlignment="1" applyProtection="1">
      <alignment horizontal="center" vertical="center"/>
    </xf>
    <xf numFmtId="37" fontId="9" fillId="0" borderId="4" xfId="0" applyNumberFormat="1" applyFont="1" applyBorder="1" applyAlignment="1" applyProtection="1">
      <alignment horizontal="center" vertical="center"/>
    </xf>
    <xf numFmtId="0" fontId="21" fillId="0" borderId="0" xfId="0" applyFont="1" applyAlignment="1">
      <alignment horizontal="left"/>
    </xf>
    <xf numFmtId="37" fontId="9" fillId="0" borderId="0" xfId="0" applyNumberFormat="1" applyFont="1" applyProtection="1"/>
    <xf numFmtId="0" fontId="9" fillId="0" borderId="0" xfId="0" applyFont="1"/>
    <xf numFmtId="0" fontId="22" fillId="0" borderId="0" xfId="0" applyFont="1" applyAlignment="1">
      <alignment horizontal="left"/>
    </xf>
    <xf numFmtId="0" fontId="9" fillId="0" borderId="8" xfId="0" applyFont="1" applyBorder="1" applyAlignment="1">
      <alignment horizontal="center" vertical="center" wrapText="1"/>
    </xf>
    <xf numFmtId="37" fontId="9" fillId="0" borderId="8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left"/>
    </xf>
    <xf numFmtId="37" fontId="9" fillId="0" borderId="0" xfId="0" applyNumberFormat="1" applyFont="1" applyAlignment="1" applyProtection="1">
      <alignment horizontal="center"/>
    </xf>
    <xf numFmtId="37" fontId="9" fillId="0" borderId="0" xfId="0" applyNumberFormat="1" applyFont="1" applyAlignment="1" applyProtection="1">
      <alignment horizontal="center" vertical="center"/>
    </xf>
    <xf numFmtId="0" fontId="8" fillId="0" borderId="0" xfId="0" applyFont="1" applyAlignment="1">
      <alignment horizontal="center"/>
    </xf>
    <xf numFmtId="37" fontId="23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7" fontId="8" fillId="0" borderId="8" xfId="0" applyNumberFormat="1" applyFont="1" applyBorder="1" applyAlignment="1" applyProtection="1">
      <alignment horizontal="center" vertical="center"/>
    </xf>
    <xf numFmtId="37" fontId="10" fillId="2" borderId="5" xfId="0" applyNumberFormat="1" applyFont="1" applyFill="1" applyBorder="1" applyAlignment="1" applyProtection="1">
      <alignment horizontal="center"/>
    </xf>
    <xf numFmtId="37" fontId="0" fillId="3" borderId="5" xfId="0" applyNumberForma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24" fillId="0" borderId="0" xfId="0" applyFont="1"/>
    <xf numFmtId="0" fontId="25" fillId="0" borderId="0" xfId="0" applyFont="1"/>
    <xf numFmtId="0" fontId="23" fillId="0" borderId="1" xfId="0" applyFont="1" applyBorder="1"/>
    <xf numFmtId="0" fontId="9" fillId="0" borderId="2" xfId="0" applyFont="1" applyBorder="1"/>
    <xf numFmtId="0" fontId="23" fillId="0" borderId="3" xfId="0" applyFont="1" applyBorder="1"/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7" fontId="8" fillId="0" borderId="7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37" fontId="9" fillId="0" borderId="7" xfId="0" applyNumberFormat="1" applyFont="1" applyBorder="1" applyAlignment="1" applyProtection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37" fontId="9" fillId="4" borderId="5" xfId="0" applyNumberFormat="1" applyFont="1" applyFill="1" applyBorder="1" applyAlignment="1" applyProtection="1">
      <alignment horizontal="center"/>
    </xf>
    <xf numFmtId="3" fontId="9" fillId="4" borderId="5" xfId="1" applyNumberFormat="1" applyFont="1" applyFill="1" applyBorder="1" applyAlignment="1" applyProtection="1">
      <alignment horizontal="center"/>
    </xf>
    <xf numFmtId="37" fontId="9" fillId="5" borderId="5" xfId="0" applyNumberFormat="1" applyFont="1" applyFill="1" applyBorder="1" applyAlignment="1" applyProtection="1">
      <alignment horizontal="center"/>
    </xf>
    <xf numFmtId="37" fontId="0" fillId="4" borderId="5" xfId="0" applyNumberFormat="1" applyFill="1" applyBorder="1" applyAlignment="1" applyProtection="1">
      <alignment horizontal="center"/>
    </xf>
    <xf numFmtId="37" fontId="14" fillId="4" borderId="5" xfId="0" applyNumberFormat="1" applyFont="1" applyFill="1" applyBorder="1" applyAlignment="1" applyProtection="1">
      <alignment horizontal="center"/>
    </xf>
    <xf numFmtId="37" fontId="0" fillId="5" borderId="5" xfId="0" applyNumberFormat="1" applyFill="1" applyBorder="1" applyAlignment="1" applyProtection="1">
      <alignment horizontal="center"/>
    </xf>
    <xf numFmtId="37" fontId="14" fillId="5" borderId="5" xfId="0" applyNumberFormat="1" applyFont="1" applyFill="1" applyBorder="1" applyAlignment="1" applyProtection="1">
      <alignment horizontal="center"/>
    </xf>
    <xf numFmtId="37" fontId="10" fillId="4" borderId="5" xfId="0" applyNumberFormat="1" applyFont="1" applyFill="1" applyBorder="1" applyAlignment="1" applyProtection="1">
      <alignment horizontal="center"/>
    </xf>
    <xf numFmtId="37" fontId="10" fillId="5" borderId="5" xfId="0" applyNumberFormat="1" applyFont="1" applyFill="1" applyBorder="1" applyAlignment="1" applyProtection="1">
      <alignment horizontal="center"/>
    </xf>
    <xf numFmtId="37" fontId="17" fillId="4" borderId="5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Alignment="1" applyProtection="1">
      <alignment horizontal="center" vertical="center"/>
    </xf>
    <xf numFmtId="37" fontId="9" fillId="0" borderId="9" xfId="0" applyNumberFormat="1" applyFont="1" applyBorder="1" applyAlignment="1" applyProtection="1">
      <alignment horizontal="center"/>
    </xf>
    <xf numFmtId="0" fontId="9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37" fontId="5" fillId="0" borderId="11" xfId="0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left"/>
    </xf>
    <xf numFmtId="37" fontId="14" fillId="4" borderId="10" xfId="0" applyNumberFormat="1" applyFont="1" applyFill="1" applyBorder="1" applyAlignment="1" applyProtection="1">
      <alignment horizontal="center"/>
    </xf>
    <xf numFmtId="37" fontId="0" fillId="0" borderId="10" xfId="0" applyNumberFormat="1" applyBorder="1" applyAlignment="1" applyProtection="1">
      <alignment horizontal="center"/>
    </xf>
    <xf numFmtId="37" fontId="0" fillId="5" borderId="10" xfId="0" applyNumberFormat="1" applyFill="1" applyBorder="1" applyAlignment="1" applyProtection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37" fontId="9" fillId="2" borderId="5" xfId="0" applyNumberFormat="1" applyFont="1" applyFill="1" applyBorder="1" applyAlignment="1" applyProtection="1">
      <alignment horizontal="center"/>
    </xf>
    <xf numFmtId="0" fontId="10" fillId="0" borderId="12" xfId="0" applyFont="1" applyBorder="1" applyAlignment="1">
      <alignment horizontal="left"/>
    </xf>
    <xf numFmtId="3" fontId="9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3399"/>
      <color rgb="FFCC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67"/>
  <sheetViews>
    <sheetView tabSelected="1" defaultGridColor="0" colorId="22" zoomScaleNormal="100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53" customWidth="1"/>
    <col min="2" max="2" width="13.6640625" style="49" customWidth="1"/>
    <col min="3" max="4" width="13.77734375" style="49" customWidth="1"/>
    <col min="5" max="6" width="12.6640625" style="49" customWidth="1"/>
    <col min="7" max="7" width="12.77734375" style="49" customWidth="1"/>
    <col min="8" max="16384" width="11.77734375" style="49"/>
  </cols>
  <sheetData>
    <row r="1" spans="1:256" ht="0.75" customHeight="1" x14ac:dyDescent="0.25">
      <c r="I1" s="63"/>
    </row>
    <row r="2" spans="1:256" ht="23.25" x14ac:dyDescent="0.35">
      <c r="A2" s="3" t="s">
        <v>80</v>
      </c>
      <c r="B2" s="64"/>
      <c r="D2" s="64"/>
      <c r="F2" s="65" t="s">
        <v>66</v>
      </c>
      <c r="I2" s="63"/>
    </row>
    <row r="3" spans="1:256" ht="23.25" x14ac:dyDescent="0.35">
      <c r="A3" s="3"/>
      <c r="B3" s="64"/>
      <c r="D3" s="64"/>
      <c r="F3" s="49" t="s">
        <v>79</v>
      </c>
      <c r="I3" s="63"/>
    </row>
    <row r="4" spans="1:256" ht="16.5" customHeight="1" thickBot="1" x14ac:dyDescent="0.3">
      <c r="E4" s="63"/>
      <c r="G4" s="63"/>
      <c r="I4" s="63"/>
    </row>
    <row r="5" spans="1:256" ht="21.2" customHeight="1" thickBot="1" x14ac:dyDescent="0.3">
      <c r="B5" s="66" t="s">
        <v>0</v>
      </c>
      <c r="C5" s="67"/>
      <c r="D5" s="68" t="s">
        <v>1</v>
      </c>
      <c r="E5" s="67"/>
      <c r="F5" s="68" t="s">
        <v>2</v>
      </c>
      <c r="G5" s="67"/>
    </row>
    <row r="6" spans="1:256" ht="16.5" thickBot="1" x14ac:dyDescent="0.25">
      <c r="A6" s="69" t="s">
        <v>3</v>
      </c>
      <c r="B6" s="70" t="s">
        <v>4</v>
      </c>
      <c r="C6" s="70" t="s">
        <v>5</v>
      </c>
      <c r="D6" s="70" t="s">
        <v>4</v>
      </c>
      <c r="E6" s="70" t="s">
        <v>5</v>
      </c>
      <c r="F6" s="70" t="s">
        <v>4</v>
      </c>
      <c r="G6" s="70" t="s">
        <v>5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pans="1:256" x14ac:dyDescent="0.2">
      <c r="A7" s="43" t="s">
        <v>6</v>
      </c>
      <c r="B7" s="79"/>
      <c r="C7" s="25">
        <f t="shared" ref="C7:C54" si="0">B7</f>
        <v>0</v>
      </c>
      <c r="D7" s="81"/>
      <c r="E7" s="25">
        <f t="shared" ref="E7:E39" si="1">D7</f>
        <v>0</v>
      </c>
      <c r="F7" s="25"/>
      <c r="G7" s="25">
        <f t="shared" ref="G7:G55" si="2">+F7</f>
        <v>0</v>
      </c>
    </row>
    <row r="8" spans="1:256" x14ac:dyDescent="0.2">
      <c r="A8" s="43" t="s">
        <v>64</v>
      </c>
      <c r="B8" s="79"/>
      <c r="C8" s="25">
        <f t="shared" si="0"/>
        <v>0</v>
      </c>
      <c r="D8" s="81"/>
      <c r="E8" s="25">
        <f t="shared" si="1"/>
        <v>0</v>
      </c>
      <c r="F8" s="25"/>
      <c r="G8" s="25">
        <f t="shared" si="2"/>
        <v>0</v>
      </c>
    </row>
    <row r="9" spans="1:256" x14ac:dyDescent="0.2">
      <c r="A9" s="43" t="s">
        <v>7</v>
      </c>
      <c r="B9" s="79">
        <f>550+700+200+375+725+525+500+750+500+750+1050+400+650+1050+800+250+1050+1050+1050+200+850+1050+1250+500+750+500+725+500+525</f>
        <v>19775</v>
      </c>
      <c r="C9" s="25">
        <f t="shared" si="0"/>
        <v>19775</v>
      </c>
      <c r="D9" s="81"/>
      <c r="E9" s="25">
        <f t="shared" si="1"/>
        <v>0</v>
      </c>
      <c r="F9" s="25"/>
      <c r="G9" s="25">
        <f t="shared" si="2"/>
        <v>0</v>
      </c>
    </row>
    <row r="10" spans="1:256" x14ac:dyDescent="0.2">
      <c r="A10" s="43" t="s">
        <v>8</v>
      </c>
      <c r="B10" s="79"/>
      <c r="C10" s="25">
        <f t="shared" si="0"/>
        <v>0</v>
      </c>
      <c r="D10" s="81"/>
      <c r="E10" s="25">
        <f t="shared" si="1"/>
        <v>0</v>
      </c>
      <c r="F10" s="25"/>
      <c r="G10" s="25">
        <f t="shared" si="2"/>
        <v>0</v>
      </c>
    </row>
    <row r="11" spans="1:256" x14ac:dyDescent="0.2">
      <c r="A11" s="91" t="s">
        <v>52</v>
      </c>
      <c r="B11" s="79">
        <v>281180</v>
      </c>
      <c r="C11" s="25">
        <f>B11</f>
        <v>281180</v>
      </c>
      <c r="D11" s="81">
        <v>410</v>
      </c>
      <c r="E11" s="25">
        <f>D11</f>
        <v>410</v>
      </c>
      <c r="F11" s="25">
        <v>11868</v>
      </c>
      <c r="G11" s="90">
        <f>+F11</f>
        <v>11868</v>
      </c>
    </row>
    <row r="12" spans="1:256" x14ac:dyDescent="0.2">
      <c r="A12" s="43" t="s">
        <v>9</v>
      </c>
      <c r="B12" s="79">
        <f>1100+2400+1600+1000+1000+2000+2155+2155+1900+255+2155+680+1735+1500+915+2415+1385+1030+900+1500+1750+650+2425+2225+2388+200+1120+1270+2388+2388+1250+1200+1200+1100+1300+1250+1250+2000+59970</f>
        <v>117104</v>
      </c>
      <c r="C12" s="25">
        <f t="shared" si="0"/>
        <v>117104</v>
      </c>
      <c r="D12" s="81"/>
      <c r="E12" s="25">
        <f t="shared" si="1"/>
        <v>0</v>
      </c>
      <c r="F12" s="25"/>
      <c r="G12" s="25">
        <f t="shared" si="2"/>
        <v>0</v>
      </c>
    </row>
    <row r="13" spans="1:256" x14ac:dyDescent="0.2">
      <c r="A13" s="43" t="s">
        <v>10</v>
      </c>
      <c r="B13" s="79"/>
      <c r="C13" s="25">
        <f t="shared" si="0"/>
        <v>0</v>
      </c>
      <c r="D13" s="81"/>
      <c r="E13" s="25">
        <f t="shared" si="1"/>
        <v>0</v>
      </c>
      <c r="F13" s="25"/>
      <c r="G13" s="25">
        <f t="shared" si="2"/>
        <v>0</v>
      </c>
    </row>
    <row r="14" spans="1:256" x14ac:dyDescent="0.2">
      <c r="A14" s="43" t="s">
        <v>11</v>
      </c>
      <c r="B14" s="79"/>
      <c r="C14" s="25">
        <f t="shared" si="0"/>
        <v>0</v>
      </c>
      <c r="D14" s="81"/>
      <c r="E14" s="25">
        <f t="shared" si="1"/>
        <v>0</v>
      </c>
      <c r="F14" s="25"/>
      <c r="G14" s="25">
        <f t="shared" si="2"/>
        <v>0</v>
      </c>
    </row>
    <row r="15" spans="1:256" x14ac:dyDescent="0.2">
      <c r="A15" s="43" t="s">
        <v>12</v>
      </c>
      <c r="B15" s="79"/>
      <c r="C15" s="25">
        <f t="shared" si="0"/>
        <v>0</v>
      </c>
      <c r="D15" s="81">
        <v>1</v>
      </c>
      <c r="E15" s="25">
        <f t="shared" si="1"/>
        <v>1</v>
      </c>
      <c r="F15" s="25"/>
      <c r="G15" s="25">
        <f t="shared" si="2"/>
        <v>0</v>
      </c>
    </row>
    <row r="16" spans="1:256" x14ac:dyDescent="0.2">
      <c r="A16" s="43" t="s">
        <v>13</v>
      </c>
      <c r="B16" s="79">
        <f>1200+1150+2200+2200+400</f>
        <v>7150</v>
      </c>
      <c r="C16" s="25">
        <f t="shared" si="0"/>
        <v>7150</v>
      </c>
      <c r="D16" s="81"/>
      <c r="E16" s="25">
        <f t="shared" si="1"/>
        <v>0</v>
      </c>
      <c r="F16" s="25"/>
      <c r="G16" s="25">
        <f t="shared" si="2"/>
        <v>0</v>
      </c>
    </row>
    <row r="17" spans="1:7" x14ac:dyDescent="0.2">
      <c r="A17" s="43" t="s">
        <v>14</v>
      </c>
      <c r="B17" s="79">
        <f>1</f>
        <v>1</v>
      </c>
      <c r="C17" s="25">
        <f t="shared" si="0"/>
        <v>1</v>
      </c>
      <c r="D17" s="81"/>
      <c r="E17" s="25">
        <f t="shared" si="1"/>
        <v>0</v>
      </c>
      <c r="F17" s="25"/>
      <c r="G17" s="25">
        <f t="shared" si="2"/>
        <v>0</v>
      </c>
    </row>
    <row r="18" spans="1:7" x14ac:dyDescent="0.2">
      <c r="A18" s="43" t="s">
        <v>15</v>
      </c>
      <c r="B18" s="79">
        <f>639+758+1450+500+583+1020+1020+840+415+420+340+340+280+280+280+420+280+340+400+335+350+350+350+350+330+350+350+360+345+355+340+335+340+340+350+410+280+280+310+100+350+280+430+345+360+350+330+335+310+310+310+310+190+310+190+310+736+1450+1400+1400+550+532+600+600+1303+1302+350+1601+800+400+400+280+420+420+966+484+591+1182+600+600+592+624+632+1389+1388+755+85+420+1200+1200+1200+817+1200+1400+1450+400+800+1400+330+420+1020+840+840+1600+800+350+660+420+1667+675+1225+1202+633+391+522+522+800+651+593+1100+1100+900+950+900+1225+670+325+325+325+175+175+325+850+930+930+930+930+175+175+325+930+175+325+175+568+620+646+1150+1150+1400+1200+1365+776+450+1400+1225+1000+2200+525+525+1063+798+550+550+2000+300668</f>
        <v>411789</v>
      </c>
      <c r="C18" s="25">
        <f>B18</f>
        <v>411789</v>
      </c>
      <c r="D18" s="81">
        <f>110+36+55+150+25+1138</f>
        <v>1514</v>
      </c>
      <c r="E18" s="25">
        <f t="shared" si="1"/>
        <v>1514</v>
      </c>
      <c r="F18" s="25"/>
      <c r="G18" s="25">
        <f t="shared" si="2"/>
        <v>0</v>
      </c>
    </row>
    <row r="19" spans="1:7" x14ac:dyDescent="0.2">
      <c r="A19" s="43" t="s">
        <v>16</v>
      </c>
      <c r="B19" s="79">
        <v>27784</v>
      </c>
      <c r="C19" s="25">
        <f t="shared" si="0"/>
        <v>27784</v>
      </c>
      <c r="D19" s="81">
        <v>100</v>
      </c>
      <c r="E19" s="25">
        <f t="shared" si="1"/>
        <v>100</v>
      </c>
      <c r="F19" s="25"/>
      <c r="G19" s="25">
        <f t="shared" si="2"/>
        <v>0</v>
      </c>
    </row>
    <row r="20" spans="1:7" x14ac:dyDescent="0.2">
      <c r="A20" s="43" t="s">
        <v>17</v>
      </c>
      <c r="B20" s="79">
        <f>48+3700+1300+225+1600+700+2600+500+450+500+1100+1050+1600+1300+3700+185+200+600+1450+2000+2000+2000+2000+9748</f>
        <v>40556</v>
      </c>
      <c r="C20" s="25">
        <f t="shared" si="0"/>
        <v>40556</v>
      </c>
      <c r="D20" s="81">
        <v>202</v>
      </c>
      <c r="E20" s="25">
        <f t="shared" si="1"/>
        <v>202</v>
      </c>
      <c r="F20" s="25"/>
      <c r="G20" s="25">
        <f t="shared" si="2"/>
        <v>0</v>
      </c>
    </row>
    <row r="21" spans="1:7" x14ac:dyDescent="0.2">
      <c r="A21" s="43" t="s">
        <v>18</v>
      </c>
      <c r="B21" s="79"/>
      <c r="C21" s="25">
        <f t="shared" si="0"/>
        <v>0</v>
      </c>
      <c r="D21" s="81">
        <f>139+143</f>
        <v>282</v>
      </c>
      <c r="E21" s="25">
        <f t="shared" si="1"/>
        <v>282</v>
      </c>
      <c r="F21" s="25"/>
      <c r="G21" s="25">
        <f t="shared" si="2"/>
        <v>0</v>
      </c>
    </row>
    <row r="22" spans="1:7" x14ac:dyDescent="0.2">
      <c r="A22" s="43" t="s">
        <v>19</v>
      </c>
      <c r="B22" s="79"/>
      <c r="C22" s="25">
        <f t="shared" si="0"/>
        <v>0</v>
      </c>
      <c r="D22" s="81"/>
      <c r="E22" s="25">
        <f t="shared" si="1"/>
        <v>0</v>
      </c>
      <c r="F22" s="25"/>
      <c r="G22" s="25">
        <f t="shared" si="2"/>
        <v>0</v>
      </c>
    </row>
    <row r="23" spans="1:7" x14ac:dyDescent="0.2">
      <c r="A23" s="43" t="s">
        <v>20</v>
      </c>
      <c r="B23" s="79"/>
      <c r="C23" s="25">
        <f t="shared" si="0"/>
        <v>0</v>
      </c>
      <c r="D23" s="81"/>
      <c r="E23" s="25">
        <f t="shared" si="1"/>
        <v>0</v>
      </c>
      <c r="F23" s="25"/>
      <c r="G23" s="25">
        <f t="shared" si="2"/>
        <v>0</v>
      </c>
    </row>
    <row r="24" spans="1:7" x14ac:dyDescent="0.2">
      <c r="A24" s="43" t="s">
        <v>21</v>
      </c>
      <c r="B24" s="79"/>
      <c r="C24" s="25">
        <f t="shared" si="0"/>
        <v>0</v>
      </c>
      <c r="D24" s="81"/>
      <c r="E24" s="25">
        <f t="shared" si="1"/>
        <v>0</v>
      </c>
      <c r="F24" s="25"/>
      <c r="G24" s="25">
        <f t="shared" si="2"/>
        <v>0</v>
      </c>
    </row>
    <row r="25" spans="1:7" x14ac:dyDescent="0.2">
      <c r="A25" s="43" t="s">
        <v>22</v>
      </c>
      <c r="B25" s="79"/>
      <c r="C25" s="25">
        <f t="shared" si="0"/>
        <v>0</v>
      </c>
      <c r="D25" s="81"/>
      <c r="E25" s="25">
        <f t="shared" si="1"/>
        <v>0</v>
      </c>
      <c r="F25" s="25"/>
      <c r="G25" s="25">
        <f t="shared" si="2"/>
        <v>0</v>
      </c>
    </row>
    <row r="26" spans="1:7" x14ac:dyDescent="0.2">
      <c r="A26" s="43" t="s">
        <v>23</v>
      </c>
      <c r="B26" s="79">
        <v>455</v>
      </c>
      <c r="C26" s="25">
        <f t="shared" si="0"/>
        <v>455</v>
      </c>
      <c r="D26" s="81">
        <v>485</v>
      </c>
      <c r="E26" s="25">
        <f>D26</f>
        <v>485</v>
      </c>
      <c r="F26" s="25"/>
      <c r="G26" s="25">
        <f t="shared" si="2"/>
        <v>0</v>
      </c>
    </row>
    <row r="27" spans="1:7" x14ac:dyDescent="0.2">
      <c r="A27" s="43" t="s">
        <v>24</v>
      </c>
      <c r="B27" s="79">
        <f>12+2100+2250+5900+2450+1100+1100+210+1800+2200+940+300+420+404+404+720+201+128+682+1103+403+493+875+850+2600+1350+360+850+850+650+650+180+4108+655+719+97+17+637+850+850+850+684+211+655+680+960+360+310+636+530+495+615+1100+980+480+600+260+655+655+410+340+250+775+870+850+1700+170+2520+250+170+410+2200+425+600+2520+165+165+250+250+4200+300+362+2400+202+2425+425+420+520+600+1272+335+2765+286+525+250+1100+600+410+500+600+706+425+620+620+500+210+124509</f>
        <v>217561</v>
      </c>
      <c r="C27" s="25">
        <f t="shared" si="0"/>
        <v>217561</v>
      </c>
      <c r="D27" s="81">
        <f>35+200+30+60+299+1175</f>
        <v>1799</v>
      </c>
      <c r="E27" s="25">
        <f t="shared" si="1"/>
        <v>1799</v>
      </c>
      <c r="F27" s="25"/>
      <c r="G27" s="25">
        <f t="shared" si="2"/>
        <v>0</v>
      </c>
    </row>
    <row r="28" spans="1:7" x14ac:dyDescent="0.2">
      <c r="A28" s="43" t="s">
        <v>25</v>
      </c>
      <c r="B28" s="79">
        <v>64775</v>
      </c>
      <c r="C28" s="25">
        <f t="shared" si="0"/>
        <v>64775</v>
      </c>
      <c r="D28" s="81"/>
      <c r="E28" s="25">
        <f t="shared" si="1"/>
        <v>0</v>
      </c>
      <c r="F28" s="25"/>
      <c r="G28" s="25">
        <f t="shared" si="2"/>
        <v>0</v>
      </c>
    </row>
    <row r="29" spans="1:7" x14ac:dyDescent="0.2">
      <c r="A29" s="43" t="s">
        <v>26</v>
      </c>
      <c r="B29" s="79">
        <f>1+1240+556+925+1340+970+970+670+670+925+670+970+925+970+1200+1240+1340+1200+1970+930+600+970+1200+930+670+980+1900+980+1200+1340+900+600+980+670+900+990+975+875+990+1300+925+990+925+650+820+3645+1255+1520+760+1046+524+1650+1570+589+1767+1022+1290+1291+575+1150+1502+1196+987+740+1478+1860+772+1546+715+1430+400+1+800+600+350+350+1884+626+2450+2460+2450+919+800+423+691+870+562+563+593+2024+2301+1480+739+1434+492+287+7+1425+1040+720+1200+2560+550+1230+1260+2480+2350+1240+2500+1260+786+1163+2966+2402+492+200942</f>
        <v>330944</v>
      </c>
      <c r="C29" s="25">
        <f t="shared" si="0"/>
        <v>330944</v>
      </c>
      <c r="D29" s="81">
        <v>22</v>
      </c>
      <c r="E29" s="25">
        <f t="shared" si="1"/>
        <v>22</v>
      </c>
      <c r="F29" s="25">
        <f>4+20+20</f>
        <v>44</v>
      </c>
      <c r="G29" s="25">
        <f t="shared" si="2"/>
        <v>44</v>
      </c>
    </row>
    <row r="30" spans="1:7" x14ac:dyDescent="0.2">
      <c r="A30" s="43" t="s">
        <v>27</v>
      </c>
      <c r="B30" s="79">
        <f>1200+1400+1250+1250+700+700+1400+1100</f>
        <v>9000</v>
      </c>
      <c r="C30" s="25">
        <f t="shared" si="0"/>
        <v>9000</v>
      </c>
      <c r="D30" s="81"/>
      <c r="E30" s="25">
        <f t="shared" si="1"/>
        <v>0</v>
      </c>
      <c r="F30" s="25"/>
      <c r="G30" s="25">
        <f t="shared" si="2"/>
        <v>0</v>
      </c>
    </row>
    <row r="31" spans="1:7" x14ac:dyDescent="0.2">
      <c r="A31" s="43" t="s">
        <v>28</v>
      </c>
      <c r="B31" s="79">
        <f>1250+490+1250+540+520+550+700+1400+700+700+550+700+700+700+1250+520+700+700+700+700+700+700+1400+2100+700+700+700+550+1250+490+300+155+200+19+1470+375+600+600+650+900+600+600+160+315+600+1361+240+1361+1361+1300+1470+1490+550+125+125+126665</f>
        <v>168202</v>
      </c>
      <c r="C31" s="25">
        <f t="shared" si="0"/>
        <v>168202</v>
      </c>
      <c r="D31" s="81">
        <f>25+170+150+600+120+165+35+40+155+40+155+600+85+130+33+160+95+110+625+300+175+1300</f>
        <v>5268</v>
      </c>
      <c r="E31" s="25">
        <f t="shared" si="1"/>
        <v>5268</v>
      </c>
      <c r="F31" s="25"/>
      <c r="G31" s="25">
        <f t="shared" si="2"/>
        <v>0</v>
      </c>
    </row>
    <row r="32" spans="1:7" x14ac:dyDescent="0.2">
      <c r="A32" s="43" t="s">
        <v>29</v>
      </c>
      <c r="B32" s="79"/>
      <c r="C32" s="25">
        <f t="shared" si="0"/>
        <v>0</v>
      </c>
      <c r="D32" s="81"/>
      <c r="E32" s="25">
        <f t="shared" si="1"/>
        <v>0</v>
      </c>
      <c r="F32" s="25"/>
      <c r="G32" s="25">
        <f t="shared" si="2"/>
        <v>0</v>
      </c>
    </row>
    <row r="33" spans="1:7" x14ac:dyDescent="0.2">
      <c r="A33" s="43" t="s">
        <v>30</v>
      </c>
      <c r="B33" s="79"/>
      <c r="C33" s="25">
        <f t="shared" si="0"/>
        <v>0</v>
      </c>
      <c r="D33" s="81"/>
      <c r="E33" s="25">
        <f t="shared" si="1"/>
        <v>0</v>
      </c>
      <c r="F33" s="25"/>
      <c r="G33" s="25">
        <f t="shared" si="2"/>
        <v>0</v>
      </c>
    </row>
    <row r="34" spans="1:7" x14ac:dyDescent="0.2">
      <c r="A34" s="43" t="s">
        <v>31</v>
      </c>
      <c r="B34" s="79"/>
      <c r="C34" s="25">
        <f t="shared" si="0"/>
        <v>0</v>
      </c>
      <c r="D34" s="81"/>
      <c r="E34" s="25">
        <f t="shared" si="1"/>
        <v>0</v>
      </c>
      <c r="F34" s="25"/>
      <c r="G34" s="25">
        <f t="shared" si="2"/>
        <v>0</v>
      </c>
    </row>
    <row r="35" spans="1:7" x14ac:dyDescent="0.2">
      <c r="A35" s="43" t="s">
        <v>32</v>
      </c>
      <c r="B35" s="79"/>
      <c r="C35" s="25">
        <f t="shared" si="0"/>
        <v>0</v>
      </c>
      <c r="D35" s="81"/>
      <c r="E35" s="25">
        <f t="shared" si="1"/>
        <v>0</v>
      </c>
      <c r="F35" s="25"/>
      <c r="G35" s="25">
        <f t="shared" si="2"/>
        <v>0</v>
      </c>
    </row>
    <row r="36" spans="1:7" x14ac:dyDescent="0.2">
      <c r="A36" s="43" t="s">
        <v>33</v>
      </c>
      <c r="B36" s="79"/>
      <c r="C36" s="25">
        <f t="shared" si="0"/>
        <v>0</v>
      </c>
      <c r="D36" s="81"/>
      <c r="E36" s="25">
        <f t="shared" si="1"/>
        <v>0</v>
      </c>
      <c r="F36" s="25"/>
      <c r="G36" s="25">
        <f t="shared" si="2"/>
        <v>0</v>
      </c>
    </row>
    <row r="37" spans="1:7" x14ac:dyDescent="0.2">
      <c r="A37" s="43" t="s">
        <v>34</v>
      </c>
      <c r="B37" s="79">
        <v>109281</v>
      </c>
      <c r="C37" s="25">
        <f t="shared" si="0"/>
        <v>109281</v>
      </c>
      <c r="D37" s="81"/>
      <c r="E37" s="25">
        <f t="shared" si="1"/>
        <v>0</v>
      </c>
      <c r="F37" s="25"/>
      <c r="G37" s="25">
        <f t="shared" si="2"/>
        <v>0</v>
      </c>
    </row>
    <row r="38" spans="1:7" x14ac:dyDescent="0.2">
      <c r="A38" s="43" t="s">
        <v>35</v>
      </c>
      <c r="B38" s="79">
        <f>1300+1225+1225+2500+1200+1000+2200+1200+3400+1300+1200+1200+2500+390+175+550+575+2400+650+1406+7500</f>
        <v>35096</v>
      </c>
      <c r="C38" s="25">
        <f t="shared" si="0"/>
        <v>35096</v>
      </c>
      <c r="D38" s="81">
        <f>352+225+105+90+168+240+209+430</f>
        <v>1819</v>
      </c>
      <c r="E38" s="25">
        <f t="shared" si="1"/>
        <v>1819</v>
      </c>
      <c r="F38" s="25"/>
      <c r="G38" s="25">
        <f t="shared" si="2"/>
        <v>0</v>
      </c>
    </row>
    <row r="39" spans="1:7" x14ac:dyDescent="0.2">
      <c r="A39" s="43" t="s">
        <v>36</v>
      </c>
      <c r="B39" s="79">
        <f>500+12360</f>
        <v>12860</v>
      </c>
      <c r="C39" s="25">
        <f t="shared" si="0"/>
        <v>12860</v>
      </c>
      <c r="D39" s="81">
        <v>760</v>
      </c>
      <c r="E39" s="25">
        <f t="shared" si="1"/>
        <v>760</v>
      </c>
      <c r="F39" s="25"/>
      <c r="G39" s="25">
        <f t="shared" si="2"/>
        <v>0</v>
      </c>
    </row>
    <row r="40" spans="1:7" x14ac:dyDescent="0.2">
      <c r="A40" s="43" t="s">
        <v>37</v>
      </c>
      <c r="B40" s="79">
        <f>1500+1790+1500+1820+2160+1620+2160+1600+1832+1540+2160+300+1311+1500+1500+2500+550+2160+1500+1890+1490+2160+2160+2160+1500+2160+1500+1389+1500+1500+1500+2160+2160+1200+1900+2160+730+2160+650+1827+1410+1432+2160+1880+2160+2160+1660+152780</f>
        <v>232501</v>
      </c>
      <c r="C40" s="25">
        <f t="shared" si="0"/>
        <v>232501</v>
      </c>
      <c r="D40" s="81">
        <v>2008</v>
      </c>
      <c r="E40" s="25">
        <f t="shared" ref="E40:E55" si="3">D40</f>
        <v>2008</v>
      </c>
      <c r="F40" s="25"/>
      <c r="G40" s="25">
        <f t="shared" si="2"/>
        <v>0</v>
      </c>
    </row>
    <row r="41" spans="1:7" x14ac:dyDescent="0.2">
      <c r="A41" s="43" t="s">
        <v>38</v>
      </c>
      <c r="B41" s="79"/>
      <c r="C41" s="25">
        <f t="shared" si="0"/>
        <v>0</v>
      </c>
      <c r="D41" s="81"/>
      <c r="E41" s="25">
        <f t="shared" si="3"/>
        <v>0</v>
      </c>
      <c r="F41" s="25"/>
      <c r="G41" s="25">
        <f t="shared" si="2"/>
        <v>0</v>
      </c>
    </row>
    <row r="42" spans="1:7" x14ac:dyDescent="0.2">
      <c r="A42" s="43" t="s">
        <v>39</v>
      </c>
      <c r="B42" s="79"/>
      <c r="C42" s="25">
        <f t="shared" si="0"/>
        <v>0</v>
      </c>
      <c r="D42" s="81">
        <f>150+50+200+300+150+150+100+100+170</f>
        <v>1370</v>
      </c>
      <c r="E42" s="25">
        <f t="shared" si="3"/>
        <v>1370</v>
      </c>
      <c r="F42" s="25"/>
      <c r="G42" s="25">
        <f t="shared" si="2"/>
        <v>0</v>
      </c>
    </row>
    <row r="43" spans="1:7" x14ac:dyDescent="0.2">
      <c r="A43" s="43" t="s">
        <v>40</v>
      </c>
      <c r="B43" s="79"/>
      <c r="C43" s="25">
        <f t="shared" si="0"/>
        <v>0</v>
      </c>
      <c r="D43" s="81"/>
      <c r="E43" s="25">
        <f t="shared" si="3"/>
        <v>0</v>
      </c>
      <c r="F43" s="25"/>
      <c r="G43" s="25">
        <f t="shared" si="2"/>
        <v>0</v>
      </c>
    </row>
    <row r="44" spans="1:7" x14ac:dyDescent="0.2">
      <c r="A44" s="43" t="s">
        <v>41</v>
      </c>
      <c r="B44" s="79"/>
      <c r="C44" s="25">
        <f t="shared" si="0"/>
        <v>0</v>
      </c>
      <c r="D44" s="81"/>
      <c r="E44" s="25">
        <f t="shared" si="3"/>
        <v>0</v>
      </c>
      <c r="F44" s="25"/>
      <c r="G44" s="25">
        <f t="shared" si="2"/>
        <v>0</v>
      </c>
    </row>
    <row r="45" spans="1:7" x14ac:dyDescent="0.2">
      <c r="A45" s="43" t="s">
        <v>42</v>
      </c>
      <c r="B45" s="80">
        <f>620+620+620+640+500+550+550+600+600+600+600+1350+1350+3+500+26079</f>
        <v>35782</v>
      </c>
      <c r="C45" s="25">
        <f t="shared" si="0"/>
        <v>35782</v>
      </c>
      <c r="D45" s="81">
        <f>1+3+125+2403</f>
        <v>2532</v>
      </c>
      <c r="E45" s="25">
        <f>D45</f>
        <v>2532</v>
      </c>
      <c r="F45" s="25"/>
      <c r="G45" s="25">
        <f t="shared" si="2"/>
        <v>0</v>
      </c>
    </row>
    <row r="46" spans="1:7" x14ac:dyDescent="0.2">
      <c r="A46" s="43" t="s">
        <v>43</v>
      </c>
      <c r="B46" s="79"/>
      <c r="C46" s="25">
        <f t="shared" si="0"/>
        <v>0</v>
      </c>
      <c r="D46" s="81"/>
      <c r="E46" s="25">
        <f t="shared" si="3"/>
        <v>0</v>
      </c>
      <c r="F46" s="25"/>
      <c r="G46" s="25">
        <f t="shared" si="2"/>
        <v>0</v>
      </c>
    </row>
    <row r="47" spans="1:7" x14ac:dyDescent="0.2">
      <c r="A47" s="43" t="s">
        <v>44</v>
      </c>
      <c r="B47" s="79">
        <v>72120</v>
      </c>
      <c r="C47" s="25">
        <f t="shared" si="0"/>
        <v>72120</v>
      </c>
      <c r="D47" s="81"/>
      <c r="E47" s="25">
        <f t="shared" si="3"/>
        <v>0</v>
      </c>
      <c r="F47" s="25"/>
      <c r="G47" s="25">
        <f t="shared" si="2"/>
        <v>0</v>
      </c>
    </row>
    <row r="48" spans="1:7" ht="14.45" customHeight="1" x14ac:dyDescent="0.2">
      <c r="A48" s="43" t="s">
        <v>45</v>
      </c>
      <c r="B48" s="79">
        <v>29435</v>
      </c>
      <c r="C48" s="25">
        <f t="shared" si="0"/>
        <v>29435</v>
      </c>
      <c r="D48" s="81"/>
      <c r="E48" s="25">
        <f t="shared" si="3"/>
        <v>0</v>
      </c>
      <c r="F48" s="25"/>
      <c r="G48" s="25">
        <f t="shared" si="2"/>
        <v>0</v>
      </c>
    </row>
    <row r="49" spans="1:256" x14ac:dyDescent="0.2">
      <c r="A49" s="43" t="s">
        <v>46</v>
      </c>
      <c r="B49" s="79"/>
      <c r="C49" s="25">
        <f t="shared" si="0"/>
        <v>0</v>
      </c>
      <c r="D49" s="81"/>
      <c r="E49" s="25">
        <f t="shared" si="3"/>
        <v>0</v>
      </c>
      <c r="F49" s="25"/>
      <c r="G49" s="25">
        <f t="shared" si="2"/>
        <v>0</v>
      </c>
    </row>
    <row r="50" spans="1:256" x14ac:dyDescent="0.2">
      <c r="A50" s="43" t="s">
        <v>47</v>
      </c>
      <c r="B50" s="79"/>
      <c r="C50" s="25">
        <f t="shared" si="0"/>
        <v>0</v>
      </c>
      <c r="D50" s="81"/>
      <c r="E50" s="25">
        <f t="shared" si="3"/>
        <v>0</v>
      </c>
      <c r="F50" s="25"/>
      <c r="G50" s="25">
        <f t="shared" si="2"/>
        <v>0</v>
      </c>
    </row>
    <row r="51" spans="1:256" x14ac:dyDescent="0.2">
      <c r="A51" s="43" t="s">
        <v>48</v>
      </c>
      <c r="B51" s="79"/>
      <c r="C51" s="25">
        <f t="shared" si="0"/>
        <v>0</v>
      </c>
      <c r="D51" s="81"/>
      <c r="E51" s="25">
        <f t="shared" si="3"/>
        <v>0</v>
      </c>
      <c r="F51" s="25"/>
      <c r="G51" s="25">
        <f t="shared" si="2"/>
        <v>0</v>
      </c>
    </row>
    <row r="52" spans="1:256" x14ac:dyDescent="0.2">
      <c r="A52" s="43" t="s">
        <v>49</v>
      </c>
      <c r="B52" s="79"/>
      <c r="C52" s="25">
        <f t="shared" si="0"/>
        <v>0</v>
      </c>
      <c r="D52" s="81"/>
      <c r="E52" s="25">
        <f t="shared" si="3"/>
        <v>0</v>
      </c>
      <c r="F52" s="25"/>
      <c r="G52" s="25">
        <f t="shared" si="2"/>
        <v>0</v>
      </c>
    </row>
    <row r="53" spans="1:256" x14ac:dyDescent="0.2">
      <c r="A53" s="43" t="s">
        <v>50</v>
      </c>
      <c r="B53" s="79">
        <f>800+2400+850+56+28+450+850+400+118+2400+900+900+150+150+200+375+350+375+250+125+125+700</f>
        <v>12952</v>
      </c>
      <c r="C53" s="25">
        <f t="shared" si="0"/>
        <v>12952</v>
      </c>
      <c r="D53" s="81">
        <f>14</f>
        <v>14</v>
      </c>
      <c r="E53" s="25">
        <f t="shared" si="3"/>
        <v>14</v>
      </c>
      <c r="F53" s="25"/>
      <c r="G53" s="25">
        <f t="shared" si="2"/>
        <v>0</v>
      </c>
    </row>
    <row r="54" spans="1:256" ht="15.75" thickBot="1" x14ac:dyDescent="0.25">
      <c r="A54" s="43" t="s">
        <v>51</v>
      </c>
      <c r="B54" s="79">
        <f>680+2360+1700+1820+1325+1800+560+850+2360+1035+1865+1560+1140+1220+2360+449+1470+1590+1750+1101+910+1450+1790+1550</f>
        <v>34695</v>
      </c>
      <c r="C54" s="25">
        <f t="shared" si="0"/>
        <v>34695</v>
      </c>
      <c r="D54" s="81"/>
      <c r="E54" s="25">
        <f t="shared" si="3"/>
        <v>0</v>
      </c>
      <c r="F54" s="25"/>
      <c r="G54" s="25">
        <f t="shared" si="2"/>
        <v>0</v>
      </c>
    </row>
    <row r="55" spans="1:256" ht="26.1" customHeight="1" thickBot="1" x14ac:dyDescent="0.25">
      <c r="A55" s="44" t="s">
        <v>53</v>
      </c>
      <c r="B55" s="45">
        <f>SUM(B7:B54)</f>
        <v>2270998</v>
      </c>
      <c r="C55" s="45">
        <f>SUM(C7:C54)</f>
        <v>2270998</v>
      </c>
      <c r="D55" s="45">
        <f>SUM(D7:D54)</f>
        <v>18586</v>
      </c>
      <c r="E55" s="46">
        <f t="shared" si="3"/>
        <v>18586</v>
      </c>
      <c r="F55" s="74">
        <f>SUM(F7:F54)</f>
        <v>11912</v>
      </c>
      <c r="G55" s="72">
        <f t="shared" si="2"/>
        <v>11912</v>
      </c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  <c r="IV55" s="73"/>
    </row>
    <row r="56" spans="1:256" ht="18" x14ac:dyDescent="0.25">
      <c r="A56" s="47"/>
      <c r="B56" s="48"/>
      <c r="C56" s="48"/>
      <c r="D56" s="48"/>
      <c r="E56" s="48"/>
    </row>
    <row r="57" spans="1:256" ht="15.75" thickBot="1" x14ac:dyDescent="0.25">
      <c r="A57" s="50" t="s">
        <v>54</v>
      </c>
      <c r="B57" s="48"/>
      <c r="C57" s="51" t="s">
        <v>4</v>
      </c>
      <c r="D57" s="52" t="s">
        <v>5</v>
      </c>
      <c r="E57" s="48"/>
    </row>
    <row r="58" spans="1:256" x14ac:dyDescent="0.2">
      <c r="A58" s="53" t="s">
        <v>55</v>
      </c>
      <c r="B58" s="54"/>
      <c r="C58" s="26">
        <v>100</v>
      </c>
      <c r="D58" s="55">
        <f t="shared" ref="D58:D67" si="4">C58</f>
        <v>100</v>
      </c>
      <c r="E58" s="48"/>
    </row>
    <row r="59" spans="1:256" ht="15.75" x14ac:dyDescent="0.25">
      <c r="A59" s="53" t="s">
        <v>56</v>
      </c>
      <c r="B59" s="26"/>
      <c r="C59" s="26">
        <v>2730</v>
      </c>
      <c r="D59" s="55">
        <f t="shared" si="4"/>
        <v>2730</v>
      </c>
      <c r="F59" s="63"/>
      <c r="G59" s="63"/>
    </row>
    <row r="60" spans="1:256" ht="15.75" x14ac:dyDescent="0.25">
      <c r="A60" s="53" t="s">
        <v>57</v>
      </c>
      <c r="B60" s="26"/>
      <c r="C60" s="26">
        <v>920</v>
      </c>
      <c r="D60" s="55">
        <f t="shared" si="4"/>
        <v>920</v>
      </c>
      <c r="F60" s="63"/>
      <c r="G60" s="63"/>
    </row>
    <row r="61" spans="1:256" ht="15.75" x14ac:dyDescent="0.25">
      <c r="A61" s="53" t="s">
        <v>58</v>
      </c>
      <c r="B61" s="26"/>
      <c r="C61" s="26"/>
      <c r="D61" s="55">
        <f t="shared" si="4"/>
        <v>0</v>
      </c>
      <c r="F61" s="63"/>
      <c r="G61" s="63"/>
    </row>
    <row r="62" spans="1:256" x14ac:dyDescent="0.2">
      <c r="A62" s="53" t="s">
        <v>59</v>
      </c>
      <c r="B62" s="26"/>
      <c r="C62" s="26">
        <f>2280+1600+570+910+318+1140+1345+1460+1380+204+1124+280+175+45+120+280+115+135+160+280+160+120+280+175+115+280+45+120+175+280+135+45+280+115+135+175+280+120+154+160+280+120+375+119+16+130+50+45+20+108+16+191+45+90+160+7485</f>
        <v>26520</v>
      </c>
      <c r="D62" s="55">
        <f>C62</f>
        <v>26520</v>
      </c>
    </row>
    <row r="63" spans="1:256" x14ac:dyDescent="0.2">
      <c r="A63" s="53" t="s">
        <v>65</v>
      </c>
      <c r="B63" s="26"/>
      <c r="C63" s="26">
        <f>35+106+45+90+270+289+75+170+52+310+20+45+240+60+310+95+216+190+106+45+90+270+45+260+24+90+75+469+175+170+52+310+75+90+30+170+243+360+270+106+45+180+75+170+240+310+90+389+731+52+340+175+170+90+508+75+340+20+92</f>
        <v>10235</v>
      </c>
      <c r="D63" s="55">
        <f t="shared" si="4"/>
        <v>10235</v>
      </c>
    </row>
    <row r="64" spans="1:256" x14ac:dyDescent="0.2">
      <c r="A64" s="53" t="s">
        <v>63</v>
      </c>
      <c r="B64" s="26"/>
      <c r="C64" s="26">
        <f>70+140+130+250+120+180+170+130+115+110+72+85+70+140+80+320+140+170+72+40+75+70+260+350+150+170+86+130+115+250+359+359+83+230+85+57+77+6+175+70+35+27+117+80+230+15+52+24+80+35+37+8+175+90+35+190+70+88+37+175+70+35+72+130+240+115+120+175+70+35+124+230+80+85+77+8+175+70+70+79+80+180+40+77+8+106+90+270+45+240+95+90+227+310+273+75+200+75+170+90+52+106+45+90+270+45+240+75+90+204+112+323+330+24+75+170+95+170+90+82+310+139+8+59+72+120+92</f>
        <v>15650</v>
      </c>
      <c r="D64" s="55">
        <f t="shared" si="4"/>
        <v>15650</v>
      </c>
    </row>
    <row r="65" spans="1:4" x14ac:dyDescent="0.2">
      <c r="A65" s="53" t="s">
        <v>60</v>
      </c>
      <c r="C65" s="26"/>
      <c r="D65" s="55">
        <f t="shared" si="4"/>
        <v>0</v>
      </c>
    </row>
    <row r="66" spans="1:4" x14ac:dyDescent="0.2">
      <c r="A66" s="53" t="s">
        <v>61</v>
      </c>
      <c r="C66" s="26">
        <f>43+40+140+60+90+54+140+188+70+97+72+80+140+150+170+72+170+188+80+60+92+52+50+140+70+92+52+90+188+189+70+56+52+130+290+50+96+52+170+188+60+74+52+590</f>
        <v>5049</v>
      </c>
      <c r="D66" s="55">
        <f t="shared" si="4"/>
        <v>5049</v>
      </c>
    </row>
    <row r="67" spans="1:4" x14ac:dyDescent="0.2">
      <c r="A67" s="53" t="s">
        <v>62</v>
      </c>
      <c r="C67" s="26">
        <v>450</v>
      </c>
      <c r="D67" s="55">
        <f t="shared" si="4"/>
        <v>450</v>
      </c>
    </row>
  </sheetData>
  <phoneticPr fontId="0" type="noConversion"/>
  <printOptions horizontalCentered="1" verticalCentered="1"/>
  <pageMargins left="0.5" right="0.5" top="0.5" bottom="0.5" header="0.5" footer="0.5"/>
  <pageSetup scale="71" orientation="portrait" horizontalDpi="4294967292" r:id="rId1"/>
  <headerFooter alignWithMargins="0"/>
  <rowBreaks count="1" manualBreakCount="1">
    <brk id="64" max="6553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80" zoomScaleNormal="80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.10937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74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/>
      <c r="C7" s="12">
        <f>September!C7+B7</f>
        <v>14074</v>
      </c>
      <c r="D7" s="84"/>
      <c r="E7" s="12">
        <f>September!E7+D7</f>
        <v>0</v>
      </c>
      <c r="F7" s="61"/>
      <c r="G7" s="12">
        <f>September!G7+F7</f>
        <v>0</v>
      </c>
    </row>
    <row r="8" spans="1:256" x14ac:dyDescent="0.2">
      <c r="A8" s="11" t="s">
        <v>64</v>
      </c>
      <c r="B8" s="82"/>
      <c r="C8" s="12">
        <f>September!C8+B8</f>
        <v>0</v>
      </c>
      <c r="D8" s="84"/>
      <c r="E8" s="12">
        <f>September!E8+D8</f>
        <v>2</v>
      </c>
      <c r="F8" s="61"/>
      <c r="G8" s="12">
        <f>September!G8+F8</f>
        <v>0</v>
      </c>
    </row>
    <row r="9" spans="1:256" x14ac:dyDescent="0.2">
      <c r="A9" s="11" t="s">
        <v>7</v>
      </c>
      <c r="B9" s="82"/>
      <c r="C9" s="12">
        <f>September!C9+B9</f>
        <v>92566</v>
      </c>
      <c r="D9" s="84"/>
      <c r="E9" s="12">
        <f>September!E9+D9</f>
        <v>13</v>
      </c>
      <c r="F9" s="61"/>
      <c r="G9" s="12">
        <f>September!G9+F9</f>
        <v>0</v>
      </c>
    </row>
    <row r="10" spans="1:256" x14ac:dyDescent="0.2">
      <c r="A10" s="11" t="s">
        <v>8</v>
      </c>
      <c r="B10" s="82"/>
      <c r="C10" s="12">
        <f>September!C10+B10</f>
        <v>0</v>
      </c>
      <c r="D10" s="84"/>
      <c r="E10" s="12">
        <f>September!E10+D10</f>
        <v>1</v>
      </c>
      <c r="F10" s="61"/>
      <c r="G10" s="12">
        <f>September!G10+F10</f>
        <v>0</v>
      </c>
    </row>
    <row r="11" spans="1:256" x14ac:dyDescent="0.2">
      <c r="A11" s="99" t="s">
        <v>52</v>
      </c>
      <c r="B11" s="82"/>
      <c r="C11" s="12">
        <f>September!C11+B11</f>
        <v>1149105</v>
      </c>
      <c r="D11" s="84"/>
      <c r="E11" s="12">
        <f>September!E11+D11</f>
        <v>3579</v>
      </c>
      <c r="F11" s="61"/>
      <c r="G11" s="12">
        <f>September!G11+F11</f>
        <v>54152</v>
      </c>
    </row>
    <row r="12" spans="1:256" x14ac:dyDescent="0.2">
      <c r="A12" s="11" t="s">
        <v>9</v>
      </c>
      <c r="B12" s="82"/>
      <c r="C12" s="12">
        <f>September!C12+B12</f>
        <v>583390</v>
      </c>
      <c r="D12" s="84"/>
      <c r="E12" s="12">
        <f>September!E12+D12</f>
        <v>878</v>
      </c>
      <c r="F12" s="61"/>
      <c r="G12" s="12">
        <f>September!G12+F12</f>
        <v>0</v>
      </c>
    </row>
    <row r="13" spans="1:256" x14ac:dyDescent="0.2">
      <c r="A13" s="11" t="s">
        <v>10</v>
      </c>
      <c r="B13" s="82"/>
      <c r="C13" s="12">
        <f>September!C13+B13</f>
        <v>0</v>
      </c>
      <c r="D13" s="84"/>
      <c r="E13" s="12">
        <f>September!E13+D13</f>
        <v>0</v>
      </c>
      <c r="F13" s="61"/>
      <c r="G13" s="12">
        <f>September!G13+F13</f>
        <v>0</v>
      </c>
    </row>
    <row r="14" spans="1:256" x14ac:dyDescent="0.2">
      <c r="A14" s="11" t="s">
        <v>11</v>
      </c>
      <c r="B14" s="82"/>
      <c r="C14" s="12">
        <f>September!C14+B14</f>
        <v>0</v>
      </c>
      <c r="D14" s="84"/>
      <c r="E14" s="12">
        <f>September!E14+D14</f>
        <v>0</v>
      </c>
      <c r="F14" s="61"/>
      <c r="G14" s="12">
        <f>September!G14+F14</f>
        <v>0</v>
      </c>
    </row>
    <row r="15" spans="1:256" x14ac:dyDescent="0.2">
      <c r="A15" s="11" t="s">
        <v>12</v>
      </c>
      <c r="B15" s="82"/>
      <c r="C15" s="12">
        <f>September!C15+B15</f>
        <v>0</v>
      </c>
      <c r="D15" s="84"/>
      <c r="E15" s="12">
        <f>September!E15+D15</f>
        <v>1</v>
      </c>
      <c r="F15" s="61"/>
      <c r="G15" s="12">
        <f>September!G15+F15</f>
        <v>0</v>
      </c>
    </row>
    <row r="16" spans="1:256" x14ac:dyDescent="0.2">
      <c r="A16" s="11" t="s">
        <v>13</v>
      </c>
      <c r="B16" s="82"/>
      <c r="C16" s="12">
        <f>September!C16+B16</f>
        <v>13550</v>
      </c>
      <c r="D16" s="84"/>
      <c r="E16" s="12">
        <f>September!E16+D16</f>
        <v>2</v>
      </c>
      <c r="F16" s="61"/>
      <c r="G16" s="12">
        <f>September!G16+F16</f>
        <v>0</v>
      </c>
    </row>
    <row r="17" spans="1:7" x14ac:dyDescent="0.2">
      <c r="A17" s="11" t="s">
        <v>14</v>
      </c>
      <c r="B17" s="82"/>
      <c r="C17" s="12">
        <f>September!C17+B17</f>
        <v>1</v>
      </c>
      <c r="D17" s="84"/>
      <c r="E17" s="12">
        <f>September!E17+D17</f>
        <v>0</v>
      </c>
      <c r="F17" s="61"/>
      <c r="G17" s="12">
        <f>September!G17+F17</f>
        <v>0</v>
      </c>
    </row>
    <row r="18" spans="1:7" x14ac:dyDescent="0.2">
      <c r="A18" s="11" t="s">
        <v>15</v>
      </c>
      <c r="B18" s="82"/>
      <c r="C18" s="12">
        <f>September!C18+B18</f>
        <v>2128254</v>
      </c>
      <c r="D18" s="84"/>
      <c r="E18" s="12">
        <f>September!E18+D18</f>
        <v>11486</v>
      </c>
      <c r="F18" s="61"/>
      <c r="G18" s="12">
        <f>September!G18+F18</f>
        <v>0</v>
      </c>
    </row>
    <row r="19" spans="1:7" x14ac:dyDescent="0.2">
      <c r="A19" s="11" t="s">
        <v>16</v>
      </c>
      <c r="B19" s="82"/>
      <c r="C19" s="12">
        <f>September!C19+B19</f>
        <v>139935</v>
      </c>
      <c r="D19" s="84"/>
      <c r="E19" s="12">
        <f>September!E19+D19</f>
        <v>380</v>
      </c>
      <c r="F19" s="61"/>
      <c r="G19" s="12">
        <f>September!G19+F19</f>
        <v>0</v>
      </c>
    </row>
    <row r="20" spans="1:7" x14ac:dyDescent="0.2">
      <c r="A20" s="11" t="s">
        <v>17</v>
      </c>
      <c r="B20" s="82"/>
      <c r="C20" s="12">
        <f>September!C20+B20</f>
        <v>106943</v>
      </c>
      <c r="D20" s="84"/>
      <c r="E20" s="12">
        <f>September!E20+D20</f>
        <v>2057</v>
      </c>
      <c r="F20" s="61"/>
      <c r="G20" s="12">
        <f>September!G20+F20</f>
        <v>0</v>
      </c>
    </row>
    <row r="21" spans="1:7" x14ac:dyDescent="0.2">
      <c r="A21" s="11" t="s">
        <v>18</v>
      </c>
      <c r="B21" s="82"/>
      <c r="C21" s="12">
        <f>September!C21+B21</f>
        <v>0</v>
      </c>
      <c r="D21" s="84"/>
      <c r="E21" s="12">
        <f>September!E21+D21</f>
        <v>1664</v>
      </c>
      <c r="F21" s="61"/>
      <c r="G21" s="12">
        <f>September!G21+F21</f>
        <v>0</v>
      </c>
    </row>
    <row r="22" spans="1:7" x14ac:dyDescent="0.2">
      <c r="A22" s="11" t="s">
        <v>19</v>
      </c>
      <c r="B22" s="82"/>
      <c r="C22" s="12">
        <f>September!C22+B22</f>
        <v>0</v>
      </c>
      <c r="D22" s="84"/>
      <c r="E22" s="12">
        <f>September!E22+D22</f>
        <v>32</v>
      </c>
      <c r="F22" s="61"/>
      <c r="G22" s="12">
        <f>September!G22+F22</f>
        <v>0</v>
      </c>
    </row>
    <row r="23" spans="1:7" x14ac:dyDescent="0.2">
      <c r="A23" s="11" t="s">
        <v>20</v>
      </c>
      <c r="B23" s="82"/>
      <c r="C23" s="12">
        <f>September!C23+B23</f>
        <v>0</v>
      </c>
      <c r="D23" s="84"/>
      <c r="E23" s="12">
        <f>September!E23+D23</f>
        <v>0</v>
      </c>
      <c r="F23" s="61"/>
      <c r="G23" s="12">
        <f>September!G23+F23</f>
        <v>0</v>
      </c>
    </row>
    <row r="24" spans="1:7" x14ac:dyDescent="0.2">
      <c r="A24" s="11" t="s">
        <v>21</v>
      </c>
      <c r="B24" s="82"/>
      <c r="C24" s="12">
        <f>September!C24+B24</f>
        <v>0</v>
      </c>
      <c r="D24" s="84"/>
      <c r="E24" s="12">
        <f>September!E24+D24</f>
        <v>0</v>
      </c>
      <c r="F24" s="61"/>
      <c r="G24" s="12">
        <f>September!G24+F24</f>
        <v>0</v>
      </c>
    </row>
    <row r="25" spans="1:7" x14ac:dyDescent="0.2">
      <c r="A25" s="11" t="s">
        <v>22</v>
      </c>
      <c r="B25" s="82"/>
      <c r="C25" s="12">
        <f>September!C25+B25</f>
        <v>0</v>
      </c>
      <c r="D25" s="84"/>
      <c r="E25" s="12">
        <f>September!E25+D25</f>
        <v>0</v>
      </c>
      <c r="F25" s="61"/>
      <c r="G25" s="12">
        <f>September!G25+F25</f>
        <v>0</v>
      </c>
    </row>
    <row r="26" spans="1:7" x14ac:dyDescent="0.2">
      <c r="A26" s="11" t="s">
        <v>23</v>
      </c>
      <c r="B26" s="82"/>
      <c r="C26" s="12">
        <f>September!C26+B26</f>
        <v>4465</v>
      </c>
      <c r="D26" s="84"/>
      <c r="E26" s="12">
        <f>September!E26+D26</f>
        <v>6167</v>
      </c>
      <c r="F26" s="61"/>
      <c r="G26" s="12">
        <f>September!G26+F26</f>
        <v>0</v>
      </c>
    </row>
    <row r="27" spans="1:7" x14ac:dyDescent="0.2">
      <c r="A27" s="11" t="s">
        <v>24</v>
      </c>
      <c r="B27" s="82"/>
      <c r="C27" s="12">
        <f>September!C27+B27</f>
        <v>1062881</v>
      </c>
      <c r="D27" s="84"/>
      <c r="E27" s="12">
        <f>September!E27+D27</f>
        <v>6787</v>
      </c>
      <c r="F27" s="61"/>
      <c r="G27" s="12">
        <f>September!G27+F27</f>
        <v>56</v>
      </c>
    </row>
    <row r="28" spans="1:7" x14ac:dyDescent="0.2">
      <c r="A28" s="11" t="s">
        <v>25</v>
      </c>
      <c r="B28" s="82"/>
      <c r="C28" s="12">
        <f>September!C28+B28</f>
        <v>316445</v>
      </c>
      <c r="D28" s="84"/>
      <c r="E28" s="12">
        <f>September!E28+D28</f>
        <v>0</v>
      </c>
      <c r="F28" s="61"/>
      <c r="G28" s="12">
        <f>September!G28+F28</f>
        <v>0</v>
      </c>
    </row>
    <row r="29" spans="1:7" x14ac:dyDescent="0.2">
      <c r="A29" s="11" t="s">
        <v>26</v>
      </c>
      <c r="B29" s="82"/>
      <c r="C29" s="12">
        <f>September!C29+B29</f>
        <v>1718175</v>
      </c>
      <c r="D29" s="84"/>
      <c r="E29" s="12">
        <f>September!E29+D29</f>
        <v>471</v>
      </c>
      <c r="F29" s="61"/>
      <c r="G29" s="12">
        <f>September!G29+F29</f>
        <v>69</v>
      </c>
    </row>
    <row r="30" spans="1:7" x14ac:dyDescent="0.2">
      <c r="A30" s="11" t="s">
        <v>27</v>
      </c>
      <c r="B30" s="82"/>
      <c r="C30" s="12">
        <f>September!C30+B30</f>
        <v>25560</v>
      </c>
      <c r="D30" s="84"/>
      <c r="E30" s="12">
        <f>September!E30+D30</f>
        <v>0</v>
      </c>
      <c r="F30" s="61"/>
      <c r="G30" s="12">
        <f>September!G30+F30</f>
        <v>0</v>
      </c>
    </row>
    <row r="31" spans="1:7" x14ac:dyDescent="0.2">
      <c r="A31" s="11" t="s">
        <v>28</v>
      </c>
      <c r="B31" s="82"/>
      <c r="C31" s="12">
        <f>September!C31+B31</f>
        <v>830253</v>
      </c>
      <c r="D31" s="84"/>
      <c r="E31" s="12">
        <f>September!E31+D31</f>
        <v>37619</v>
      </c>
      <c r="F31" s="61"/>
      <c r="G31" s="12">
        <f>September!G31+F31</f>
        <v>0</v>
      </c>
    </row>
    <row r="32" spans="1:7" x14ac:dyDescent="0.2">
      <c r="A32" s="11" t="s">
        <v>29</v>
      </c>
      <c r="B32" s="82"/>
      <c r="C32" s="12">
        <f>September!C32+B32</f>
        <v>0</v>
      </c>
      <c r="D32" s="84"/>
      <c r="E32" s="12">
        <f>September!E32+D32</f>
        <v>0</v>
      </c>
      <c r="F32" s="61"/>
      <c r="G32" s="12">
        <f>September!G32+F32</f>
        <v>0</v>
      </c>
    </row>
    <row r="33" spans="1:7" x14ac:dyDescent="0.2">
      <c r="A33" s="11" t="s">
        <v>30</v>
      </c>
      <c r="B33" s="82"/>
      <c r="C33" s="12">
        <f>September!C33+B33</f>
        <v>0</v>
      </c>
      <c r="D33" s="84"/>
      <c r="E33" s="12">
        <f>September!E33+D33</f>
        <v>0</v>
      </c>
      <c r="F33" s="61"/>
      <c r="G33" s="12">
        <f>September!G33+F33</f>
        <v>0</v>
      </c>
    </row>
    <row r="34" spans="1:7" x14ac:dyDescent="0.2">
      <c r="A34" s="11" t="s">
        <v>31</v>
      </c>
      <c r="B34" s="82"/>
      <c r="C34" s="12">
        <f>September!C34+B34</f>
        <v>0</v>
      </c>
      <c r="D34" s="84"/>
      <c r="E34" s="12">
        <f>September!E34+D34</f>
        <v>0</v>
      </c>
      <c r="F34" s="61"/>
      <c r="G34" s="12">
        <f>September!G34+F34</f>
        <v>0</v>
      </c>
    </row>
    <row r="35" spans="1:7" x14ac:dyDescent="0.2">
      <c r="A35" s="11" t="s">
        <v>32</v>
      </c>
      <c r="B35" s="82"/>
      <c r="C35" s="12">
        <f>September!C35+B35</f>
        <v>0</v>
      </c>
      <c r="D35" s="84"/>
      <c r="E35" s="12">
        <f>September!E35+D35</f>
        <v>0</v>
      </c>
      <c r="F35" s="61"/>
      <c r="G35" s="12">
        <f>September!G35+F35</f>
        <v>0</v>
      </c>
    </row>
    <row r="36" spans="1:7" x14ac:dyDescent="0.2">
      <c r="A36" s="11" t="s">
        <v>33</v>
      </c>
      <c r="B36" s="82"/>
      <c r="C36" s="12">
        <f>September!C36+B36</f>
        <v>0</v>
      </c>
      <c r="D36" s="84"/>
      <c r="E36" s="12">
        <f>September!E36+D36</f>
        <v>0</v>
      </c>
      <c r="F36" s="61"/>
      <c r="G36" s="12">
        <f>September!G36+F36</f>
        <v>0</v>
      </c>
    </row>
    <row r="37" spans="1:7" x14ac:dyDescent="0.2">
      <c r="A37" s="11" t="s">
        <v>34</v>
      </c>
      <c r="B37" s="82"/>
      <c r="C37" s="12">
        <f>September!C37+B37</f>
        <v>566902</v>
      </c>
      <c r="D37" s="84"/>
      <c r="E37" s="12">
        <f>September!E37+D37</f>
        <v>0</v>
      </c>
      <c r="F37" s="61"/>
      <c r="G37" s="12">
        <f>September!G37+F37</f>
        <v>0</v>
      </c>
    </row>
    <row r="38" spans="1:7" x14ac:dyDescent="0.2">
      <c r="A38" s="11" t="s">
        <v>35</v>
      </c>
      <c r="B38" s="82"/>
      <c r="C38" s="12">
        <f>September!C38+B38</f>
        <v>174523</v>
      </c>
      <c r="D38" s="84"/>
      <c r="E38" s="12">
        <f>September!E38+D38</f>
        <v>3959</v>
      </c>
      <c r="F38" s="61"/>
      <c r="G38" s="12">
        <f>September!G38+F38</f>
        <v>0</v>
      </c>
    </row>
    <row r="39" spans="1:7" x14ac:dyDescent="0.2">
      <c r="A39" s="11" t="s">
        <v>36</v>
      </c>
      <c r="B39" s="82"/>
      <c r="C39" s="12">
        <f>September!C39+B39</f>
        <v>75162</v>
      </c>
      <c r="D39" s="84"/>
      <c r="E39" s="12">
        <f>September!E39+D39</f>
        <v>7946</v>
      </c>
      <c r="F39" s="61"/>
      <c r="G39" s="12">
        <f>September!G39+F39</f>
        <v>0</v>
      </c>
    </row>
    <row r="40" spans="1:7" x14ac:dyDescent="0.2">
      <c r="A40" s="11" t="s">
        <v>37</v>
      </c>
      <c r="B40" s="82"/>
      <c r="C40" s="12">
        <f>September!C40+B40</f>
        <v>885363</v>
      </c>
      <c r="D40" s="84"/>
      <c r="E40" s="12">
        <f>September!E40+D40</f>
        <v>8111</v>
      </c>
      <c r="F40" s="61"/>
      <c r="G40" s="12">
        <f>September!G40+F40</f>
        <v>0</v>
      </c>
    </row>
    <row r="41" spans="1:7" x14ac:dyDescent="0.2">
      <c r="A41" s="11" t="s">
        <v>38</v>
      </c>
      <c r="B41" s="82"/>
      <c r="C41" s="12">
        <f>September!C41+B41</f>
        <v>0</v>
      </c>
      <c r="D41" s="84"/>
      <c r="E41" s="12">
        <f>September!E41+D41</f>
        <v>0</v>
      </c>
      <c r="F41" s="61"/>
      <c r="G41" s="12">
        <f>September!G41+F41</f>
        <v>0</v>
      </c>
    </row>
    <row r="42" spans="1:7" x14ac:dyDescent="0.2">
      <c r="A42" s="11" t="s">
        <v>39</v>
      </c>
      <c r="B42" s="82"/>
      <c r="C42" s="12">
        <f>September!C42+B42</f>
        <v>0</v>
      </c>
      <c r="D42" s="84"/>
      <c r="E42" s="12">
        <f>September!E42+D42</f>
        <v>3071</v>
      </c>
      <c r="F42" s="61"/>
      <c r="G42" s="12">
        <f>September!G42+F42</f>
        <v>0</v>
      </c>
    </row>
    <row r="43" spans="1:7" x14ac:dyDescent="0.2">
      <c r="A43" s="11" t="s">
        <v>40</v>
      </c>
      <c r="B43" s="82"/>
      <c r="C43" s="12">
        <f>September!C43+B43</f>
        <v>0</v>
      </c>
      <c r="D43" s="84"/>
      <c r="E43" s="12">
        <f>September!E43+D43</f>
        <v>0</v>
      </c>
      <c r="F43" s="61"/>
      <c r="G43" s="12">
        <f>September!G43+F43</f>
        <v>0</v>
      </c>
    </row>
    <row r="44" spans="1:7" x14ac:dyDescent="0.2">
      <c r="A44" s="11" t="s">
        <v>41</v>
      </c>
      <c r="B44" s="82"/>
      <c r="C44" s="12">
        <f>September!C44+B44</f>
        <v>5800</v>
      </c>
      <c r="D44" s="84"/>
      <c r="E44" s="12">
        <f>September!E44+D44</f>
        <v>0</v>
      </c>
      <c r="F44" s="61"/>
      <c r="G44" s="12">
        <f>September!G44+F44</f>
        <v>0</v>
      </c>
    </row>
    <row r="45" spans="1:7" x14ac:dyDescent="0.2">
      <c r="A45" s="11" t="s">
        <v>42</v>
      </c>
      <c r="B45" s="82"/>
      <c r="C45" s="12">
        <f>September!C45+B45</f>
        <v>247204</v>
      </c>
      <c r="D45" s="84"/>
      <c r="E45" s="12">
        <f>September!E45+D45</f>
        <v>8664</v>
      </c>
      <c r="F45" s="61"/>
      <c r="G45" s="12">
        <f>September!G45+F45</f>
        <v>0</v>
      </c>
    </row>
    <row r="46" spans="1:7" x14ac:dyDescent="0.2">
      <c r="A46" s="11" t="s">
        <v>43</v>
      </c>
      <c r="B46" s="82"/>
      <c r="C46" s="12">
        <f>September!C46+B46</f>
        <v>21</v>
      </c>
      <c r="D46" s="84"/>
      <c r="E46" s="12">
        <f>September!E46+D46</f>
        <v>0</v>
      </c>
      <c r="F46" s="61"/>
      <c r="G46" s="12">
        <f>September!G46+F46</f>
        <v>0</v>
      </c>
    </row>
    <row r="47" spans="1:7" x14ac:dyDescent="0.2">
      <c r="A47" s="11" t="s">
        <v>44</v>
      </c>
      <c r="B47" s="82"/>
      <c r="C47" s="12">
        <f>September!C47+B47</f>
        <v>389563</v>
      </c>
      <c r="D47" s="84"/>
      <c r="E47" s="12">
        <f>September!E47+D47</f>
        <v>106</v>
      </c>
      <c r="F47" s="61"/>
      <c r="G47" s="12">
        <f>September!G47+F47</f>
        <v>0</v>
      </c>
    </row>
    <row r="48" spans="1:7" x14ac:dyDescent="0.2">
      <c r="A48" s="11" t="s">
        <v>45</v>
      </c>
      <c r="B48" s="82"/>
      <c r="C48" s="12">
        <f>September!C48+B48</f>
        <v>161815</v>
      </c>
      <c r="D48" s="84"/>
      <c r="E48" s="12">
        <f>September!E48+D48</f>
        <v>0</v>
      </c>
      <c r="F48" s="61"/>
      <c r="G48" s="12">
        <f>September!G48+F48</f>
        <v>0</v>
      </c>
    </row>
    <row r="49" spans="1:256" x14ac:dyDescent="0.2">
      <c r="A49" s="11" t="s">
        <v>46</v>
      </c>
      <c r="B49" s="82"/>
      <c r="C49" s="12">
        <f>September!C49+B49</f>
        <v>0</v>
      </c>
      <c r="D49" s="84"/>
      <c r="E49" s="12">
        <f>September!E49+D49</f>
        <v>0</v>
      </c>
      <c r="F49" s="61"/>
      <c r="G49" s="12">
        <f>September!G49+F49</f>
        <v>0</v>
      </c>
    </row>
    <row r="50" spans="1:256" x14ac:dyDescent="0.2">
      <c r="A50" s="11" t="s">
        <v>47</v>
      </c>
      <c r="B50" s="82"/>
      <c r="C50" s="12">
        <f>September!C50+B50</f>
        <v>0</v>
      </c>
      <c r="D50" s="84"/>
      <c r="E50" s="12">
        <f>September!E50+D50</f>
        <v>0</v>
      </c>
      <c r="F50" s="61"/>
      <c r="G50" s="12">
        <f>September!G50+F50</f>
        <v>0</v>
      </c>
    </row>
    <row r="51" spans="1:256" x14ac:dyDescent="0.2">
      <c r="A51" s="11" t="s">
        <v>48</v>
      </c>
      <c r="B51" s="82"/>
      <c r="C51" s="12">
        <f>September!C51+B51</f>
        <v>0</v>
      </c>
      <c r="D51" s="84"/>
      <c r="E51" s="12">
        <f>September!E51+D51</f>
        <v>0</v>
      </c>
      <c r="F51" s="61"/>
      <c r="G51" s="12">
        <f>September!G51+F51</f>
        <v>0</v>
      </c>
    </row>
    <row r="52" spans="1:256" x14ac:dyDescent="0.2">
      <c r="A52" s="11" t="s">
        <v>49</v>
      </c>
      <c r="B52" s="82"/>
      <c r="C52" s="12">
        <f>September!C52+B52</f>
        <v>0</v>
      </c>
      <c r="D52" s="84"/>
      <c r="E52" s="12">
        <f>September!E52+D52</f>
        <v>0</v>
      </c>
      <c r="F52" s="61"/>
      <c r="G52" s="12">
        <f>September!G52+F52</f>
        <v>0</v>
      </c>
    </row>
    <row r="53" spans="1:256" x14ac:dyDescent="0.2">
      <c r="A53" s="11" t="s">
        <v>50</v>
      </c>
      <c r="B53" s="82"/>
      <c r="C53" s="12">
        <f>September!C53+B53</f>
        <v>70814</v>
      </c>
      <c r="D53" s="84"/>
      <c r="E53" s="12">
        <f>September!E53+D53</f>
        <v>55</v>
      </c>
      <c r="F53" s="61"/>
      <c r="G53" s="12">
        <f>September!G53+F53</f>
        <v>0</v>
      </c>
    </row>
    <row r="54" spans="1:256" ht="15.75" thickBot="1" x14ac:dyDescent="0.25">
      <c r="A54" s="11" t="s">
        <v>51</v>
      </c>
      <c r="B54" s="82"/>
      <c r="C54" s="12">
        <f>September!C54+B54</f>
        <v>145456</v>
      </c>
      <c r="D54" s="84"/>
      <c r="E54" s="12">
        <f>September!E54+D54</f>
        <v>0</v>
      </c>
      <c r="F54" s="61"/>
      <c r="G54" s="12">
        <f>September!G54+F54</f>
        <v>0</v>
      </c>
    </row>
    <row r="55" spans="1:256" ht="26.1" customHeight="1" thickBot="1" x14ac:dyDescent="0.25">
      <c r="A55" s="14" t="s">
        <v>53</v>
      </c>
      <c r="B55" s="15">
        <f>SUM(B7:B54)</f>
        <v>0</v>
      </c>
      <c r="C55" s="15">
        <f>September!C55+B55</f>
        <v>10908220</v>
      </c>
      <c r="D55" s="15">
        <f>SUM(D7:D54)</f>
        <v>0</v>
      </c>
      <c r="E55" s="15">
        <f>September!E55+D55</f>
        <v>103051</v>
      </c>
      <c r="F55" s="15">
        <f>SUM(F7:F54)</f>
        <v>0</v>
      </c>
      <c r="G55" s="15">
        <f>September!G55+F55</f>
        <v>54277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September!D58+C58</f>
        <v>1300</v>
      </c>
      <c r="E58" s="18"/>
    </row>
    <row r="59" spans="1:256" x14ac:dyDescent="0.2">
      <c r="A59" s="1" t="s">
        <v>56</v>
      </c>
      <c r="B59" s="23"/>
      <c r="C59" s="23"/>
      <c r="D59" s="24">
        <f>September!D59+C59</f>
        <v>12885</v>
      </c>
    </row>
    <row r="60" spans="1:256" x14ac:dyDescent="0.2">
      <c r="A60" s="1" t="s">
        <v>57</v>
      </c>
      <c r="B60" s="23"/>
      <c r="C60" s="23"/>
      <c r="D60" s="24">
        <f>September!D60+C60</f>
        <v>2490</v>
      </c>
    </row>
    <row r="61" spans="1:256" x14ac:dyDescent="0.2">
      <c r="A61" s="1" t="s">
        <v>58</v>
      </c>
      <c r="B61" s="23"/>
      <c r="C61" s="23"/>
      <c r="D61" s="24">
        <f>September!D61+C61</f>
        <v>0</v>
      </c>
    </row>
    <row r="62" spans="1:256" x14ac:dyDescent="0.2">
      <c r="A62" s="1" t="s">
        <v>59</v>
      </c>
      <c r="B62" s="23"/>
      <c r="C62" s="23"/>
      <c r="D62" s="24">
        <f>September!D62+C62</f>
        <v>133245</v>
      </c>
    </row>
    <row r="63" spans="1:256" x14ac:dyDescent="0.2">
      <c r="A63" s="1" t="s">
        <v>65</v>
      </c>
      <c r="B63" s="23"/>
      <c r="C63" s="23"/>
      <c r="D63" s="24">
        <f>September!D63+C63</f>
        <v>75771</v>
      </c>
    </row>
    <row r="64" spans="1:256" x14ac:dyDescent="0.2">
      <c r="A64" s="1" t="s">
        <v>63</v>
      </c>
      <c r="B64" s="23"/>
      <c r="C64" s="23"/>
      <c r="D64" s="24">
        <f>September!D64+C64</f>
        <v>86209</v>
      </c>
    </row>
    <row r="65" spans="1:4" x14ac:dyDescent="0.2">
      <c r="A65" s="1" t="s">
        <v>60</v>
      </c>
      <c r="C65" s="23"/>
      <c r="D65" s="24">
        <f>September!D65+C65</f>
        <v>0</v>
      </c>
    </row>
    <row r="66" spans="1:4" x14ac:dyDescent="0.2">
      <c r="A66" s="1" t="s">
        <v>61</v>
      </c>
      <c r="C66" s="23"/>
      <c r="D66" s="24">
        <f>September!D66+C66</f>
        <v>36422</v>
      </c>
    </row>
    <row r="67" spans="1:4" x14ac:dyDescent="0.2">
      <c r="A67" s="1" t="s">
        <v>62</v>
      </c>
      <c r="C67" s="23"/>
      <c r="D67" s="24">
        <f>September!D67+C67</f>
        <v>2450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80" zoomScaleNormal="80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75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/>
      <c r="C7" s="12">
        <f>October!C7+B7</f>
        <v>14074</v>
      </c>
      <c r="D7" s="84"/>
      <c r="E7" s="12">
        <f>October!E7+D7</f>
        <v>0</v>
      </c>
      <c r="F7" s="12"/>
      <c r="G7" s="12">
        <f>October!G7+F7</f>
        <v>0</v>
      </c>
    </row>
    <row r="8" spans="1:256" x14ac:dyDescent="0.2">
      <c r="A8" s="11" t="s">
        <v>64</v>
      </c>
      <c r="B8" s="82"/>
      <c r="C8" s="12">
        <f>October!C8+B8</f>
        <v>0</v>
      </c>
      <c r="D8" s="84"/>
      <c r="E8" s="12">
        <f>October!E8+D8</f>
        <v>2</v>
      </c>
      <c r="F8" s="12"/>
      <c r="G8" s="12">
        <f>October!G8+F8</f>
        <v>0</v>
      </c>
    </row>
    <row r="9" spans="1:256" x14ac:dyDescent="0.2">
      <c r="A9" s="11" t="s">
        <v>7</v>
      </c>
      <c r="B9" s="82"/>
      <c r="C9" s="12">
        <f>October!C9+B9</f>
        <v>92566</v>
      </c>
      <c r="D9" s="84"/>
      <c r="E9" s="12">
        <f>October!E9+D9</f>
        <v>13</v>
      </c>
      <c r="F9" s="12"/>
      <c r="G9" s="12">
        <f>October!G9+F9</f>
        <v>0</v>
      </c>
    </row>
    <row r="10" spans="1:256" x14ac:dyDescent="0.2">
      <c r="A10" s="11" t="s">
        <v>8</v>
      </c>
      <c r="B10" s="82"/>
      <c r="C10" s="12">
        <f>October!C10+B10</f>
        <v>0</v>
      </c>
      <c r="D10" s="84"/>
      <c r="E10" s="12">
        <f>October!E10+D10</f>
        <v>1</v>
      </c>
      <c r="F10" s="12"/>
      <c r="G10" s="12">
        <f>October!G10+F10</f>
        <v>0</v>
      </c>
    </row>
    <row r="11" spans="1:256" ht="15.75" thickBot="1" x14ac:dyDescent="0.25">
      <c r="A11" s="13" t="s">
        <v>52</v>
      </c>
      <c r="B11" s="82"/>
      <c r="C11" s="12">
        <f>October!C11+B11</f>
        <v>1149105</v>
      </c>
      <c r="D11" s="84"/>
      <c r="E11" s="12">
        <f>October!E11+D11</f>
        <v>3579</v>
      </c>
      <c r="F11" s="12"/>
      <c r="G11" s="12">
        <f>October!G11+F11</f>
        <v>54152</v>
      </c>
    </row>
    <row r="12" spans="1:256" ht="15.75" thickTop="1" x14ac:dyDescent="0.2">
      <c r="A12" s="11" t="s">
        <v>9</v>
      </c>
      <c r="B12" s="82"/>
      <c r="C12" s="12">
        <f>October!C12+B12</f>
        <v>583390</v>
      </c>
      <c r="D12" s="84"/>
      <c r="E12" s="12">
        <f>October!E12+D12</f>
        <v>878</v>
      </c>
      <c r="F12" s="12"/>
      <c r="G12" s="12">
        <f>October!G12+F12</f>
        <v>0</v>
      </c>
    </row>
    <row r="13" spans="1:256" x14ac:dyDescent="0.2">
      <c r="A13" s="11" t="s">
        <v>10</v>
      </c>
      <c r="B13" s="82"/>
      <c r="C13" s="12">
        <f>October!C13+B13</f>
        <v>0</v>
      </c>
      <c r="D13" s="84"/>
      <c r="E13" s="12">
        <f>October!E13+D13</f>
        <v>0</v>
      </c>
      <c r="F13" s="12"/>
      <c r="G13" s="12">
        <f>October!G13+F13</f>
        <v>0</v>
      </c>
    </row>
    <row r="14" spans="1:256" x14ac:dyDescent="0.2">
      <c r="A14" s="11" t="s">
        <v>11</v>
      </c>
      <c r="B14" s="82"/>
      <c r="C14" s="12">
        <f>October!C14+B14</f>
        <v>0</v>
      </c>
      <c r="D14" s="84"/>
      <c r="E14" s="12">
        <f>October!E14+D14</f>
        <v>0</v>
      </c>
      <c r="F14" s="12"/>
      <c r="G14" s="12">
        <f>October!G14+F14</f>
        <v>0</v>
      </c>
    </row>
    <row r="15" spans="1:256" x14ac:dyDescent="0.2">
      <c r="A15" s="11" t="s">
        <v>12</v>
      </c>
      <c r="B15" s="82"/>
      <c r="C15" s="12">
        <f>October!C15+B15</f>
        <v>0</v>
      </c>
      <c r="D15" s="84"/>
      <c r="E15" s="12">
        <f>October!E15+D15</f>
        <v>1</v>
      </c>
      <c r="F15" s="12"/>
      <c r="G15" s="12">
        <f>October!G15+F15</f>
        <v>0</v>
      </c>
    </row>
    <row r="16" spans="1:256" x14ac:dyDescent="0.2">
      <c r="A16" s="11" t="s">
        <v>13</v>
      </c>
      <c r="B16" s="82"/>
      <c r="C16" s="12">
        <f>October!C16+B16</f>
        <v>13550</v>
      </c>
      <c r="D16" s="84"/>
      <c r="E16" s="12">
        <f>October!E16+D16</f>
        <v>2</v>
      </c>
      <c r="F16" s="12"/>
      <c r="G16" s="12">
        <f>October!G16+F16</f>
        <v>0</v>
      </c>
    </row>
    <row r="17" spans="1:7" x14ac:dyDescent="0.2">
      <c r="A17" s="11" t="s">
        <v>14</v>
      </c>
      <c r="B17" s="82"/>
      <c r="C17" s="12">
        <f>October!C17+B17</f>
        <v>1</v>
      </c>
      <c r="D17" s="84"/>
      <c r="E17" s="12">
        <f>October!E17+D17</f>
        <v>0</v>
      </c>
      <c r="F17" s="12"/>
      <c r="G17" s="12">
        <f>October!G17+F17</f>
        <v>0</v>
      </c>
    </row>
    <row r="18" spans="1:7" x14ac:dyDescent="0.2">
      <c r="A18" s="11" t="s">
        <v>15</v>
      </c>
      <c r="B18" s="82"/>
      <c r="C18" s="12">
        <f>October!C18+B18</f>
        <v>2128254</v>
      </c>
      <c r="D18" s="84"/>
      <c r="E18" s="12">
        <f>October!E18+D18</f>
        <v>11486</v>
      </c>
      <c r="F18" s="12"/>
      <c r="G18" s="12">
        <f>October!G18+F18</f>
        <v>0</v>
      </c>
    </row>
    <row r="19" spans="1:7" x14ac:dyDescent="0.2">
      <c r="A19" s="11" t="s">
        <v>16</v>
      </c>
      <c r="B19" s="82"/>
      <c r="C19" s="12">
        <f>October!C19+B19</f>
        <v>139935</v>
      </c>
      <c r="D19" s="84"/>
      <c r="E19" s="12">
        <f>October!E19+D19</f>
        <v>380</v>
      </c>
      <c r="F19" s="12"/>
      <c r="G19" s="12">
        <f>October!G19+F19</f>
        <v>0</v>
      </c>
    </row>
    <row r="20" spans="1:7" x14ac:dyDescent="0.2">
      <c r="A20" s="11" t="s">
        <v>17</v>
      </c>
      <c r="B20" s="82"/>
      <c r="C20" s="12">
        <f>October!C20+B20</f>
        <v>106943</v>
      </c>
      <c r="D20" s="84"/>
      <c r="E20" s="12">
        <f>October!E20+D20</f>
        <v>2057</v>
      </c>
      <c r="F20" s="12"/>
      <c r="G20" s="12">
        <f>October!G20+F20</f>
        <v>0</v>
      </c>
    </row>
    <row r="21" spans="1:7" x14ac:dyDescent="0.2">
      <c r="A21" s="11" t="s">
        <v>18</v>
      </c>
      <c r="B21" s="82"/>
      <c r="C21" s="12">
        <f>October!C21+B21</f>
        <v>0</v>
      </c>
      <c r="D21" s="84"/>
      <c r="E21" s="12">
        <f>October!E21+D21</f>
        <v>1664</v>
      </c>
      <c r="F21" s="12"/>
      <c r="G21" s="12">
        <f>October!G21+F21</f>
        <v>0</v>
      </c>
    </row>
    <row r="22" spans="1:7" x14ac:dyDescent="0.2">
      <c r="A22" s="11" t="s">
        <v>19</v>
      </c>
      <c r="B22" s="82"/>
      <c r="C22" s="12">
        <f>October!C22+B22</f>
        <v>0</v>
      </c>
      <c r="D22" s="84"/>
      <c r="E22" s="12">
        <f>October!E22+D22</f>
        <v>32</v>
      </c>
      <c r="F22" s="12"/>
      <c r="G22" s="12">
        <f>October!G22+F22</f>
        <v>0</v>
      </c>
    </row>
    <row r="23" spans="1:7" x14ac:dyDescent="0.2">
      <c r="A23" s="11" t="s">
        <v>20</v>
      </c>
      <c r="B23" s="82"/>
      <c r="C23" s="12">
        <f>October!C23+B23</f>
        <v>0</v>
      </c>
      <c r="D23" s="84"/>
      <c r="E23" s="12">
        <f>October!E23+D23</f>
        <v>0</v>
      </c>
      <c r="F23" s="12"/>
      <c r="G23" s="12">
        <f>October!G23+F23</f>
        <v>0</v>
      </c>
    </row>
    <row r="24" spans="1:7" x14ac:dyDescent="0.2">
      <c r="A24" s="11" t="s">
        <v>21</v>
      </c>
      <c r="B24" s="82"/>
      <c r="C24" s="12">
        <f>October!C24+B24</f>
        <v>0</v>
      </c>
      <c r="D24" s="84"/>
      <c r="E24" s="12">
        <f>October!E24+D24</f>
        <v>0</v>
      </c>
      <c r="F24" s="12"/>
      <c r="G24" s="12">
        <f>October!G24+F24</f>
        <v>0</v>
      </c>
    </row>
    <row r="25" spans="1:7" x14ac:dyDescent="0.2">
      <c r="A25" s="11" t="s">
        <v>22</v>
      </c>
      <c r="B25" s="82"/>
      <c r="C25" s="12">
        <f>October!C25+B25</f>
        <v>0</v>
      </c>
      <c r="D25" s="84"/>
      <c r="E25" s="12">
        <f>October!E25+D25</f>
        <v>0</v>
      </c>
      <c r="F25" s="12"/>
      <c r="G25" s="12">
        <f>October!G25+F25</f>
        <v>0</v>
      </c>
    </row>
    <row r="26" spans="1:7" x14ac:dyDescent="0.2">
      <c r="A26" s="11" t="s">
        <v>23</v>
      </c>
      <c r="B26" s="82"/>
      <c r="C26" s="12">
        <f>October!C26+B26</f>
        <v>4465</v>
      </c>
      <c r="D26" s="84"/>
      <c r="E26" s="12">
        <f>October!E26+D26</f>
        <v>6167</v>
      </c>
      <c r="F26" s="12"/>
      <c r="G26" s="12">
        <f>October!G26+F26</f>
        <v>0</v>
      </c>
    </row>
    <row r="27" spans="1:7" x14ac:dyDescent="0.2">
      <c r="A27" s="11" t="s">
        <v>24</v>
      </c>
      <c r="B27" s="82"/>
      <c r="C27" s="12">
        <f>October!C27+B27</f>
        <v>1062881</v>
      </c>
      <c r="D27" s="84"/>
      <c r="E27" s="12">
        <f>October!E27+D27</f>
        <v>6787</v>
      </c>
      <c r="F27" s="12"/>
      <c r="G27" s="12">
        <f>October!G27+F27</f>
        <v>56</v>
      </c>
    </row>
    <row r="28" spans="1:7" x14ac:dyDescent="0.2">
      <c r="A28" s="11" t="s">
        <v>25</v>
      </c>
      <c r="B28" s="82"/>
      <c r="C28" s="12">
        <f>October!C28+B28</f>
        <v>316445</v>
      </c>
      <c r="D28" s="84"/>
      <c r="E28" s="12">
        <f>October!E28+D28</f>
        <v>0</v>
      </c>
      <c r="F28" s="12"/>
      <c r="G28" s="12">
        <f>October!G28+F28</f>
        <v>0</v>
      </c>
    </row>
    <row r="29" spans="1:7" x14ac:dyDescent="0.2">
      <c r="A29" s="11" t="s">
        <v>26</v>
      </c>
      <c r="B29" s="82"/>
      <c r="C29" s="12">
        <f>October!C29+B29</f>
        <v>1718175</v>
      </c>
      <c r="D29" s="84"/>
      <c r="E29" s="12">
        <f>October!E29+D29</f>
        <v>471</v>
      </c>
      <c r="F29" s="12"/>
      <c r="G29" s="12">
        <f>October!G29+F29</f>
        <v>69</v>
      </c>
    </row>
    <row r="30" spans="1:7" x14ac:dyDescent="0.2">
      <c r="A30" s="11" t="s">
        <v>27</v>
      </c>
      <c r="B30" s="82"/>
      <c r="C30" s="12">
        <f>October!C30+B30</f>
        <v>25560</v>
      </c>
      <c r="D30" s="84"/>
      <c r="E30" s="12">
        <f>October!E30+D30</f>
        <v>0</v>
      </c>
      <c r="F30" s="12"/>
      <c r="G30" s="12">
        <f>October!G30+F30</f>
        <v>0</v>
      </c>
    </row>
    <row r="31" spans="1:7" x14ac:dyDescent="0.2">
      <c r="A31" s="11" t="s">
        <v>28</v>
      </c>
      <c r="B31" s="82"/>
      <c r="C31" s="12">
        <f>October!C31+B31</f>
        <v>830253</v>
      </c>
      <c r="D31" s="84"/>
      <c r="E31" s="12">
        <f>October!E31+D31</f>
        <v>37619</v>
      </c>
      <c r="F31" s="12"/>
      <c r="G31" s="12">
        <f>October!G31+F31</f>
        <v>0</v>
      </c>
    </row>
    <row r="32" spans="1:7" x14ac:dyDescent="0.2">
      <c r="A32" s="11" t="s">
        <v>29</v>
      </c>
      <c r="B32" s="82"/>
      <c r="C32" s="12">
        <f>October!C32+B32</f>
        <v>0</v>
      </c>
      <c r="D32" s="84"/>
      <c r="E32" s="12">
        <f>October!E32+D32</f>
        <v>0</v>
      </c>
      <c r="F32" s="12"/>
      <c r="G32" s="12">
        <f>October!G32+F32</f>
        <v>0</v>
      </c>
    </row>
    <row r="33" spans="1:7" x14ac:dyDescent="0.2">
      <c r="A33" s="11" t="s">
        <v>30</v>
      </c>
      <c r="B33" s="82"/>
      <c r="C33" s="12">
        <f>October!C33+B33</f>
        <v>0</v>
      </c>
      <c r="D33" s="84"/>
      <c r="E33" s="12">
        <f>October!E33+D33</f>
        <v>0</v>
      </c>
      <c r="F33" s="12"/>
      <c r="G33" s="12">
        <f>October!G33+F33</f>
        <v>0</v>
      </c>
    </row>
    <row r="34" spans="1:7" x14ac:dyDescent="0.2">
      <c r="A34" s="11" t="s">
        <v>31</v>
      </c>
      <c r="B34" s="82"/>
      <c r="C34" s="12">
        <f>October!C34+B34</f>
        <v>0</v>
      </c>
      <c r="D34" s="84"/>
      <c r="E34" s="12">
        <f>October!E34+D34</f>
        <v>0</v>
      </c>
      <c r="F34" s="12"/>
      <c r="G34" s="12">
        <f>October!G34+F34</f>
        <v>0</v>
      </c>
    </row>
    <row r="35" spans="1:7" x14ac:dyDescent="0.2">
      <c r="A35" s="11" t="s">
        <v>32</v>
      </c>
      <c r="B35" s="82"/>
      <c r="C35" s="12">
        <f>October!C35+B35</f>
        <v>0</v>
      </c>
      <c r="D35" s="84"/>
      <c r="E35" s="12">
        <f>October!E35+D35</f>
        <v>0</v>
      </c>
      <c r="F35" s="12"/>
      <c r="G35" s="12">
        <f>October!G35+F35</f>
        <v>0</v>
      </c>
    </row>
    <row r="36" spans="1:7" x14ac:dyDescent="0.2">
      <c r="A36" s="11" t="s">
        <v>33</v>
      </c>
      <c r="B36" s="82"/>
      <c r="C36" s="12">
        <f>October!C36+B36</f>
        <v>0</v>
      </c>
      <c r="D36" s="84"/>
      <c r="E36" s="12">
        <f>October!E36+D36</f>
        <v>0</v>
      </c>
      <c r="F36" s="12"/>
      <c r="G36" s="12">
        <f>October!G36+F36</f>
        <v>0</v>
      </c>
    </row>
    <row r="37" spans="1:7" x14ac:dyDescent="0.2">
      <c r="A37" s="11" t="s">
        <v>34</v>
      </c>
      <c r="B37" s="82"/>
      <c r="C37" s="12">
        <f>October!C37+B37</f>
        <v>566902</v>
      </c>
      <c r="D37" s="84"/>
      <c r="E37" s="12">
        <f>October!E37+D37</f>
        <v>0</v>
      </c>
      <c r="F37" s="12"/>
      <c r="G37" s="12">
        <f>October!G37+F37</f>
        <v>0</v>
      </c>
    </row>
    <row r="38" spans="1:7" x14ac:dyDescent="0.2">
      <c r="A38" s="11" t="s">
        <v>35</v>
      </c>
      <c r="B38" s="82"/>
      <c r="C38" s="12">
        <f>October!C38+B38</f>
        <v>174523</v>
      </c>
      <c r="D38" s="84"/>
      <c r="E38" s="12">
        <f>October!E38+D38</f>
        <v>3959</v>
      </c>
      <c r="F38" s="12"/>
      <c r="G38" s="12">
        <f>October!G38+F38</f>
        <v>0</v>
      </c>
    </row>
    <row r="39" spans="1:7" x14ac:dyDescent="0.2">
      <c r="A39" s="11" t="s">
        <v>36</v>
      </c>
      <c r="B39" s="82"/>
      <c r="C39" s="12">
        <f>October!C39+B39</f>
        <v>75162</v>
      </c>
      <c r="D39" s="84"/>
      <c r="E39" s="12">
        <f>October!E39+D39</f>
        <v>7946</v>
      </c>
      <c r="F39" s="12"/>
      <c r="G39" s="12">
        <f>October!G39+F39</f>
        <v>0</v>
      </c>
    </row>
    <row r="40" spans="1:7" x14ac:dyDescent="0.2">
      <c r="A40" s="11" t="s">
        <v>37</v>
      </c>
      <c r="B40" s="82"/>
      <c r="C40" s="12">
        <f>October!C40+B40</f>
        <v>885363</v>
      </c>
      <c r="D40" s="84"/>
      <c r="E40" s="12">
        <f>October!E40+D40</f>
        <v>8111</v>
      </c>
      <c r="F40" s="12"/>
      <c r="G40" s="12">
        <f>October!G40+F40</f>
        <v>0</v>
      </c>
    </row>
    <row r="41" spans="1:7" x14ac:dyDescent="0.2">
      <c r="A41" s="11" t="s">
        <v>38</v>
      </c>
      <c r="B41" s="82"/>
      <c r="C41" s="12">
        <f>October!C41+B41</f>
        <v>0</v>
      </c>
      <c r="D41" s="84"/>
      <c r="E41" s="12">
        <f>October!E41+D41</f>
        <v>0</v>
      </c>
      <c r="F41" s="12"/>
      <c r="G41" s="12">
        <f>October!G41+F41</f>
        <v>0</v>
      </c>
    </row>
    <row r="42" spans="1:7" x14ac:dyDescent="0.2">
      <c r="A42" s="11" t="s">
        <v>39</v>
      </c>
      <c r="B42" s="82"/>
      <c r="C42" s="12">
        <f>October!C42+B42</f>
        <v>0</v>
      </c>
      <c r="D42" s="84"/>
      <c r="E42" s="12">
        <f>October!E42+D42</f>
        <v>3071</v>
      </c>
      <c r="F42" s="12"/>
      <c r="G42" s="12">
        <f>October!G42+F42</f>
        <v>0</v>
      </c>
    </row>
    <row r="43" spans="1:7" x14ac:dyDescent="0.2">
      <c r="A43" s="11" t="s">
        <v>40</v>
      </c>
      <c r="B43" s="82"/>
      <c r="C43" s="12">
        <f>October!C43+B43</f>
        <v>0</v>
      </c>
      <c r="D43" s="84"/>
      <c r="E43" s="12">
        <f>October!E43+D43</f>
        <v>0</v>
      </c>
      <c r="F43" s="12"/>
      <c r="G43" s="12">
        <f>October!G43+F43</f>
        <v>0</v>
      </c>
    </row>
    <row r="44" spans="1:7" x14ac:dyDescent="0.2">
      <c r="A44" s="11" t="s">
        <v>41</v>
      </c>
      <c r="B44" s="82"/>
      <c r="C44" s="12">
        <f>October!C44+B44</f>
        <v>5800</v>
      </c>
      <c r="D44" s="84"/>
      <c r="E44" s="12">
        <f>October!E44+D44</f>
        <v>0</v>
      </c>
      <c r="F44" s="12"/>
      <c r="G44" s="12">
        <f>October!G44+F44</f>
        <v>0</v>
      </c>
    </row>
    <row r="45" spans="1:7" x14ac:dyDescent="0.2">
      <c r="A45" s="11" t="s">
        <v>42</v>
      </c>
      <c r="B45" s="82"/>
      <c r="C45" s="12">
        <f>October!C45+B45</f>
        <v>247204</v>
      </c>
      <c r="D45" s="84"/>
      <c r="E45" s="12">
        <f>October!E45+D45</f>
        <v>8664</v>
      </c>
      <c r="F45" s="12"/>
      <c r="G45" s="12">
        <f>October!G45+F45</f>
        <v>0</v>
      </c>
    </row>
    <row r="46" spans="1:7" x14ac:dyDescent="0.2">
      <c r="A46" s="11" t="s">
        <v>43</v>
      </c>
      <c r="B46" s="86"/>
      <c r="C46" s="12">
        <f>October!C46+B46</f>
        <v>21</v>
      </c>
      <c r="D46" s="84"/>
      <c r="E46" s="12">
        <f>October!E46+D46</f>
        <v>0</v>
      </c>
      <c r="F46" s="12"/>
      <c r="G46" s="12">
        <f>October!G46+F46</f>
        <v>0</v>
      </c>
    </row>
    <row r="47" spans="1:7" x14ac:dyDescent="0.2">
      <c r="A47" s="11" t="s">
        <v>44</v>
      </c>
      <c r="B47" s="82"/>
      <c r="C47" s="12">
        <f>October!C47+B47</f>
        <v>389563</v>
      </c>
      <c r="D47" s="84"/>
      <c r="E47" s="12">
        <f>October!E47+D47</f>
        <v>106</v>
      </c>
      <c r="F47" s="12"/>
      <c r="G47" s="12">
        <f>October!G47+F47</f>
        <v>0</v>
      </c>
    </row>
    <row r="48" spans="1:7" x14ac:dyDescent="0.2">
      <c r="A48" s="11" t="s">
        <v>45</v>
      </c>
      <c r="B48" s="82"/>
      <c r="C48" s="12">
        <f>October!C48+B48</f>
        <v>161815</v>
      </c>
      <c r="D48" s="84"/>
      <c r="E48" s="12">
        <f>October!E48+D48</f>
        <v>0</v>
      </c>
      <c r="F48" s="12"/>
      <c r="G48" s="12">
        <f>October!G48+F48</f>
        <v>0</v>
      </c>
    </row>
    <row r="49" spans="1:256" x14ac:dyDescent="0.2">
      <c r="A49" s="11" t="s">
        <v>46</v>
      </c>
      <c r="B49" s="82"/>
      <c r="C49" s="12">
        <f>October!C49+B49</f>
        <v>0</v>
      </c>
      <c r="D49" s="84"/>
      <c r="E49" s="12">
        <f>October!E49+D49</f>
        <v>0</v>
      </c>
      <c r="F49" s="12"/>
      <c r="G49" s="12">
        <f>October!G49+F49</f>
        <v>0</v>
      </c>
    </row>
    <row r="50" spans="1:256" x14ac:dyDescent="0.2">
      <c r="A50" s="11" t="s">
        <v>47</v>
      </c>
      <c r="B50" s="82"/>
      <c r="C50" s="12">
        <f>October!C50+B50</f>
        <v>0</v>
      </c>
      <c r="D50" s="84"/>
      <c r="E50" s="12">
        <f>October!E50+D50</f>
        <v>0</v>
      </c>
      <c r="F50" s="12"/>
      <c r="G50" s="12">
        <f>October!G50+F50</f>
        <v>0</v>
      </c>
    </row>
    <row r="51" spans="1:256" x14ac:dyDescent="0.2">
      <c r="A51" s="11" t="s">
        <v>48</v>
      </c>
      <c r="B51" s="82"/>
      <c r="C51" s="12">
        <f>October!C51+B51</f>
        <v>0</v>
      </c>
      <c r="D51" s="84"/>
      <c r="E51" s="12">
        <f>October!E51+D51</f>
        <v>0</v>
      </c>
      <c r="F51" s="12"/>
      <c r="G51" s="12">
        <f>October!G51+F51</f>
        <v>0</v>
      </c>
    </row>
    <row r="52" spans="1:256" x14ac:dyDescent="0.2">
      <c r="A52" s="11" t="s">
        <v>49</v>
      </c>
      <c r="B52" s="82"/>
      <c r="C52" s="12">
        <f>October!C52+B52</f>
        <v>0</v>
      </c>
      <c r="D52" s="84"/>
      <c r="E52" s="12">
        <f>October!E52+D52</f>
        <v>0</v>
      </c>
      <c r="F52" s="12"/>
      <c r="G52" s="12">
        <f>October!G52+F52</f>
        <v>0</v>
      </c>
    </row>
    <row r="53" spans="1:256" x14ac:dyDescent="0.2">
      <c r="A53" s="11" t="s">
        <v>50</v>
      </c>
      <c r="B53" s="82"/>
      <c r="C53" s="12">
        <f>October!C53+B53</f>
        <v>70814</v>
      </c>
      <c r="D53" s="84"/>
      <c r="E53" s="12">
        <f>October!E53+D53</f>
        <v>55</v>
      </c>
      <c r="F53" s="12"/>
      <c r="G53" s="12">
        <f>October!G53+F53</f>
        <v>0</v>
      </c>
    </row>
    <row r="54" spans="1:256" ht="15.75" thickBot="1" x14ac:dyDescent="0.25">
      <c r="A54" s="11" t="s">
        <v>51</v>
      </c>
      <c r="B54" s="82"/>
      <c r="C54" s="12">
        <f>October!C54+B54</f>
        <v>145456</v>
      </c>
      <c r="D54" s="84"/>
      <c r="E54" s="12">
        <f>October!E54+D54</f>
        <v>0</v>
      </c>
      <c r="F54" s="12"/>
      <c r="G54" s="12">
        <f>October!G54+F54</f>
        <v>0</v>
      </c>
    </row>
    <row r="55" spans="1:256" ht="26.1" customHeight="1" thickBot="1" x14ac:dyDescent="0.25">
      <c r="A55" s="14" t="s">
        <v>53</v>
      </c>
      <c r="B55" s="89">
        <f>SUM(B7:B54)</f>
        <v>0</v>
      </c>
      <c r="C55" s="15">
        <f>October!C55+B55</f>
        <v>10908220</v>
      </c>
      <c r="D55" s="15">
        <f>SUM(D7:D54)</f>
        <v>0</v>
      </c>
      <c r="E55" s="15">
        <f>October!E55+D55</f>
        <v>103051</v>
      </c>
      <c r="F55" s="15">
        <f>SUM(F7:F54)</f>
        <v>0</v>
      </c>
      <c r="G55" s="15">
        <f>October!G55+F55</f>
        <v>54277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October!D58+C58</f>
        <v>1300</v>
      </c>
      <c r="E58" s="18"/>
    </row>
    <row r="59" spans="1:256" x14ac:dyDescent="0.2">
      <c r="A59" s="1" t="s">
        <v>56</v>
      </c>
      <c r="B59" s="23"/>
      <c r="C59" s="23"/>
      <c r="D59" s="24">
        <f>October!D59+C59</f>
        <v>12885</v>
      </c>
    </row>
    <row r="60" spans="1:256" x14ac:dyDescent="0.2">
      <c r="A60" s="1" t="s">
        <v>57</v>
      </c>
      <c r="B60" s="23"/>
      <c r="C60" s="23"/>
      <c r="D60" s="24">
        <f>October!D60+C60</f>
        <v>2490</v>
      </c>
    </row>
    <row r="61" spans="1:256" x14ac:dyDescent="0.2">
      <c r="A61" s="1" t="s">
        <v>58</v>
      </c>
      <c r="B61" s="23"/>
      <c r="C61" s="23"/>
      <c r="D61" s="24">
        <f>October!D61+C61</f>
        <v>0</v>
      </c>
    </row>
    <row r="62" spans="1:256" x14ac:dyDescent="0.2">
      <c r="A62" s="1" t="s">
        <v>59</v>
      </c>
      <c r="B62" s="23"/>
      <c r="C62" s="23"/>
      <c r="D62" s="24">
        <f>October!D62+C62</f>
        <v>133245</v>
      </c>
    </row>
    <row r="63" spans="1:256" x14ac:dyDescent="0.2">
      <c r="A63" s="1" t="s">
        <v>65</v>
      </c>
      <c r="B63" s="23"/>
      <c r="C63" s="23"/>
      <c r="D63" s="24">
        <f>October!D63+C63</f>
        <v>75771</v>
      </c>
    </row>
    <row r="64" spans="1:256" x14ac:dyDescent="0.2">
      <c r="A64" s="1" t="s">
        <v>63</v>
      </c>
      <c r="B64" s="23"/>
      <c r="C64" s="23"/>
      <c r="D64" s="24">
        <f>October!D64+C64</f>
        <v>86209</v>
      </c>
    </row>
    <row r="65" spans="1:4" x14ac:dyDescent="0.2">
      <c r="A65" s="1" t="s">
        <v>60</v>
      </c>
      <c r="C65" s="23"/>
      <c r="D65" s="24">
        <f>October!D65+C65</f>
        <v>0</v>
      </c>
    </row>
    <row r="66" spans="1:4" x14ac:dyDescent="0.2">
      <c r="A66" s="1" t="s">
        <v>61</v>
      </c>
      <c r="C66" s="23"/>
      <c r="D66" s="24">
        <f>October!D66+C66</f>
        <v>36422</v>
      </c>
    </row>
    <row r="67" spans="1:4" x14ac:dyDescent="0.2">
      <c r="A67" s="1" t="s">
        <v>62</v>
      </c>
      <c r="C67" s="23"/>
      <c r="D67" s="24">
        <f>October!D67+C67</f>
        <v>2450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0" zoomScaleNormal="70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76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/>
      <c r="C7" s="12">
        <f>November!C7+B7</f>
        <v>14074</v>
      </c>
      <c r="D7" s="84"/>
      <c r="E7" s="12">
        <f>November!E7+D7</f>
        <v>0</v>
      </c>
      <c r="F7" s="12"/>
      <c r="G7" s="12">
        <f>November!G7+F7</f>
        <v>0</v>
      </c>
    </row>
    <row r="8" spans="1:256" x14ac:dyDescent="0.2">
      <c r="A8" s="11" t="s">
        <v>64</v>
      </c>
      <c r="B8" s="82"/>
      <c r="C8" s="12">
        <f>November!C8+B8</f>
        <v>0</v>
      </c>
      <c r="D8" s="84"/>
      <c r="E8" s="12">
        <f>November!E8+D8</f>
        <v>2</v>
      </c>
      <c r="F8" s="12"/>
      <c r="G8" s="12">
        <f>November!G8+F8</f>
        <v>0</v>
      </c>
    </row>
    <row r="9" spans="1:256" x14ac:dyDescent="0.2">
      <c r="A9" s="11" t="s">
        <v>7</v>
      </c>
      <c r="B9" s="82"/>
      <c r="C9" s="12">
        <f>November!C9+B9</f>
        <v>92566</v>
      </c>
      <c r="D9" s="84"/>
      <c r="E9" s="12">
        <f>November!E9+D9</f>
        <v>13</v>
      </c>
      <c r="F9" s="12"/>
      <c r="G9" s="12">
        <f>November!G9+F9</f>
        <v>0</v>
      </c>
    </row>
    <row r="10" spans="1:256" x14ac:dyDescent="0.2">
      <c r="A10" s="11" t="s">
        <v>8</v>
      </c>
      <c r="B10" s="82"/>
      <c r="C10" s="12">
        <f>November!C10+B10</f>
        <v>0</v>
      </c>
      <c r="D10" s="84"/>
      <c r="E10" s="12">
        <f>November!E10+D10</f>
        <v>1</v>
      </c>
      <c r="F10" s="12"/>
      <c r="G10" s="12">
        <f>November!G10+F10</f>
        <v>0</v>
      </c>
    </row>
    <row r="11" spans="1:256" ht="15.75" thickBot="1" x14ac:dyDescent="0.25">
      <c r="A11" s="13" t="s">
        <v>52</v>
      </c>
      <c r="B11" s="82"/>
      <c r="C11" s="12">
        <f>November!C11+B11</f>
        <v>1149105</v>
      </c>
      <c r="D11" s="84"/>
      <c r="E11" s="12">
        <f>November!E11+D11</f>
        <v>3579</v>
      </c>
      <c r="F11" s="12"/>
      <c r="G11" s="12">
        <f>November!G11+F11</f>
        <v>54152</v>
      </c>
    </row>
    <row r="12" spans="1:256" ht="15.75" thickTop="1" x14ac:dyDescent="0.2">
      <c r="A12" s="11" t="s">
        <v>9</v>
      </c>
      <c r="B12" s="82"/>
      <c r="C12" s="12">
        <f>November!C12+B12</f>
        <v>583390</v>
      </c>
      <c r="D12" s="84"/>
      <c r="E12" s="12">
        <f>November!E12+D12</f>
        <v>878</v>
      </c>
      <c r="F12" s="12"/>
      <c r="G12" s="12">
        <f>November!G12+F12</f>
        <v>0</v>
      </c>
    </row>
    <row r="13" spans="1:256" x14ac:dyDescent="0.2">
      <c r="A13" s="11" t="s">
        <v>10</v>
      </c>
      <c r="B13" s="82"/>
      <c r="C13" s="12">
        <f>November!C13+B13</f>
        <v>0</v>
      </c>
      <c r="D13" s="84"/>
      <c r="E13" s="12">
        <f>November!E13+D13</f>
        <v>0</v>
      </c>
      <c r="F13" s="12"/>
      <c r="G13" s="12">
        <f>November!G13+F13</f>
        <v>0</v>
      </c>
    </row>
    <row r="14" spans="1:256" x14ac:dyDescent="0.2">
      <c r="A14" s="11" t="s">
        <v>11</v>
      </c>
      <c r="B14" s="82"/>
      <c r="C14" s="12">
        <f>November!C14+B14</f>
        <v>0</v>
      </c>
      <c r="D14" s="84"/>
      <c r="E14" s="12">
        <f>November!E14+D14</f>
        <v>0</v>
      </c>
      <c r="F14" s="12"/>
      <c r="G14" s="12">
        <f>November!G14+F14</f>
        <v>0</v>
      </c>
    </row>
    <row r="15" spans="1:256" x14ac:dyDescent="0.2">
      <c r="A15" s="11" t="s">
        <v>12</v>
      </c>
      <c r="B15" s="82"/>
      <c r="C15" s="12">
        <f>November!C15+B15</f>
        <v>0</v>
      </c>
      <c r="D15" s="84"/>
      <c r="E15" s="12">
        <f>November!E15+D15</f>
        <v>1</v>
      </c>
      <c r="F15" s="12"/>
      <c r="G15" s="12">
        <f>November!G15+F15</f>
        <v>0</v>
      </c>
    </row>
    <row r="16" spans="1:256" x14ac:dyDescent="0.2">
      <c r="A16" s="11" t="s">
        <v>13</v>
      </c>
      <c r="B16" s="82"/>
      <c r="C16" s="12">
        <f>November!C16+B16</f>
        <v>13550</v>
      </c>
      <c r="D16" s="84"/>
      <c r="E16" s="12">
        <f>November!E16+D16</f>
        <v>2</v>
      </c>
      <c r="F16" s="12"/>
      <c r="G16" s="12">
        <f>November!G16+F16</f>
        <v>0</v>
      </c>
    </row>
    <row r="17" spans="1:7" x14ac:dyDescent="0.2">
      <c r="A17" s="11" t="s">
        <v>14</v>
      </c>
      <c r="B17" s="82"/>
      <c r="C17" s="12">
        <f>November!C17+B17</f>
        <v>1</v>
      </c>
      <c r="D17" s="84"/>
      <c r="E17" s="12">
        <f>November!E17+D17</f>
        <v>0</v>
      </c>
      <c r="F17" s="12"/>
      <c r="G17" s="12">
        <f>November!G17+F17</f>
        <v>0</v>
      </c>
    </row>
    <row r="18" spans="1:7" x14ac:dyDescent="0.2">
      <c r="A18" s="11" t="s">
        <v>15</v>
      </c>
      <c r="B18" s="82"/>
      <c r="C18" s="12">
        <f>November!C18+B18</f>
        <v>2128254</v>
      </c>
      <c r="D18" s="84"/>
      <c r="E18" s="12">
        <f>November!E18+D18</f>
        <v>11486</v>
      </c>
      <c r="F18" s="12"/>
      <c r="G18" s="12">
        <f>November!G18+F18</f>
        <v>0</v>
      </c>
    </row>
    <row r="19" spans="1:7" x14ac:dyDescent="0.2">
      <c r="A19" s="11" t="s">
        <v>16</v>
      </c>
      <c r="B19" s="82"/>
      <c r="C19" s="12">
        <f>November!C19+B19</f>
        <v>139935</v>
      </c>
      <c r="D19" s="84"/>
      <c r="E19" s="12">
        <f>November!E19+D19</f>
        <v>380</v>
      </c>
      <c r="F19" s="12"/>
      <c r="G19" s="12">
        <f>November!G19+F19</f>
        <v>0</v>
      </c>
    </row>
    <row r="20" spans="1:7" x14ac:dyDescent="0.2">
      <c r="A20" s="11" t="s">
        <v>17</v>
      </c>
      <c r="B20" s="82"/>
      <c r="C20" s="12">
        <f>November!C20+B20</f>
        <v>106943</v>
      </c>
      <c r="D20" s="84"/>
      <c r="E20" s="12">
        <f>November!E20+D20</f>
        <v>2057</v>
      </c>
      <c r="F20" s="12"/>
      <c r="G20" s="12">
        <f>November!G20+F20</f>
        <v>0</v>
      </c>
    </row>
    <row r="21" spans="1:7" x14ac:dyDescent="0.2">
      <c r="A21" s="11" t="s">
        <v>18</v>
      </c>
      <c r="B21" s="82"/>
      <c r="C21" s="12">
        <f>November!C21+B21</f>
        <v>0</v>
      </c>
      <c r="D21" s="84"/>
      <c r="E21" s="12">
        <f>November!E21+D21</f>
        <v>1664</v>
      </c>
      <c r="F21" s="12"/>
      <c r="G21" s="12">
        <f>November!G21+F21</f>
        <v>0</v>
      </c>
    </row>
    <row r="22" spans="1:7" x14ac:dyDescent="0.2">
      <c r="A22" s="11" t="s">
        <v>19</v>
      </c>
      <c r="B22" s="82"/>
      <c r="C22" s="12">
        <f>November!C22+B22</f>
        <v>0</v>
      </c>
      <c r="D22" s="84"/>
      <c r="E22" s="12">
        <f>November!E22+D22</f>
        <v>32</v>
      </c>
      <c r="F22" s="12"/>
      <c r="G22" s="12">
        <f>November!G22+F22</f>
        <v>0</v>
      </c>
    </row>
    <row r="23" spans="1:7" x14ac:dyDescent="0.2">
      <c r="A23" s="11" t="s">
        <v>20</v>
      </c>
      <c r="B23" s="82"/>
      <c r="C23" s="12">
        <f>November!C23+B23</f>
        <v>0</v>
      </c>
      <c r="D23" s="84"/>
      <c r="E23" s="12">
        <f>November!E23+D23</f>
        <v>0</v>
      </c>
      <c r="F23" s="12"/>
      <c r="G23" s="12">
        <f>November!G23+F23</f>
        <v>0</v>
      </c>
    </row>
    <row r="24" spans="1:7" x14ac:dyDescent="0.2">
      <c r="A24" s="11" t="s">
        <v>21</v>
      </c>
      <c r="B24" s="82"/>
      <c r="C24" s="12">
        <f>November!C24+B24</f>
        <v>0</v>
      </c>
      <c r="D24" s="84"/>
      <c r="E24" s="12">
        <f>November!E24+D24</f>
        <v>0</v>
      </c>
      <c r="F24" s="12"/>
      <c r="G24" s="12">
        <f>November!G24+F24</f>
        <v>0</v>
      </c>
    </row>
    <row r="25" spans="1:7" x14ac:dyDescent="0.2">
      <c r="A25" s="11" t="s">
        <v>22</v>
      </c>
      <c r="B25" s="82"/>
      <c r="C25" s="12">
        <f>November!C25+B25</f>
        <v>0</v>
      </c>
      <c r="D25" s="84"/>
      <c r="E25" s="12">
        <f>November!E25+D25</f>
        <v>0</v>
      </c>
      <c r="F25" s="12"/>
      <c r="G25" s="12">
        <f>November!G25+F25</f>
        <v>0</v>
      </c>
    </row>
    <row r="26" spans="1:7" x14ac:dyDescent="0.2">
      <c r="A26" s="11" t="s">
        <v>23</v>
      </c>
      <c r="B26" s="82"/>
      <c r="C26" s="12">
        <f>November!C26+B26</f>
        <v>4465</v>
      </c>
      <c r="D26" s="84"/>
      <c r="E26" s="12">
        <f>November!E26+D26</f>
        <v>6167</v>
      </c>
      <c r="F26" s="12"/>
      <c r="G26" s="12">
        <f>November!G26+F26</f>
        <v>0</v>
      </c>
    </row>
    <row r="27" spans="1:7" x14ac:dyDescent="0.2">
      <c r="A27" s="11" t="s">
        <v>24</v>
      </c>
      <c r="B27" s="82"/>
      <c r="C27" s="12">
        <f>November!C27+B27</f>
        <v>1062881</v>
      </c>
      <c r="D27" s="84"/>
      <c r="E27" s="12">
        <f>November!E27+D27</f>
        <v>6787</v>
      </c>
      <c r="F27" s="12"/>
      <c r="G27" s="12">
        <f>November!G27+F27</f>
        <v>56</v>
      </c>
    </row>
    <row r="28" spans="1:7" x14ac:dyDescent="0.2">
      <c r="A28" s="11" t="s">
        <v>25</v>
      </c>
      <c r="B28" s="82"/>
      <c r="C28" s="12">
        <f>November!C28+B28</f>
        <v>316445</v>
      </c>
      <c r="D28" s="84"/>
      <c r="E28" s="12">
        <f>November!E28+D28</f>
        <v>0</v>
      </c>
      <c r="F28" s="12"/>
      <c r="G28" s="12">
        <f>November!G28+F28</f>
        <v>0</v>
      </c>
    </row>
    <row r="29" spans="1:7" x14ac:dyDescent="0.2">
      <c r="A29" s="11" t="s">
        <v>26</v>
      </c>
      <c r="B29" s="82"/>
      <c r="C29" s="12">
        <f>November!C29+B29</f>
        <v>1718175</v>
      </c>
      <c r="D29" s="84"/>
      <c r="E29" s="12">
        <f>November!E29+D29</f>
        <v>471</v>
      </c>
      <c r="F29" s="12"/>
      <c r="G29" s="12">
        <f>November!G29+F29</f>
        <v>69</v>
      </c>
    </row>
    <row r="30" spans="1:7" x14ac:dyDescent="0.2">
      <c r="A30" s="11" t="s">
        <v>27</v>
      </c>
      <c r="B30" s="82"/>
      <c r="C30" s="12">
        <f>November!C30+B30</f>
        <v>25560</v>
      </c>
      <c r="D30" s="84"/>
      <c r="E30" s="12">
        <f>November!E30+D30</f>
        <v>0</v>
      </c>
      <c r="F30" s="12"/>
      <c r="G30" s="12">
        <f>November!G30+F30</f>
        <v>0</v>
      </c>
    </row>
    <row r="31" spans="1:7" x14ac:dyDescent="0.2">
      <c r="A31" s="11" t="s">
        <v>28</v>
      </c>
      <c r="B31" s="82"/>
      <c r="C31" s="12">
        <f>November!C31+B31</f>
        <v>830253</v>
      </c>
      <c r="D31" s="84"/>
      <c r="E31" s="12">
        <f>November!E31+D31</f>
        <v>37619</v>
      </c>
      <c r="F31" s="12"/>
      <c r="G31" s="12">
        <f>November!G31+F31</f>
        <v>0</v>
      </c>
    </row>
    <row r="32" spans="1:7" x14ac:dyDescent="0.2">
      <c r="A32" s="11" t="s">
        <v>29</v>
      </c>
      <c r="B32" s="82"/>
      <c r="C32" s="12">
        <f>November!C32+B32</f>
        <v>0</v>
      </c>
      <c r="D32" s="84"/>
      <c r="E32" s="12">
        <f>November!E32+D32</f>
        <v>0</v>
      </c>
      <c r="F32" s="12"/>
      <c r="G32" s="12">
        <f>November!G32+F32</f>
        <v>0</v>
      </c>
    </row>
    <row r="33" spans="1:7" x14ac:dyDescent="0.2">
      <c r="A33" s="11" t="s">
        <v>30</v>
      </c>
      <c r="B33" s="82"/>
      <c r="C33" s="12">
        <f>November!C33+B33</f>
        <v>0</v>
      </c>
      <c r="D33" s="84"/>
      <c r="E33" s="12">
        <f>November!E33+D33</f>
        <v>0</v>
      </c>
      <c r="F33" s="12"/>
      <c r="G33" s="12">
        <f>November!G33+F33</f>
        <v>0</v>
      </c>
    </row>
    <row r="34" spans="1:7" x14ac:dyDescent="0.2">
      <c r="A34" s="11" t="s">
        <v>31</v>
      </c>
      <c r="B34" s="82"/>
      <c r="C34" s="12">
        <f>November!C34+B34</f>
        <v>0</v>
      </c>
      <c r="D34" s="84"/>
      <c r="E34" s="12">
        <f>November!E34+D34</f>
        <v>0</v>
      </c>
      <c r="F34" s="12"/>
      <c r="G34" s="12">
        <f>November!G34+F34</f>
        <v>0</v>
      </c>
    </row>
    <row r="35" spans="1:7" x14ac:dyDescent="0.2">
      <c r="A35" s="11" t="s">
        <v>32</v>
      </c>
      <c r="B35" s="82"/>
      <c r="C35" s="12">
        <f>November!C35+B35</f>
        <v>0</v>
      </c>
      <c r="D35" s="84"/>
      <c r="E35" s="12">
        <f>November!E35+D35</f>
        <v>0</v>
      </c>
      <c r="F35" s="12"/>
      <c r="G35" s="12">
        <f>November!G35+F35</f>
        <v>0</v>
      </c>
    </row>
    <row r="36" spans="1:7" x14ac:dyDescent="0.2">
      <c r="A36" s="11" t="s">
        <v>33</v>
      </c>
      <c r="B36" s="82"/>
      <c r="C36" s="12">
        <f>November!C36+B36</f>
        <v>0</v>
      </c>
      <c r="D36" s="84"/>
      <c r="E36" s="12">
        <f>November!E36+D36</f>
        <v>0</v>
      </c>
      <c r="F36" s="12"/>
      <c r="G36" s="12">
        <f>November!G36+F36</f>
        <v>0</v>
      </c>
    </row>
    <row r="37" spans="1:7" x14ac:dyDescent="0.2">
      <c r="A37" s="11" t="s">
        <v>34</v>
      </c>
      <c r="B37" s="82"/>
      <c r="C37" s="12">
        <f>November!C37+B37</f>
        <v>566902</v>
      </c>
      <c r="D37" s="84"/>
      <c r="E37" s="12">
        <f>November!E37+D37</f>
        <v>0</v>
      </c>
      <c r="F37" s="12"/>
      <c r="G37" s="12">
        <f>November!G37+F37</f>
        <v>0</v>
      </c>
    </row>
    <row r="38" spans="1:7" x14ac:dyDescent="0.2">
      <c r="A38" s="11" t="s">
        <v>35</v>
      </c>
      <c r="B38" s="82"/>
      <c r="C38" s="12">
        <f>November!C38+B38</f>
        <v>174523</v>
      </c>
      <c r="D38" s="84"/>
      <c r="E38" s="12">
        <f>November!E38+D38</f>
        <v>3959</v>
      </c>
      <c r="F38" s="12"/>
      <c r="G38" s="12">
        <f>November!G38+F38</f>
        <v>0</v>
      </c>
    </row>
    <row r="39" spans="1:7" x14ac:dyDescent="0.2">
      <c r="A39" s="11" t="s">
        <v>36</v>
      </c>
      <c r="B39" s="82"/>
      <c r="C39" s="12">
        <f>November!C39+B39</f>
        <v>75162</v>
      </c>
      <c r="D39" s="84"/>
      <c r="E39" s="12">
        <f>November!E39+D39</f>
        <v>7946</v>
      </c>
      <c r="F39" s="12"/>
      <c r="G39" s="12">
        <f>November!G39+F39</f>
        <v>0</v>
      </c>
    </row>
    <row r="40" spans="1:7" x14ac:dyDescent="0.2">
      <c r="A40" s="11" t="s">
        <v>37</v>
      </c>
      <c r="B40" s="82"/>
      <c r="C40" s="12">
        <f>November!C40+B40</f>
        <v>885363</v>
      </c>
      <c r="D40" s="84"/>
      <c r="E40" s="12">
        <f>November!E40+D40</f>
        <v>8111</v>
      </c>
      <c r="F40" s="12"/>
      <c r="G40" s="12">
        <f>November!G40+F40</f>
        <v>0</v>
      </c>
    </row>
    <row r="41" spans="1:7" x14ac:dyDescent="0.2">
      <c r="A41" s="11" t="s">
        <v>38</v>
      </c>
      <c r="B41" s="82"/>
      <c r="C41" s="12">
        <f>November!C41+B41</f>
        <v>0</v>
      </c>
      <c r="D41" s="84"/>
      <c r="E41" s="12">
        <f>November!E41+D41</f>
        <v>0</v>
      </c>
      <c r="F41" s="12"/>
      <c r="G41" s="12">
        <f>November!G41+F41</f>
        <v>0</v>
      </c>
    </row>
    <row r="42" spans="1:7" x14ac:dyDescent="0.2">
      <c r="A42" s="11" t="s">
        <v>39</v>
      </c>
      <c r="B42" s="82"/>
      <c r="C42" s="12">
        <f>November!C42+B42</f>
        <v>0</v>
      </c>
      <c r="D42" s="84"/>
      <c r="E42" s="12">
        <f>November!E42+D42</f>
        <v>3071</v>
      </c>
      <c r="F42" s="12"/>
      <c r="G42" s="12">
        <f>November!G42+F42</f>
        <v>0</v>
      </c>
    </row>
    <row r="43" spans="1:7" x14ac:dyDescent="0.2">
      <c r="A43" s="11" t="s">
        <v>40</v>
      </c>
      <c r="B43" s="82"/>
      <c r="C43" s="12">
        <f>November!C43+B43</f>
        <v>0</v>
      </c>
      <c r="D43" s="84"/>
      <c r="E43" s="12">
        <f>November!E43+D43</f>
        <v>0</v>
      </c>
      <c r="F43" s="12"/>
      <c r="G43" s="12">
        <f>November!G43+F43</f>
        <v>0</v>
      </c>
    </row>
    <row r="44" spans="1:7" x14ac:dyDescent="0.2">
      <c r="A44" s="11" t="s">
        <v>41</v>
      </c>
      <c r="B44" s="82"/>
      <c r="C44" s="12">
        <f>November!C44+B44</f>
        <v>5800</v>
      </c>
      <c r="D44" s="84"/>
      <c r="E44" s="12">
        <f>November!E44+D44</f>
        <v>0</v>
      </c>
      <c r="F44" s="12"/>
      <c r="G44" s="12">
        <f>November!G44+F44</f>
        <v>0</v>
      </c>
    </row>
    <row r="45" spans="1:7" x14ac:dyDescent="0.2">
      <c r="A45" s="11" t="s">
        <v>42</v>
      </c>
      <c r="B45" s="82"/>
      <c r="C45" s="12">
        <f>November!C45+B45</f>
        <v>247204</v>
      </c>
      <c r="D45" s="84"/>
      <c r="E45" s="12">
        <f>November!E45+D45</f>
        <v>8664</v>
      </c>
      <c r="F45" s="12"/>
      <c r="G45" s="12">
        <f>November!G45+F45</f>
        <v>0</v>
      </c>
    </row>
    <row r="46" spans="1:7" x14ac:dyDescent="0.2">
      <c r="A46" s="11" t="s">
        <v>43</v>
      </c>
      <c r="B46" s="82"/>
      <c r="C46" s="12">
        <f>November!C46+B46</f>
        <v>21</v>
      </c>
      <c r="D46" s="84"/>
      <c r="E46" s="12">
        <f>November!E46+D46</f>
        <v>0</v>
      </c>
      <c r="F46" s="12"/>
      <c r="G46" s="12">
        <f>November!G46+F46</f>
        <v>0</v>
      </c>
    </row>
    <row r="47" spans="1:7" x14ac:dyDescent="0.2">
      <c r="A47" s="11" t="s">
        <v>44</v>
      </c>
      <c r="B47" s="82"/>
      <c r="C47" s="12">
        <f>November!C47+B47</f>
        <v>389563</v>
      </c>
      <c r="D47" s="84"/>
      <c r="E47" s="12">
        <f>November!E47+D47</f>
        <v>106</v>
      </c>
      <c r="F47" s="12"/>
      <c r="G47" s="12">
        <f>November!G47+F47</f>
        <v>0</v>
      </c>
    </row>
    <row r="48" spans="1:7" x14ac:dyDescent="0.2">
      <c r="A48" s="11" t="s">
        <v>45</v>
      </c>
      <c r="B48" s="82"/>
      <c r="C48" s="12">
        <f>November!C48+B48</f>
        <v>161815</v>
      </c>
      <c r="D48" s="84"/>
      <c r="E48" s="12">
        <f>November!E48+D48</f>
        <v>0</v>
      </c>
      <c r="F48" s="12"/>
      <c r="G48" s="12">
        <f>November!G48+F48</f>
        <v>0</v>
      </c>
    </row>
    <row r="49" spans="1:256" x14ac:dyDescent="0.2">
      <c r="A49" s="11" t="s">
        <v>46</v>
      </c>
      <c r="B49" s="82"/>
      <c r="C49" s="12">
        <f>November!C49+B49</f>
        <v>0</v>
      </c>
      <c r="D49" s="84"/>
      <c r="E49" s="12">
        <f>November!E49+D49</f>
        <v>0</v>
      </c>
      <c r="F49" s="12"/>
      <c r="G49" s="12">
        <f>November!G49+F49</f>
        <v>0</v>
      </c>
    </row>
    <row r="50" spans="1:256" x14ac:dyDescent="0.2">
      <c r="A50" s="11" t="s">
        <v>47</v>
      </c>
      <c r="B50" s="82"/>
      <c r="C50" s="12">
        <f>November!C50+B50</f>
        <v>0</v>
      </c>
      <c r="D50" s="84"/>
      <c r="E50" s="12">
        <f>November!E50+D50</f>
        <v>0</v>
      </c>
      <c r="F50" s="12"/>
      <c r="G50" s="12">
        <f>November!G50+F50</f>
        <v>0</v>
      </c>
    </row>
    <row r="51" spans="1:256" x14ac:dyDescent="0.2">
      <c r="A51" s="11" t="s">
        <v>48</v>
      </c>
      <c r="B51" s="82"/>
      <c r="C51" s="12">
        <f>November!C51+B51</f>
        <v>0</v>
      </c>
      <c r="D51" s="84"/>
      <c r="E51" s="12">
        <f>November!E51+D51</f>
        <v>0</v>
      </c>
      <c r="F51" s="12"/>
      <c r="G51" s="12">
        <f>November!G51+F51</f>
        <v>0</v>
      </c>
    </row>
    <row r="52" spans="1:256" x14ac:dyDescent="0.2">
      <c r="A52" s="11" t="s">
        <v>49</v>
      </c>
      <c r="B52" s="82"/>
      <c r="C52" s="12">
        <f>November!C52+B52</f>
        <v>0</v>
      </c>
      <c r="D52" s="84"/>
      <c r="E52" s="12">
        <f>November!E52+D52</f>
        <v>0</v>
      </c>
      <c r="F52" s="12"/>
      <c r="G52" s="12">
        <f>November!G52+F52</f>
        <v>0</v>
      </c>
    </row>
    <row r="53" spans="1:256" x14ac:dyDescent="0.2">
      <c r="A53" s="11" t="s">
        <v>50</v>
      </c>
      <c r="B53" s="82"/>
      <c r="C53" s="12">
        <f>November!C53+B53</f>
        <v>70814</v>
      </c>
      <c r="D53" s="84"/>
      <c r="E53" s="12">
        <f>November!E53+D53</f>
        <v>55</v>
      </c>
      <c r="F53" s="12"/>
      <c r="G53" s="12">
        <f>November!G53+F53</f>
        <v>0</v>
      </c>
    </row>
    <row r="54" spans="1:256" ht="15.75" thickBot="1" x14ac:dyDescent="0.25">
      <c r="A54" s="11" t="s">
        <v>51</v>
      </c>
      <c r="B54" s="82"/>
      <c r="C54" s="12">
        <f>November!C54+B54</f>
        <v>145456</v>
      </c>
      <c r="D54" s="84"/>
      <c r="E54" s="12">
        <f>November!E54+D54</f>
        <v>0</v>
      </c>
      <c r="F54" s="12"/>
      <c r="G54" s="12">
        <f>November!G54+F54</f>
        <v>0</v>
      </c>
    </row>
    <row r="55" spans="1:256" ht="26.1" customHeight="1" thickBot="1" x14ac:dyDescent="0.25">
      <c r="A55" s="14" t="s">
        <v>53</v>
      </c>
      <c r="B55" s="15">
        <f>SUM(B7:B54)</f>
        <v>0</v>
      </c>
      <c r="C55" s="15">
        <f>November!C55+B55</f>
        <v>10908220</v>
      </c>
      <c r="D55" s="15">
        <f>SUM(D7:D54)</f>
        <v>0</v>
      </c>
      <c r="E55" s="15">
        <f>November!E55+D55</f>
        <v>103051</v>
      </c>
      <c r="F55" s="15">
        <f>SUM(F7:F54)</f>
        <v>0</v>
      </c>
      <c r="G55" s="15">
        <f>November!G55+F55</f>
        <v>54277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November!D58+C58</f>
        <v>1300</v>
      </c>
      <c r="E58" s="18"/>
    </row>
    <row r="59" spans="1:256" x14ac:dyDescent="0.2">
      <c r="A59" s="1" t="s">
        <v>56</v>
      </c>
      <c r="B59" s="23"/>
      <c r="C59" s="23"/>
      <c r="D59" s="24">
        <f>November!D59+C59</f>
        <v>12885</v>
      </c>
    </row>
    <row r="60" spans="1:256" x14ac:dyDescent="0.2">
      <c r="A60" s="1" t="s">
        <v>57</v>
      </c>
      <c r="B60" s="23"/>
      <c r="C60" s="23"/>
      <c r="D60" s="24">
        <f>November!D60+C60</f>
        <v>2490</v>
      </c>
    </row>
    <row r="61" spans="1:256" x14ac:dyDescent="0.2">
      <c r="A61" s="1" t="s">
        <v>58</v>
      </c>
      <c r="B61" s="23"/>
      <c r="C61" s="23"/>
      <c r="D61" s="24">
        <f>November!D61+C61</f>
        <v>0</v>
      </c>
    </row>
    <row r="62" spans="1:256" x14ac:dyDescent="0.2">
      <c r="A62" s="1" t="s">
        <v>59</v>
      </c>
      <c r="B62" s="23"/>
      <c r="C62" s="23"/>
      <c r="D62" s="24">
        <f>November!D62+C62</f>
        <v>133245</v>
      </c>
    </row>
    <row r="63" spans="1:256" x14ac:dyDescent="0.2">
      <c r="A63" s="1" t="s">
        <v>65</v>
      </c>
      <c r="B63" s="23"/>
      <c r="C63" s="23"/>
      <c r="D63" s="24">
        <f>November!D63+C63</f>
        <v>75771</v>
      </c>
    </row>
    <row r="64" spans="1:256" x14ac:dyDescent="0.2">
      <c r="A64" s="1" t="s">
        <v>63</v>
      </c>
      <c r="B64" s="23"/>
      <c r="C64" s="23"/>
      <c r="D64" s="24">
        <f>November!D64+C64</f>
        <v>86209</v>
      </c>
    </row>
    <row r="65" spans="1:4" x14ac:dyDescent="0.2">
      <c r="A65" s="1" t="s">
        <v>60</v>
      </c>
      <c r="C65" s="23"/>
      <c r="D65" s="24">
        <f>November!D65+C65</f>
        <v>0</v>
      </c>
    </row>
    <row r="66" spans="1:4" x14ac:dyDescent="0.2">
      <c r="A66" s="1" t="s">
        <v>61</v>
      </c>
      <c r="C66" s="23"/>
      <c r="D66" s="24">
        <f>November!D66+C66</f>
        <v>36422</v>
      </c>
    </row>
    <row r="67" spans="1:4" x14ac:dyDescent="0.2">
      <c r="A67" s="1" t="s">
        <v>62</v>
      </c>
      <c r="C67" s="23"/>
      <c r="D67" s="24">
        <f>November!D67+C67</f>
        <v>2450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Normal="100" workbookViewId="0">
      <pane ySplit="6" topLeftCell="A37" activePane="bottomLeft" state="frozen"/>
      <selection pane="bottomLeft" activeCell="B55" sqref="B55"/>
    </sheetView>
  </sheetViews>
  <sheetFormatPr defaultColWidth="11.77734375" defaultRowHeight="15" x14ac:dyDescent="0.2"/>
  <cols>
    <col min="1" max="1" width="16.77734375" style="53" customWidth="1"/>
    <col min="2" max="4" width="13.6640625" style="49" customWidth="1"/>
    <col min="5" max="7" width="12.6640625" style="49" customWidth="1"/>
    <col min="8" max="16384" width="11.77734375" style="49"/>
  </cols>
  <sheetData>
    <row r="1" spans="1:256" ht="1.1499999999999999" customHeight="1" x14ac:dyDescent="0.25">
      <c r="I1" s="63"/>
    </row>
    <row r="2" spans="1:256" ht="23.25" x14ac:dyDescent="0.35">
      <c r="A2" s="3" t="s">
        <v>80</v>
      </c>
      <c r="B2" s="64"/>
      <c r="D2" s="64"/>
      <c r="F2" s="49" t="s">
        <v>67</v>
      </c>
      <c r="G2" s="41"/>
      <c r="I2" s="63"/>
    </row>
    <row r="3" spans="1:256" ht="12.95" customHeight="1" x14ac:dyDescent="0.25">
      <c r="F3" s="49" t="s">
        <v>79</v>
      </c>
      <c r="I3" s="63"/>
    </row>
    <row r="4" spans="1:256" ht="12.95" customHeight="1" thickBot="1" x14ac:dyDescent="0.3">
      <c r="E4" s="63"/>
      <c r="G4" s="63"/>
      <c r="I4" s="63"/>
    </row>
    <row r="5" spans="1:256" ht="21.2" customHeight="1" thickBot="1" x14ac:dyDescent="0.3">
      <c r="B5" s="66" t="s">
        <v>0</v>
      </c>
      <c r="C5" s="67"/>
      <c r="D5" s="68" t="s">
        <v>1</v>
      </c>
      <c r="E5" s="67"/>
      <c r="F5" s="68" t="s">
        <v>2</v>
      </c>
      <c r="G5" s="67"/>
    </row>
    <row r="6" spans="1:256" ht="16.5" thickBot="1" x14ac:dyDescent="0.25">
      <c r="A6" s="69" t="s">
        <v>3</v>
      </c>
      <c r="B6" s="70" t="s">
        <v>4</v>
      </c>
      <c r="C6" s="70" t="s">
        <v>5</v>
      </c>
      <c r="D6" s="70" t="s">
        <v>4</v>
      </c>
      <c r="E6" s="70" t="s">
        <v>5</v>
      </c>
      <c r="F6" s="70" t="s">
        <v>4</v>
      </c>
      <c r="G6" s="70" t="s">
        <v>5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pans="1:256" x14ac:dyDescent="0.2">
      <c r="A7" s="43" t="s">
        <v>6</v>
      </c>
      <c r="B7" s="79">
        <f>673+848+875+875+800+800+868+785+875+875</f>
        <v>8274</v>
      </c>
      <c r="C7" s="25">
        <f>January!C7+B7</f>
        <v>8274</v>
      </c>
      <c r="D7" s="81"/>
      <c r="E7" s="25">
        <f>January!E7+D7</f>
        <v>0</v>
      </c>
      <c r="F7" s="25"/>
      <c r="G7" s="25">
        <f>January!G7+F7</f>
        <v>0</v>
      </c>
    </row>
    <row r="8" spans="1:256" x14ac:dyDescent="0.2">
      <c r="A8" s="43" t="s">
        <v>64</v>
      </c>
      <c r="B8" s="79"/>
      <c r="C8" s="25">
        <f>January!C8+B8</f>
        <v>0</v>
      </c>
      <c r="D8" s="81">
        <f>2</f>
        <v>2</v>
      </c>
      <c r="E8" s="25">
        <f>January!E8+D8</f>
        <v>2</v>
      </c>
      <c r="F8" s="25"/>
      <c r="G8" s="25">
        <f>January!G8+F8</f>
        <v>0</v>
      </c>
    </row>
    <row r="9" spans="1:256" x14ac:dyDescent="0.2">
      <c r="A9" s="43" t="s">
        <v>7</v>
      </c>
      <c r="B9" s="79">
        <f>750+525+300+150+510+750+550+1050+1050+1050+594+456+1050+1050+1050+1050+420+630</f>
        <v>12985</v>
      </c>
      <c r="C9" s="25">
        <f>January!C9+B9</f>
        <v>32760</v>
      </c>
      <c r="D9" s="81"/>
      <c r="E9" s="25">
        <f>January!E9+D9</f>
        <v>0</v>
      </c>
      <c r="F9" s="25"/>
      <c r="G9" s="25">
        <f>January!G9+F9</f>
        <v>0</v>
      </c>
    </row>
    <row r="10" spans="1:256" x14ac:dyDescent="0.2">
      <c r="A10" s="43" t="s">
        <v>8</v>
      </c>
      <c r="B10" s="79"/>
      <c r="C10" s="25">
        <f>January!C10+B10</f>
        <v>0</v>
      </c>
      <c r="D10" s="81"/>
      <c r="E10" s="25">
        <f>January!E10+D10</f>
        <v>0</v>
      </c>
      <c r="F10" s="25"/>
      <c r="G10" s="25">
        <f>January!G10+F10</f>
        <v>0</v>
      </c>
    </row>
    <row r="11" spans="1:256" x14ac:dyDescent="0.2">
      <c r="A11" s="91" t="s">
        <v>52</v>
      </c>
      <c r="B11" s="79">
        <v>215498</v>
      </c>
      <c r="C11" s="25">
        <f>January!C11+B11</f>
        <v>496678</v>
      </c>
      <c r="D11" s="81">
        <v>1204</v>
      </c>
      <c r="E11" s="25">
        <f>January!E11+D11</f>
        <v>1614</v>
      </c>
      <c r="F11" s="25">
        <v>11455</v>
      </c>
      <c r="G11" s="25">
        <f>January!G11+F11</f>
        <v>23323</v>
      </c>
    </row>
    <row r="12" spans="1:256" x14ac:dyDescent="0.2">
      <c r="A12" s="43" t="s">
        <v>9</v>
      </c>
      <c r="B12" s="79">
        <f>1300+500+1500+1800+535+2335+1000+1335+1220+1115+2275+1080+1210+720+1570+2290+2290+1000+2350+2290+535+1800+2275+2275+1950+325+2335+2335+1220+1120+1120+1020+1120+2350+1310+1040+2350+2350+1950+2275+2275+2275+325+2450+2450+2350+2350+55274</f>
        <v>132519</v>
      </c>
      <c r="C12" s="25">
        <f>January!C12+B12</f>
        <v>249623</v>
      </c>
      <c r="D12" s="81"/>
      <c r="E12" s="25">
        <f>January!E12+D12</f>
        <v>0</v>
      </c>
      <c r="F12" s="25"/>
      <c r="G12" s="25">
        <f>January!G12+F12</f>
        <v>0</v>
      </c>
    </row>
    <row r="13" spans="1:256" x14ac:dyDescent="0.2">
      <c r="A13" s="43" t="s">
        <v>10</v>
      </c>
      <c r="B13" s="79"/>
      <c r="C13" s="25">
        <f>January!C13+B13</f>
        <v>0</v>
      </c>
      <c r="D13" s="81"/>
      <c r="E13" s="25">
        <f>January!E13+D13</f>
        <v>0</v>
      </c>
      <c r="F13" s="25"/>
      <c r="G13" s="25">
        <f>January!G13+F13</f>
        <v>0</v>
      </c>
    </row>
    <row r="14" spans="1:256" x14ac:dyDescent="0.2">
      <c r="A14" s="43" t="s">
        <v>11</v>
      </c>
      <c r="B14" s="79"/>
      <c r="C14" s="25">
        <f>January!C14+B14</f>
        <v>0</v>
      </c>
      <c r="D14" s="81"/>
      <c r="E14" s="25">
        <f>January!E14+D14</f>
        <v>0</v>
      </c>
      <c r="F14" s="25"/>
      <c r="G14" s="25">
        <f>January!G14+F14</f>
        <v>0</v>
      </c>
    </row>
    <row r="15" spans="1:256" x14ac:dyDescent="0.2">
      <c r="A15" s="43" t="s">
        <v>12</v>
      </c>
      <c r="B15" s="79"/>
      <c r="C15" s="25">
        <f>January!C15+B15</f>
        <v>0</v>
      </c>
      <c r="D15" s="81"/>
      <c r="E15" s="25">
        <f>January!E15+D15</f>
        <v>1</v>
      </c>
      <c r="F15" s="25"/>
      <c r="G15" s="25">
        <f>January!G15+F15</f>
        <v>0</v>
      </c>
    </row>
    <row r="16" spans="1:256" x14ac:dyDescent="0.2">
      <c r="A16" s="43" t="s">
        <v>13</v>
      </c>
      <c r="B16" s="79">
        <f>1100+1100</f>
        <v>2200</v>
      </c>
      <c r="C16" s="25">
        <f>January!C16+B16</f>
        <v>9350</v>
      </c>
      <c r="D16" s="81">
        <f>2</f>
        <v>2</v>
      </c>
      <c r="E16" s="25">
        <f>January!E16+D16</f>
        <v>2</v>
      </c>
      <c r="F16" s="25"/>
      <c r="G16" s="25">
        <f>January!G16+F16</f>
        <v>0</v>
      </c>
    </row>
    <row r="17" spans="1:7" x14ac:dyDescent="0.2">
      <c r="A17" s="43" t="s">
        <v>14</v>
      </c>
      <c r="B17" s="79"/>
      <c r="C17" s="25">
        <f>January!C17+B17</f>
        <v>1</v>
      </c>
      <c r="D17" s="81"/>
      <c r="E17" s="25">
        <f>January!E17+D17</f>
        <v>0</v>
      </c>
      <c r="F17" s="25"/>
      <c r="G17" s="25">
        <f>January!G17+F17</f>
        <v>0</v>
      </c>
    </row>
    <row r="18" spans="1:7" x14ac:dyDescent="0.2">
      <c r="A18" s="43" t="s">
        <v>15</v>
      </c>
      <c r="B18" s="79">
        <f>805+285+1242+265+355+370+435+265+265+435+450+1400+1400+776+550+550+250+235+280+1000+1425+900+950+930+734+930+733+733+1225+613+617+629+620+631+525+100+1225+635+634+435+623+781+1400+1380+1400+600+811+1400+1160+1250+1150+1225+900+1550+440+265+440+420+400+450+546+1090+696+621+720+440+210+265+1060+1070+1070+1070+930+265+435+729+1250+929+1300+625+729+729+425+425+265+450+265+445+265+1000+1000+1100+875+293974</f>
        <v>362150</v>
      </c>
      <c r="C18" s="25">
        <f>January!C18+B18</f>
        <v>773939</v>
      </c>
      <c r="D18" s="81">
        <v>2346</v>
      </c>
      <c r="E18" s="25">
        <f>January!E18+D18</f>
        <v>3860</v>
      </c>
      <c r="F18" s="25"/>
      <c r="G18" s="25">
        <f>January!G18+F18</f>
        <v>0</v>
      </c>
    </row>
    <row r="19" spans="1:7" x14ac:dyDescent="0.2">
      <c r="A19" s="43" t="s">
        <v>16</v>
      </c>
      <c r="B19" s="79">
        <v>26038</v>
      </c>
      <c r="C19" s="25">
        <f>January!C19+B19</f>
        <v>53822</v>
      </c>
      <c r="D19" s="81"/>
      <c r="E19" s="25">
        <f>January!E19+D19</f>
        <v>100</v>
      </c>
      <c r="F19" s="25"/>
      <c r="G19" s="25">
        <f>January!G19+F19</f>
        <v>0</v>
      </c>
    </row>
    <row r="20" spans="1:7" x14ac:dyDescent="0.2">
      <c r="A20" s="43" t="s">
        <v>17</v>
      </c>
      <c r="B20" s="79">
        <f>1725+2000+8328</f>
        <v>12053</v>
      </c>
      <c r="C20" s="25">
        <f>January!C20+B20</f>
        <v>52609</v>
      </c>
      <c r="D20" s="81">
        <v>850</v>
      </c>
      <c r="E20" s="25">
        <f>January!E20+D20</f>
        <v>1052</v>
      </c>
      <c r="F20" s="25"/>
      <c r="G20" s="25">
        <f>January!G20+F20</f>
        <v>0</v>
      </c>
    </row>
    <row r="21" spans="1:7" x14ac:dyDescent="0.2">
      <c r="A21" s="43" t="s">
        <v>18</v>
      </c>
      <c r="B21" s="79"/>
      <c r="C21" s="25">
        <f>January!C21+B21</f>
        <v>0</v>
      </c>
      <c r="D21" s="81">
        <f>13+5</f>
        <v>18</v>
      </c>
      <c r="E21" s="25">
        <f>January!E21+D21</f>
        <v>300</v>
      </c>
      <c r="F21" s="25"/>
      <c r="G21" s="25">
        <f>January!G21+F21</f>
        <v>0</v>
      </c>
    </row>
    <row r="22" spans="1:7" x14ac:dyDescent="0.2">
      <c r="A22" s="43" t="s">
        <v>19</v>
      </c>
      <c r="B22" s="79"/>
      <c r="C22" s="25">
        <f>January!C22+B22</f>
        <v>0</v>
      </c>
      <c r="D22" s="81"/>
      <c r="E22" s="25">
        <f>January!E22+D22</f>
        <v>0</v>
      </c>
      <c r="F22" s="25"/>
      <c r="G22" s="25">
        <f>January!G22+F22</f>
        <v>0</v>
      </c>
    </row>
    <row r="23" spans="1:7" x14ac:dyDescent="0.2">
      <c r="A23" s="43" t="s">
        <v>20</v>
      </c>
      <c r="B23" s="79"/>
      <c r="C23" s="25">
        <f>January!C23+B23</f>
        <v>0</v>
      </c>
      <c r="D23" s="81"/>
      <c r="E23" s="25">
        <f>January!E23+D23</f>
        <v>0</v>
      </c>
      <c r="F23" s="25"/>
      <c r="G23" s="25">
        <f>January!G23+F23</f>
        <v>0</v>
      </c>
    </row>
    <row r="24" spans="1:7" x14ac:dyDescent="0.2">
      <c r="A24" s="43" t="s">
        <v>21</v>
      </c>
      <c r="B24" s="79"/>
      <c r="C24" s="25">
        <f>January!C24+B24</f>
        <v>0</v>
      </c>
      <c r="D24" s="81"/>
      <c r="E24" s="25">
        <f>January!E24+D24</f>
        <v>0</v>
      </c>
      <c r="F24" s="25"/>
      <c r="G24" s="25">
        <f>January!G24+F24</f>
        <v>0</v>
      </c>
    </row>
    <row r="25" spans="1:7" x14ac:dyDescent="0.2">
      <c r="A25" s="43" t="s">
        <v>22</v>
      </c>
      <c r="B25" s="79"/>
      <c r="C25" s="25">
        <f>January!C25+B25</f>
        <v>0</v>
      </c>
      <c r="D25" s="81"/>
      <c r="E25" s="25">
        <f>January!E25+D25</f>
        <v>0</v>
      </c>
      <c r="F25" s="25"/>
      <c r="G25" s="25">
        <f>January!G25+F25</f>
        <v>0</v>
      </c>
    </row>
    <row r="26" spans="1:7" x14ac:dyDescent="0.2">
      <c r="A26" s="43" t="s">
        <v>23</v>
      </c>
      <c r="B26" s="79"/>
      <c r="C26" s="25">
        <f>January!C26+B26</f>
        <v>455</v>
      </c>
      <c r="D26" s="81">
        <v>610</v>
      </c>
      <c r="E26" s="25">
        <f>January!E26+D26</f>
        <v>1095</v>
      </c>
      <c r="F26" s="25"/>
      <c r="G26" s="25">
        <f>January!G26+F26</f>
        <v>0</v>
      </c>
    </row>
    <row r="27" spans="1:7" x14ac:dyDescent="0.2">
      <c r="A27" s="43" t="s">
        <v>24</v>
      </c>
      <c r="B27" s="79">
        <f>1500+450+1020+630+630+480+480+600+480+500+226+328+260+520+190+600+530+425+390+520+670+670+800+800+650+655+655+108+2400+425+80+220+360+4000+509+680+520+850+425+1100+260+1200+600+1240+425+410+600+600+500+655+525+1100+2060+2150+359+4400+2400+1960+2534+2034+2054+2054+980+420+1395+750+750+250+605+1604+1200+2200+2060+410+850+1404+404+855+855+1200+404+520+410+410+860+404+520+530+750+425+630+630+1100+600+260+520+425+425+850+1200+850+880+210+410+500+500+570+1680+655+255+655+120+617+1003+404+718+684+20+800+850+2080+750+750+680+680+650+390+404+404+1800+850+70+78+183+201+2400+2100+2100+700+680+404+2900+500+1900+96917</f>
        <v>220473</v>
      </c>
      <c r="C27" s="25">
        <f>January!C27+B27</f>
        <v>438034</v>
      </c>
      <c r="D27" s="81">
        <f>56+90+30+120</f>
        <v>296</v>
      </c>
      <c r="E27" s="25">
        <f>January!E27+D27</f>
        <v>2095</v>
      </c>
      <c r="F27" s="25"/>
      <c r="G27" s="25">
        <f>January!G27+F27</f>
        <v>0</v>
      </c>
    </row>
    <row r="28" spans="1:7" x14ac:dyDescent="0.2">
      <c r="A28" s="43" t="s">
        <v>25</v>
      </c>
      <c r="B28" s="79">
        <v>58500</v>
      </c>
      <c r="C28" s="25">
        <f>January!C28+B28</f>
        <v>123275</v>
      </c>
      <c r="D28" s="81"/>
      <c r="E28" s="25">
        <f>January!E28+D28</f>
        <v>0</v>
      </c>
      <c r="F28" s="25"/>
      <c r="G28" s="25">
        <f>January!G28+F28</f>
        <v>0</v>
      </c>
    </row>
    <row r="29" spans="1:7" x14ac:dyDescent="0.2">
      <c r="A29" s="43" t="s">
        <v>26</v>
      </c>
      <c r="B29" s="79">
        <f>5+501+2200+2080+4291+1260+1240+920+900+960+930+1200+514+514+514+205+423+629+610+330+2100+1100+1250+1250+309+1396+699+2097+620+206+1282+850+1160+1980+120+630+631+970+975+1800+650+970+580+900+1300+970+850+1820+990+850+1150+980+1330+900+580+980+650+2150+1300+900+1530+1950+900+1900+1150+1280+990+920+1150+1280+1300+1540+900+980+990+920+1800+1260+775+775+1500+900+765+1440+1440+1570+2+250+512+381+517+265+278+160952</f>
        <v>257513</v>
      </c>
      <c r="C29" s="25">
        <f>January!C29+B29</f>
        <v>588457</v>
      </c>
      <c r="D29" s="81">
        <f>4</f>
        <v>4</v>
      </c>
      <c r="E29" s="25">
        <f>January!E29+D29</f>
        <v>26</v>
      </c>
      <c r="F29" s="25"/>
      <c r="G29" s="25">
        <f>January!G29+F29</f>
        <v>44</v>
      </c>
    </row>
    <row r="30" spans="1:7" x14ac:dyDescent="0.2">
      <c r="A30" s="43" t="s">
        <v>27</v>
      </c>
      <c r="B30" s="79"/>
      <c r="C30" s="25">
        <f>January!C30+B30</f>
        <v>9000</v>
      </c>
      <c r="D30" s="81"/>
      <c r="E30" s="25">
        <f>January!E30+D30</f>
        <v>0</v>
      </c>
      <c r="F30" s="25"/>
      <c r="G30" s="25">
        <f>January!G30+F30</f>
        <v>0</v>
      </c>
    </row>
    <row r="31" spans="1:7" x14ac:dyDescent="0.2">
      <c r="A31" s="43" t="s">
        <v>28</v>
      </c>
      <c r="B31" s="79">
        <f>490+525+150+150+230+500+600+600+1200+40+800+900+1434+1354+1434+1434+1354+1301+1354+1200+1300+615+600+63+580+243+1301+1325+2+600+1301+1050+1325+1325+1325+60+60+600+600+790+750+750+490+450+550+760+470+760+515+96475</f>
        <v>134085</v>
      </c>
      <c r="C31" s="25">
        <f>January!C31+B31</f>
        <v>302287</v>
      </c>
      <c r="D31" s="81">
        <f>28+3+550+60+50+600+135+625+204+166+220+625+65+360+300+20+69+352+170+8+50+43+51+75+210+30+50+125+200+210+400+600+215+120+420+625+625+300+175+120+720+322+245+625+130</f>
        <v>11296</v>
      </c>
      <c r="E31" s="25">
        <f>January!E31+D31</f>
        <v>16564</v>
      </c>
      <c r="F31" s="25"/>
      <c r="G31" s="25">
        <f>January!G31+F31</f>
        <v>0</v>
      </c>
    </row>
    <row r="32" spans="1:7" x14ac:dyDescent="0.2">
      <c r="A32" s="43" t="s">
        <v>29</v>
      </c>
      <c r="B32" s="79"/>
      <c r="C32" s="25">
        <f>January!C32+B32</f>
        <v>0</v>
      </c>
      <c r="D32" s="81"/>
      <c r="E32" s="25">
        <f>January!E32+D32</f>
        <v>0</v>
      </c>
      <c r="F32" s="25"/>
      <c r="G32" s="25">
        <f>January!G32+F32</f>
        <v>0</v>
      </c>
    </row>
    <row r="33" spans="1:7" x14ac:dyDescent="0.2">
      <c r="A33" s="43" t="s">
        <v>30</v>
      </c>
      <c r="B33" s="79"/>
      <c r="C33" s="25">
        <f>January!C33+B33</f>
        <v>0</v>
      </c>
      <c r="D33" s="81"/>
      <c r="E33" s="25">
        <f>January!E33+D33</f>
        <v>0</v>
      </c>
      <c r="F33" s="25"/>
      <c r="G33" s="25">
        <f>January!G33+F33</f>
        <v>0</v>
      </c>
    </row>
    <row r="34" spans="1:7" x14ac:dyDescent="0.2">
      <c r="A34" s="43" t="s">
        <v>31</v>
      </c>
      <c r="B34" s="79"/>
      <c r="C34" s="25">
        <f>January!C34+B34</f>
        <v>0</v>
      </c>
      <c r="D34" s="81"/>
      <c r="E34" s="25">
        <f>January!E34+D34</f>
        <v>0</v>
      </c>
      <c r="F34" s="25"/>
      <c r="G34" s="25">
        <f>January!G34+F34</f>
        <v>0</v>
      </c>
    </row>
    <row r="35" spans="1:7" x14ac:dyDescent="0.2">
      <c r="A35" s="43" t="s">
        <v>32</v>
      </c>
      <c r="B35" s="79"/>
      <c r="C35" s="25">
        <f>January!C35+B35</f>
        <v>0</v>
      </c>
      <c r="D35" s="81"/>
      <c r="E35" s="25">
        <f>January!E35+D35</f>
        <v>0</v>
      </c>
      <c r="F35" s="25"/>
      <c r="G35" s="25">
        <f>January!G35+F35</f>
        <v>0</v>
      </c>
    </row>
    <row r="36" spans="1:7" x14ac:dyDescent="0.2">
      <c r="A36" s="43" t="s">
        <v>33</v>
      </c>
      <c r="B36" s="79"/>
      <c r="C36" s="25">
        <f>January!C36+B36</f>
        <v>0</v>
      </c>
      <c r="D36" s="81"/>
      <c r="E36" s="25">
        <f>January!E36+D36</f>
        <v>0</v>
      </c>
      <c r="F36" s="25"/>
      <c r="G36" s="25">
        <f>January!G36+F36</f>
        <v>0</v>
      </c>
    </row>
    <row r="37" spans="1:7" x14ac:dyDescent="0.2">
      <c r="A37" s="43" t="s">
        <v>34</v>
      </c>
      <c r="B37" s="79">
        <v>119486</v>
      </c>
      <c r="C37" s="25">
        <f>January!C37+B37</f>
        <v>228767</v>
      </c>
      <c r="D37" s="81"/>
      <c r="E37" s="25">
        <f>January!E37+D37</f>
        <v>0</v>
      </c>
      <c r="F37" s="25"/>
      <c r="G37" s="25">
        <f>January!G37+F37</f>
        <v>0</v>
      </c>
    </row>
    <row r="38" spans="1:7" x14ac:dyDescent="0.2">
      <c r="A38" s="43" t="s">
        <v>35</v>
      </c>
      <c r="B38" s="79">
        <f>294+700+898+2450+2350+625+625+625+625+3000+2200+2000+3000+2590+1200+1200+1000+2200+2225+1200+2400+1300+5000</f>
        <v>39707</v>
      </c>
      <c r="C38" s="25">
        <f>January!C38+B38</f>
        <v>74803</v>
      </c>
      <c r="D38" s="81">
        <f>175+450+170+560+255+300</f>
        <v>1910</v>
      </c>
      <c r="E38" s="25">
        <f>January!E38+D38</f>
        <v>3729</v>
      </c>
      <c r="F38" s="25"/>
      <c r="G38" s="25">
        <f>January!G38+F38</f>
        <v>0</v>
      </c>
    </row>
    <row r="39" spans="1:7" x14ac:dyDescent="0.2">
      <c r="A39" s="43" t="s">
        <v>36</v>
      </c>
      <c r="B39" s="79">
        <v>19715</v>
      </c>
      <c r="C39" s="25">
        <f>January!C39+B39</f>
        <v>32575</v>
      </c>
      <c r="D39" s="81">
        <v>1160</v>
      </c>
      <c r="E39" s="25">
        <f>January!E39+D39</f>
        <v>1920</v>
      </c>
      <c r="F39" s="25"/>
      <c r="G39" s="25">
        <f>January!G39+F39</f>
        <v>0</v>
      </c>
    </row>
    <row r="40" spans="1:7" x14ac:dyDescent="0.2">
      <c r="A40" s="43" t="s">
        <v>37</v>
      </c>
      <c r="B40" s="79">
        <f>1300+1300+1860+1675+1040+2160+1015+1281+1263+2160+1720+150+1650+1231+1860+2160+1200+1200+132399</f>
        <v>158624</v>
      </c>
      <c r="C40" s="25">
        <f>January!C40+B40</f>
        <v>391125</v>
      </c>
      <c r="D40" s="81">
        <v>2308</v>
      </c>
      <c r="E40" s="25">
        <f>January!E40+D40</f>
        <v>4316</v>
      </c>
      <c r="F40" s="25"/>
      <c r="G40" s="25">
        <f>January!G40+F40</f>
        <v>0</v>
      </c>
    </row>
    <row r="41" spans="1:7" x14ac:dyDescent="0.2">
      <c r="A41" s="43" t="s">
        <v>38</v>
      </c>
      <c r="B41" s="79"/>
      <c r="C41" s="25">
        <f>January!C41+B41</f>
        <v>0</v>
      </c>
      <c r="D41" s="81"/>
      <c r="E41" s="25">
        <f>January!E41+D41</f>
        <v>0</v>
      </c>
      <c r="F41" s="25"/>
      <c r="G41" s="25">
        <f>January!G41+F41</f>
        <v>0</v>
      </c>
    </row>
    <row r="42" spans="1:7" x14ac:dyDescent="0.2">
      <c r="A42" s="43" t="s">
        <v>39</v>
      </c>
      <c r="B42" s="79"/>
      <c r="C42" s="25">
        <f>January!C42+B42</f>
        <v>0</v>
      </c>
      <c r="D42" s="81">
        <f>1+344</f>
        <v>345</v>
      </c>
      <c r="E42" s="25">
        <f>January!E42+D42</f>
        <v>1715</v>
      </c>
      <c r="F42" s="25"/>
      <c r="G42" s="25">
        <f>January!G42+F42</f>
        <v>0</v>
      </c>
    </row>
    <row r="43" spans="1:7" x14ac:dyDescent="0.2">
      <c r="A43" s="43" t="s">
        <v>40</v>
      </c>
      <c r="B43" s="79"/>
      <c r="C43" s="25">
        <f>January!C43+B43</f>
        <v>0</v>
      </c>
      <c r="D43" s="81"/>
      <c r="E43" s="25">
        <f>January!E43+D43</f>
        <v>0</v>
      </c>
      <c r="F43" s="25"/>
      <c r="G43" s="25">
        <f>January!G43+F43</f>
        <v>0</v>
      </c>
    </row>
    <row r="44" spans="1:7" x14ac:dyDescent="0.2">
      <c r="A44" s="43" t="s">
        <v>41</v>
      </c>
      <c r="B44" s="79"/>
      <c r="C44" s="25">
        <f>January!C44+B44</f>
        <v>0</v>
      </c>
      <c r="D44" s="81"/>
      <c r="E44" s="25">
        <f>January!E44+D44</f>
        <v>0</v>
      </c>
      <c r="F44" s="25"/>
      <c r="G44" s="25">
        <f>January!G44+F44</f>
        <v>0</v>
      </c>
    </row>
    <row r="45" spans="1:7" x14ac:dyDescent="0.2">
      <c r="A45" s="43" t="s">
        <v>42</v>
      </c>
      <c r="B45" s="79">
        <f>1350+1350+1350+2056+2056+650+620+620+620+91+82+249+98+216+72+500+500+640+1200+350+650+650+600+700+525+27784</f>
        <v>45579</v>
      </c>
      <c r="C45" s="25">
        <f>January!C45+B45</f>
        <v>81361</v>
      </c>
      <c r="D45" s="81">
        <f>30+120+4+128+28+22+25+660</f>
        <v>1017</v>
      </c>
      <c r="E45" s="25">
        <f>January!E45+D45</f>
        <v>3549</v>
      </c>
      <c r="F45" s="25"/>
      <c r="G45" s="25">
        <f>January!G45+F45</f>
        <v>0</v>
      </c>
    </row>
    <row r="46" spans="1:7" x14ac:dyDescent="0.2">
      <c r="A46" s="43" t="s">
        <v>43</v>
      </c>
      <c r="B46" s="79"/>
      <c r="C46" s="25">
        <f>January!C46+B46</f>
        <v>0</v>
      </c>
      <c r="D46" s="81"/>
      <c r="E46" s="25">
        <f>January!E46+D46</f>
        <v>0</v>
      </c>
      <c r="F46" s="25"/>
      <c r="G46" s="25">
        <f>January!G46+F46</f>
        <v>0</v>
      </c>
    </row>
    <row r="47" spans="1:7" x14ac:dyDescent="0.2">
      <c r="A47" s="43" t="s">
        <v>44</v>
      </c>
      <c r="B47" s="79">
        <v>37309</v>
      </c>
      <c r="C47" s="25">
        <f>January!C47+B47</f>
        <v>109429</v>
      </c>
      <c r="D47" s="81">
        <f>9</f>
        <v>9</v>
      </c>
      <c r="E47" s="25">
        <f>January!E47+D47</f>
        <v>9</v>
      </c>
      <c r="F47" s="25"/>
      <c r="G47" s="25">
        <f>January!G47+F47</f>
        <v>0</v>
      </c>
    </row>
    <row r="48" spans="1:7" x14ac:dyDescent="0.2">
      <c r="A48" s="43" t="s">
        <v>45</v>
      </c>
      <c r="B48" s="79">
        <v>32150</v>
      </c>
      <c r="C48" s="25">
        <f>January!C48+B48</f>
        <v>61585</v>
      </c>
      <c r="D48" s="81"/>
      <c r="E48" s="25">
        <f>January!E48+D48</f>
        <v>0</v>
      </c>
      <c r="F48" s="25"/>
      <c r="G48" s="25">
        <f>January!G48+F48</f>
        <v>0</v>
      </c>
    </row>
    <row r="49" spans="1:256" x14ac:dyDescent="0.2">
      <c r="A49" s="43" t="s">
        <v>46</v>
      </c>
      <c r="B49" s="79"/>
      <c r="C49" s="25">
        <f>January!C49+B49</f>
        <v>0</v>
      </c>
      <c r="D49" s="81"/>
      <c r="E49" s="25">
        <f>January!E49+D49</f>
        <v>0</v>
      </c>
      <c r="F49" s="25"/>
      <c r="G49" s="25">
        <f>January!G49+F49</f>
        <v>0</v>
      </c>
    </row>
    <row r="50" spans="1:256" x14ac:dyDescent="0.2">
      <c r="A50" s="43" t="s">
        <v>47</v>
      </c>
      <c r="B50" s="79"/>
      <c r="C50" s="25">
        <f>January!C50+B50</f>
        <v>0</v>
      </c>
      <c r="D50" s="81"/>
      <c r="E50" s="25">
        <f>January!E50+D50</f>
        <v>0</v>
      </c>
      <c r="F50" s="25"/>
      <c r="G50" s="25">
        <f>January!G50+F50</f>
        <v>0</v>
      </c>
    </row>
    <row r="51" spans="1:256" x14ac:dyDescent="0.2">
      <c r="A51" s="43" t="s">
        <v>48</v>
      </c>
      <c r="B51" s="79"/>
      <c r="C51" s="25">
        <f>January!C51+B51</f>
        <v>0</v>
      </c>
      <c r="D51" s="81"/>
      <c r="E51" s="25">
        <f>January!E51+D51</f>
        <v>0</v>
      </c>
      <c r="F51" s="25"/>
      <c r="G51" s="25">
        <f>January!G51+F51</f>
        <v>0</v>
      </c>
    </row>
    <row r="52" spans="1:256" x14ac:dyDescent="0.2">
      <c r="A52" s="43" t="s">
        <v>49</v>
      </c>
      <c r="B52" s="79"/>
      <c r="C52" s="25">
        <f>January!C52+B52</f>
        <v>0</v>
      </c>
      <c r="D52" s="81"/>
      <c r="E52" s="25">
        <f>January!E52+D52</f>
        <v>0</v>
      </c>
      <c r="F52" s="25"/>
      <c r="G52" s="25">
        <f>January!G52+F52</f>
        <v>0</v>
      </c>
    </row>
    <row r="53" spans="1:256" x14ac:dyDescent="0.2">
      <c r="A53" s="43" t="s">
        <v>50</v>
      </c>
      <c r="B53" s="79">
        <f>508+25+2400+2500+1100+1200+2100+150+110+60+180+150+150+400+150+150+300+200+125+125+250+140+350+385+125+140+200+160+870</f>
        <v>14703</v>
      </c>
      <c r="C53" s="25">
        <f>January!C53+B53</f>
        <v>27655</v>
      </c>
      <c r="D53" s="81">
        <f>30</f>
        <v>30</v>
      </c>
      <c r="E53" s="25">
        <f>January!E53+D53</f>
        <v>44</v>
      </c>
      <c r="F53" s="25"/>
      <c r="G53" s="25">
        <f>January!G53+F53</f>
        <v>0</v>
      </c>
    </row>
    <row r="54" spans="1:256" ht="15.75" thickBot="1" x14ac:dyDescent="0.25">
      <c r="A54" s="43" t="s">
        <v>51</v>
      </c>
      <c r="B54" s="79">
        <f>1670+1690+1710+320+2040+16290</f>
        <v>23720</v>
      </c>
      <c r="C54" s="25">
        <f>January!C54+B54</f>
        <v>58415</v>
      </c>
      <c r="D54" s="81"/>
      <c r="E54" s="25">
        <f>January!E54+D54</f>
        <v>0</v>
      </c>
      <c r="F54" s="25"/>
      <c r="G54" s="25">
        <f>January!G54+F54</f>
        <v>0</v>
      </c>
    </row>
    <row r="55" spans="1:256" ht="26.1" customHeight="1" thickBot="1" x14ac:dyDescent="0.25">
      <c r="A55" s="75" t="s">
        <v>53</v>
      </c>
      <c r="B55" s="57">
        <f>SUM(B7:B54)</f>
        <v>1933281</v>
      </c>
      <c r="C55" s="57">
        <f>January!C55+B55</f>
        <v>4204279</v>
      </c>
      <c r="D55" s="57">
        <f>SUM(D7:D54)</f>
        <v>23407</v>
      </c>
      <c r="E55" s="57">
        <f>January!E55+D55</f>
        <v>41993</v>
      </c>
      <c r="F55" s="57">
        <f>SUM(F7:F54)</f>
        <v>11455</v>
      </c>
      <c r="G55" s="57">
        <f>January!G55+F55</f>
        <v>23367</v>
      </c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  <c r="IV55" s="73"/>
    </row>
    <row r="56" spans="1:256" ht="18" x14ac:dyDescent="0.25">
      <c r="A56" s="76"/>
      <c r="B56" s="48"/>
      <c r="C56" s="48"/>
      <c r="D56" s="48"/>
      <c r="E56" s="48"/>
    </row>
    <row r="57" spans="1:256" ht="16.5" thickBot="1" x14ac:dyDescent="0.3">
      <c r="A57" s="77" t="s">
        <v>54</v>
      </c>
      <c r="B57" s="48"/>
      <c r="C57" s="58" t="s">
        <v>4</v>
      </c>
      <c r="D57" s="59" t="s">
        <v>5</v>
      </c>
      <c r="E57" s="48"/>
    </row>
    <row r="58" spans="1:256" x14ac:dyDescent="0.2">
      <c r="A58" s="53" t="s">
        <v>55</v>
      </c>
      <c r="B58" s="54"/>
      <c r="C58" s="26">
        <v>100</v>
      </c>
      <c r="D58" s="55">
        <f>January!D58+C58</f>
        <v>200</v>
      </c>
      <c r="E58" s="48"/>
    </row>
    <row r="59" spans="1:256" x14ac:dyDescent="0.2">
      <c r="A59" s="53" t="s">
        <v>56</v>
      </c>
      <c r="B59" s="26"/>
      <c r="C59" s="26">
        <v>765</v>
      </c>
      <c r="D59" s="55">
        <f>January!D59+C59</f>
        <v>3495</v>
      </c>
    </row>
    <row r="60" spans="1:256" x14ac:dyDescent="0.2">
      <c r="A60" s="53" t="s">
        <v>57</v>
      </c>
      <c r="B60" s="26"/>
      <c r="C60" s="26">
        <v>920</v>
      </c>
      <c r="D60" s="55">
        <f>January!D60+C60</f>
        <v>1840</v>
      </c>
    </row>
    <row r="61" spans="1:256" x14ac:dyDescent="0.2">
      <c r="A61" s="53" t="s">
        <v>58</v>
      </c>
      <c r="B61" s="26"/>
      <c r="C61" s="26"/>
      <c r="D61" s="55">
        <f>January!D61+C61</f>
        <v>0</v>
      </c>
    </row>
    <row r="62" spans="1:256" x14ac:dyDescent="0.2">
      <c r="A62" s="53" t="s">
        <v>59</v>
      </c>
      <c r="B62" s="26"/>
      <c r="C62" s="26">
        <f>135+280+115+45+120+175+280+304+1082+2148+1400+615+565+350+1260+1440+1265+1210+120+115+135+331+45+175+280+96+20+175+8+15+205+8+10+8+15+12+96+96+18+8+80+10+26+110+280+135+110+45+175+280+120+175+120+320+45+135+115+280+180+50+24+650+276+400+1390+1225+1440+1235+204+1068+2104+220+785+735+1600+4+6925</f>
        <v>37856</v>
      </c>
      <c r="D62" s="55">
        <f>January!D62+C62</f>
        <v>64376</v>
      </c>
    </row>
    <row r="63" spans="1:256" x14ac:dyDescent="0.2">
      <c r="A63" s="53" t="s">
        <v>65</v>
      </c>
      <c r="B63" s="26"/>
      <c r="C63" s="26">
        <f>248+310+310+106+45+90+270+75+170+310+90+223+175+241+65+240+170+90+72+310+75+75+273+200+330+270+90+45+106+170+75+315+75+170+90+52+330+240+310+175+90+184+612+75+170+106+45+270+90+330+45+240+75+90+229+70+228+310+52+90+170+75+106+45+90+270+333+75+170+310</f>
        <v>12121</v>
      </c>
      <c r="D63" s="55">
        <f>January!D63+C63</f>
        <v>22356</v>
      </c>
    </row>
    <row r="64" spans="1:256" x14ac:dyDescent="0.2">
      <c r="A64" s="53" t="s">
        <v>63</v>
      </c>
      <c r="B64" s="26"/>
      <c r="C64" s="103">
        <f>100+70+140+80+320+140+170+70+240+250+120+180+170+72+130+80+110+85+75+72+40+70+140+350+120+180+130+72+101+110+70+140+280+120+140+170+85+75+72+40+80+245+70+57+40+38+7+195+70+65+15+175+70+35+35+46+22+58+180+40+98+22+245+70+57+77+8+175+70+35+38+7+175+90+70+85+40+95+2+42+58+50+120+80+245+70+57+40+37+8+195+135+7+175+8+70+80+36+190+70+80+22+58+72+40+85+75+70+140+280+120+160+170+185+135+70+140+70+250+320+170+405+155+72+130+115+110+72+70+75+70+140+80+385+180+170+120+170+170+70+130+350+180+200+440+85+35+25+75+240+175+38+7+130+370+205+190+38+7+175+35+80+35+70+180+185+80+245+70+80+70+80+40+80+70+110+80+10+56+140+80+65+175+15+180+85+82+275+230+175+35+260+15+245+70+97+150+135+200+320+140+290+140+170+70+250+140+320+170+355+75+72+115+140+190+370+170+172+120+72+85+85+70+285+70+140+258+270+130+120</f>
        <v>28259</v>
      </c>
      <c r="D64" s="55">
        <f>January!D64+C64</f>
        <v>43909</v>
      </c>
    </row>
    <row r="65" spans="1:4" x14ac:dyDescent="0.2">
      <c r="A65" s="53" t="s">
        <v>60</v>
      </c>
      <c r="C65" s="26"/>
      <c r="D65" s="55">
        <f>January!D65+C65</f>
        <v>0</v>
      </c>
    </row>
    <row r="66" spans="1:4" x14ac:dyDescent="0.2">
      <c r="A66" s="53" t="s">
        <v>61</v>
      </c>
      <c r="C66" s="26">
        <f>90+140+165+50+87+52+190+188+65+50+47+52+60+190+55+87+52+150+258+50+82+52+92+62+150+188+170+35+71+52+240+169+65+92+52+160+82+52+160+188+460</f>
        <v>4752</v>
      </c>
      <c r="D66" s="55">
        <f>January!D66+C66</f>
        <v>9801</v>
      </c>
    </row>
    <row r="67" spans="1:4" x14ac:dyDescent="0.2">
      <c r="A67" s="53" t="s">
        <v>62</v>
      </c>
      <c r="C67" s="26">
        <v>300</v>
      </c>
      <c r="D67" s="55">
        <f>January!D67+C67</f>
        <v>750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9"/>
  <sheetViews>
    <sheetView defaultGridColor="0" colorId="22" zoomScale="115" zoomScaleNormal="115" workbookViewId="0">
      <pane ySplit="6" topLeftCell="A7" activePane="bottomLeft" state="frozen"/>
      <selection pane="bottomLeft" activeCell="B11" sqref="B11"/>
    </sheetView>
  </sheetViews>
  <sheetFormatPr defaultColWidth="11.77734375" defaultRowHeight="15" x14ac:dyDescent="0.2"/>
  <cols>
    <col min="1" max="1" width="16.77734375" style="1" customWidth="1"/>
    <col min="2" max="2" width="13.6640625" customWidth="1"/>
    <col min="3" max="3" width="13.77734375" customWidth="1"/>
    <col min="4" max="4" width="13.88671875" customWidth="1"/>
    <col min="5" max="7" width="12.664062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68</v>
      </c>
      <c r="G2" s="41"/>
      <c r="I2" s="2"/>
    </row>
    <row r="3" spans="1:256" ht="15.75" x14ac:dyDescent="0.25">
      <c r="F3" s="49" t="s">
        <v>79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79">
        <f>670+851+902+902</f>
        <v>3325</v>
      </c>
      <c r="C7" s="25">
        <f>February!C7+B7</f>
        <v>11599</v>
      </c>
      <c r="D7" s="81"/>
      <c r="E7" s="25">
        <f>February!E7+D7</f>
        <v>0</v>
      </c>
      <c r="F7" s="25"/>
      <c r="G7" s="25">
        <f>February!G7+F7</f>
        <v>0</v>
      </c>
    </row>
    <row r="8" spans="1:256" x14ac:dyDescent="0.2">
      <c r="A8" s="11" t="s">
        <v>64</v>
      </c>
      <c r="B8" s="79"/>
      <c r="C8" s="25">
        <f>February!C8+B8</f>
        <v>0</v>
      </c>
      <c r="D8" s="81"/>
      <c r="E8" s="25">
        <f>February!E8+D8</f>
        <v>2</v>
      </c>
      <c r="F8" s="25"/>
      <c r="G8" s="25">
        <f>February!G8+F8</f>
        <v>0</v>
      </c>
    </row>
    <row r="9" spans="1:256" x14ac:dyDescent="0.2">
      <c r="A9" s="11" t="s">
        <v>7</v>
      </c>
      <c r="B9" s="79">
        <f>110+535+515+650+800+1050+1050+1050+400+650+1050+1050+1050+700+350+1050+540+540+200+800+650+550+700+510</f>
        <v>16550</v>
      </c>
      <c r="C9" s="25">
        <f>February!C9+B9</f>
        <v>49310</v>
      </c>
      <c r="D9" s="81">
        <f>3+1+1</f>
        <v>5</v>
      </c>
      <c r="E9" s="25">
        <f>February!E9+D9</f>
        <v>5</v>
      </c>
      <c r="F9" s="25"/>
      <c r="G9" s="25">
        <f>February!G9+F9</f>
        <v>0</v>
      </c>
    </row>
    <row r="10" spans="1:256" x14ac:dyDescent="0.2">
      <c r="A10" s="11" t="s">
        <v>8</v>
      </c>
      <c r="B10" s="79"/>
      <c r="C10" s="25">
        <f>February!C10+B10</f>
        <v>0</v>
      </c>
      <c r="D10" s="81"/>
      <c r="E10" s="25">
        <f>February!E10+D10</f>
        <v>0</v>
      </c>
      <c r="F10" s="25"/>
      <c r="G10" s="25">
        <f>February!G10+F10</f>
        <v>0</v>
      </c>
    </row>
    <row r="11" spans="1:256" x14ac:dyDescent="0.2">
      <c r="A11" s="92" t="s">
        <v>52</v>
      </c>
      <c r="B11" s="79">
        <v>210936</v>
      </c>
      <c r="C11" s="25">
        <f>February!C11+B11</f>
        <v>707614</v>
      </c>
      <c r="D11" s="81">
        <v>440</v>
      </c>
      <c r="E11" s="25">
        <f>February!E11+D11</f>
        <v>2054</v>
      </c>
      <c r="F11" s="25">
        <v>9544</v>
      </c>
      <c r="G11" s="25">
        <f>February!G11+F11</f>
        <v>32867</v>
      </c>
    </row>
    <row r="12" spans="1:256" x14ac:dyDescent="0.2">
      <c r="A12" s="11" t="s">
        <v>9</v>
      </c>
      <c r="B12" s="79">
        <f>1150+1150+1150+1150+600+1000+2350+2350+1050+1300+2350+1830+2425+2425+2425+595+1200+1200+3700+1200+2450+1500+950+2450+2450+2475+2475+845+2425+2425+1150+1150+1150+1150+2425+1700+725+51543</f>
        <v>114038</v>
      </c>
      <c r="C12" s="25">
        <f>February!C12+B12</f>
        <v>363661</v>
      </c>
      <c r="D12" s="81"/>
      <c r="E12" s="25">
        <f>February!E12+D12</f>
        <v>0</v>
      </c>
      <c r="F12" s="25"/>
      <c r="G12" s="25">
        <f>February!G12+F12</f>
        <v>0</v>
      </c>
    </row>
    <row r="13" spans="1:256" x14ac:dyDescent="0.2">
      <c r="A13" s="11" t="s">
        <v>10</v>
      </c>
      <c r="B13" s="79"/>
      <c r="C13" s="25">
        <f>February!C13+B13</f>
        <v>0</v>
      </c>
      <c r="D13" s="81"/>
      <c r="E13" s="25">
        <f>February!E13+D13</f>
        <v>0</v>
      </c>
      <c r="F13" s="25"/>
      <c r="G13" s="25">
        <f>February!G13+F13</f>
        <v>0</v>
      </c>
    </row>
    <row r="14" spans="1:256" x14ac:dyDescent="0.2">
      <c r="A14" s="11" t="s">
        <v>11</v>
      </c>
      <c r="B14" s="79"/>
      <c r="C14" s="25">
        <f>February!C14+B14</f>
        <v>0</v>
      </c>
      <c r="D14" s="81"/>
      <c r="E14" s="25">
        <f>February!E14+D14</f>
        <v>0</v>
      </c>
      <c r="F14" s="25"/>
      <c r="G14" s="25">
        <f>February!G14+F14</f>
        <v>0</v>
      </c>
    </row>
    <row r="15" spans="1:256" x14ac:dyDescent="0.2">
      <c r="A15" s="11" t="s">
        <v>12</v>
      </c>
      <c r="B15" s="79"/>
      <c r="C15" s="25">
        <f>February!C15+B15</f>
        <v>0</v>
      </c>
      <c r="D15" s="81"/>
      <c r="E15" s="25">
        <f>February!E15+D15</f>
        <v>1</v>
      </c>
      <c r="F15" s="25"/>
      <c r="G15" s="25">
        <f>February!G15+F15</f>
        <v>0</v>
      </c>
    </row>
    <row r="16" spans="1:256" x14ac:dyDescent="0.2">
      <c r="A16" s="11" t="s">
        <v>13</v>
      </c>
      <c r="B16" s="79">
        <f>1100+1100</f>
        <v>2200</v>
      </c>
      <c r="C16" s="25">
        <f>February!C16+B16</f>
        <v>11550</v>
      </c>
      <c r="D16" s="81"/>
      <c r="E16" s="25">
        <f>February!E16+D16</f>
        <v>2</v>
      </c>
      <c r="F16" s="25"/>
      <c r="G16" s="25">
        <f>February!G16+F16</f>
        <v>0</v>
      </c>
    </row>
    <row r="17" spans="1:7" x14ac:dyDescent="0.2">
      <c r="A17" s="11" t="s">
        <v>14</v>
      </c>
      <c r="B17" s="79"/>
      <c r="C17" s="25">
        <f>February!C17+B17</f>
        <v>1</v>
      </c>
      <c r="D17" s="81"/>
      <c r="E17" s="25">
        <f>February!E17+D17</f>
        <v>0</v>
      </c>
      <c r="F17" s="25"/>
      <c r="G17" s="25">
        <f>February!G17+F17</f>
        <v>0</v>
      </c>
    </row>
    <row r="18" spans="1:7" x14ac:dyDescent="0.2">
      <c r="A18" s="11" t="s">
        <v>15</v>
      </c>
      <c r="B18" s="79">
        <f>1225+1050+1100+400+1225+1225+550+550+1060+1060+840+840+840+646+645+537+537+1090+642+1090+1225+425+435+435+265+435+445+445+450+265+425+1300+1390+1260+265+265+435+846+600+1400+1050+1400+961+1400+1400+1200+1400+1400+1800+1200+1200+1075+1075+1075+1075+1400+320+709+320+1100+1100+1200+1550+1225+825+265+430+435+265+265+430+435+685+685+840+840+1060+840+703+1457+760+415+1236+978+620+125+420+420+310+435+1550+1400+100+1097+657+462+599+608+679+669+665+664+825+1400+1400+425+320+316960</f>
        <v>404457</v>
      </c>
      <c r="C18" s="25">
        <f>February!C18+B18</f>
        <v>1178396</v>
      </c>
      <c r="D18" s="81">
        <f>110+1056</f>
        <v>1166</v>
      </c>
      <c r="E18" s="25">
        <f>February!E18+D18</f>
        <v>5026</v>
      </c>
      <c r="F18" s="25"/>
      <c r="G18" s="25">
        <f>February!G18+F18</f>
        <v>0</v>
      </c>
    </row>
    <row r="19" spans="1:7" x14ac:dyDescent="0.2">
      <c r="A19" s="11" t="s">
        <v>16</v>
      </c>
      <c r="B19" s="79">
        <v>25418</v>
      </c>
      <c r="C19" s="25">
        <f>February!C19+B19</f>
        <v>79240</v>
      </c>
      <c r="D19" s="81">
        <v>9</v>
      </c>
      <c r="E19" s="25">
        <f>February!E19+D19</f>
        <v>109</v>
      </c>
      <c r="F19" s="25"/>
      <c r="G19" s="25">
        <f>February!G19+F19</f>
        <v>0</v>
      </c>
    </row>
    <row r="20" spans="1:7" x14ac:dyDescent="0.2">
      <c r="A20" s="11" t="s">
        <v>17</v>
      </c>
      <c r="B20" s="79">
        <f>1500+500+500+500+545+11381</f>
        <v>14926</v>
      </c>
      <c r="C20" s="25">
        <f>February!C20+B20</f>
        <v>67535</v>
      </c>
      <c r="D20" s="81">
        <v>160</v>
      </c>
      <c r="E20" s="25">
        <f>February!E20+D20</f>
        <v>1212</v>
      </c>
      <c r="F20" s="25"/>
      <c r="G20" s="25">
        <f>February!G20+F20</f>
        <v>0</v>
      </c>
    </row>
    <row r="21" spans="1:7" x14ac:dyDescent="0.2">
      <c r="A21" s="11" t="s">
        <v>18</v>
      </c>
      <c r="B21" s="79"/>
      <c r="C21" s="25">
        <f>February!C21+B21</f>
        <v>0</v>
      </c>
      <c r="D21" s="81">
        <f>24+10+19</f>
        <v>53</v>
      </c>
      <c r="E21" s="25">
        <f>February!E21+D21</f>
        <v>353</v>
      </c>
      <c r="F21" s="25"/>
      <c r="G21" s="25">
        <f>February!G21+F21</f>
        <v>0</v>
      </c>
    </row>
    <row r="22" spans="1:7" x14ac:dyDescent="0.2">
      <c r="A22" s="11" t="s">
        <v>19</v>
      </c>
      <c r="B22" s="79"/>
      <c r="C22" s="25">
        <f>February!C22+B22</f>
        <v>0</v>
      </c>
      <c r="D22" s="81"/>
      <c r="E22" s="25">
        <f>February!E22+D22</f>
        <v>0</v>
      </c>
      <c r="F22" s="25"/>
      <c r="G22" s="25">
        <f>February!G22+F22</f>
        <v>0</v>
      </c>
    </row>
    <row r="23" spans="1:7" x14ac:dyDescent="0.2">
      <c r="A23" s="11" t="s">
        <v>20</v>
      </c>
      <c r="B23" s="79"/>
      <c r="C23" s="25">
        <f>February!C23+B23</f>
        <v>0</v>
      </c>
      <c r="D23" s="81"/>
      <c r="E23" s="25">
        <f>February!E23+D23</f>
        <v>0</v>
      </c>
      <c r="F23" s="25"/>
      <c r="G23" s="25">
        <f>February!G23+F23</f>
        <v>0</v>
      </c>
    </row>
    <row r="24" spans="1:7" x14ac:dyDescent="0.2">
      <c r="A24" s="11" t="s">
        <v>21</v>
      </c>
      <c r="B24" s="79"/>
      <c r="C24" s="25">
        <f>February!C24+B24</f>
        <v>0</v>
      </c>
      <c r="D24" s="81"/>
      <c r="E24" s="25">
        <f>February!E24+D24</f>
        <v>0</v>
      </c>
      <c r="F24" s="25"/>
      <c r="G24" s="25">
        <f>February!G24+F24</f>
        <v>0</v>
      </c>
    </row>
    <row r="25" spans="1:7" x14ac:dyDescent="0.2">
      <c r="A25" s="11" t="s">
        <v>22</v>
      </c>
      <c r="B25" s="79"/>
      <c r="C25" s="25">
        <f>February!C25+B25</f>
        <v>0</v>
      </c>
      <c r="D25" s="81"/>
      <c r="E25" s="25">
        <f>February!E25+D25</f>
        <v>0</v>
      </c>
      <c r="F25" s="25"/>
      <c r="G25" s="25">
        <f>February!G25+F25</f>
        <v>0</v>
      </c>
    </row>
    <row r="26" spans="1:7" x14ac:dyDescent="0.2">
      <c r="A26" s="11" t="s">
        <v>23</v>
      </c>
      <c r="B26" s="79">
        <v>895</v>
      </c>
      <c r="C26" s="25">
        <f>February!C26+B26</f>
        <v>1350</v>
      </c>
      <c r="D26" s="81">
        <f>5+3+3127</f>
        <v>3135</v>
      </c>
      <c r="E26" s="25">
        <f>February!E26+D26</f>
        <v>4230</v>
      </c>
      <c r="F26" s="25"/>
      <c r="G26" s="25">
        <f>February!G26+F26</f>
        <v>0</v>
      </c>
    </row>
    <row r="27" spans="1:7" x14ac:dyDescent="0.2">
      <c r="A27" s="11" t="s">
        <v>24</v>
      </c>
      <c r="B27" s="79">
        <f>80+289+305+289+850+2000+1900+180+2250+2250+2056+2055+2055+350+380+310+4000+850+500+106+350+310+360+850+850+65+500+120+450+450+647+47+644+550+850+1275+1100+520+665+1275+450+1515+116+2100+850+850+350+600+2028+210+340+8+160+33+627+425+11+124053</f>
        <v>169659</v>
      </c>
      <c r="C27" s="25">
        <f>February!C27+B27</f>
        <v>607693</v>
      </c>
      <c r="D27" s="81">
        <f>212+212+665</f>
        <v>1089</v>
      </c>
      <c r="E27" s="25">
        <f>February!E27+D27</f>
        <v>3184</v>
      </c>
      <c r="F27" s="25"/>
      <c r="G27" s="25">
        <f>February!G27+F27</f>
        <v>0</v>
      </c>
    </row>
    <row r="28" spans="1:7" x14ac:dyDescent="0.2">
      <c r="A28" s="11" t="s">
        <v>25</v>
      </c>
      <c r="B28" s="79">
        <v>51995</v>
      </c>
      <c r="C28" s="25">
        <f>February!C28+B28</f>
        <v>175270</v>
      </c>
      <c r="D28" s="81"/>
      <c r="E28" s="25">
        <f>February!E28+D28</f>
        <v>0</v>
      </c>
      <c r="F28" s="25"/>
      <c r="G28" s="25">
        <f>February!G28+F28</f>
        <v>0</v>
      </c>
    </row>
    <row r="29" spans="1:7" x14ac:dyDescent="0.2">
      <c r="A29" s="11" t="s">
        <v>26</v>
      </c>
      <c r="B29" s="79">
        <f>1090+1275+2159+1372+160+4560+2221+1805+1335+528+534+534+534+533+150+288+150+170+2545+2320+1310+1160+676+676+678+1280+652+347+653+307+3156+353+800+1600+607+1212+1459+730+1459+589+1178+1169+1170+1085+345+750+668+667+440+589+786+2800+700+700+650+495+960+900+605+950+900+865+2149+1500+950+960+1197+825+900+1198+1125+1500+1200+1800+1200+1800+1600+1500+900+1500+920+1240+600+825+920+1550+800+855+1500+1550+800+1425+2480+2500+925+1925+1000+2400+1325+685+1250+2411+160+2201+701+626+2423+360+589+1320+1372+2058+760+760+680+680+667+663+1326+1268+633+1263+665+760+1582+320+1755+760+525+1280+750+376+570+1850+1214+1514+4603+600+300+208724</f>
        <v>365687</v>
      </c>
      <c r="C29" s="25">
        <f>February!C29+B29</f>
        <v>954144</v>
      </c>
      <c r="D29" s="81">
        <f>6+3+5+16+16+209</f>
        <v>255</v>
      </c>
      <c r="E29" s="25">
        <f>February!E29+D29</f>
        <v>281</v>
      </c>
      <c r="F29" s="25"/>
      <c r="G29" s="25">
        <f>February!G29+F29</f>
        <v>44</v>
      </c>
    </row>
    <row r="30" spans="1:7" x14ac:dyDescent="0.2">
      <c r="A30" s="11" t="s">
        <v>27</v>
      </c>
      <c r="B30" s="79">
        <f>600+500+850+1350+800+550+1350+850+2200</f>
        <v>9050</v>
      </c>
      <c r="C30" s="25">
        <f>February!C30+B30</f>
        <v>18050</v>
      </c>
      <c r="D30" s="81"/>
      <c r="E30" s="25">
        <f>February!E30+D30</f>
        <v>0</v>
      </c>
      <c r="F30" s="25"/>
      <c r="G30" s="25">
        <f>February!G30+F30</f>
        <v>0</v>
      </c>
    </row>
    <row r="31" spans="1:7" x14ac:dyDescent="0.2">
      <c r="A31" s="11" t="s">
        <v>28</v>
      </c>
      <c r="B31" s="79">
        <f>600+36+11+40+625+160+160+600+600+760+490+400+600+625+600+950+1379+2250+1379+550+1395+1395+500+1395+1379+160+90+1140+200+600+600+600+450+1400+700+1400+700+700+700+435+1350+465+480+600+2500+600+1050+490+600+835+600+625+300+54+16+40+24+630+580+648+98113</f>
        <v>139354</v>
      </c>
      <c r="C31" s="25">
        <f>February!C31+B31</f>
        <v>441641</v>
      </c>
      <c r="D31" s="81">
        <f>120+400+3+625+2+6+25+54+26+39+625+22+400+850+220+400+625+165+215+221+33+30+45+45+155+5+3</f>
        <v>5359</v>
      </c>
      <c r="E31" s="25">
        <f>February!E31+D31</f>
        <v>21923</v>
      </c>
      <c r="F31" s="25"/>
      <c r="G31" s="25">
        <f>February!G31+F31</f>
        <v>0</v>
      </c>
    </row>
    <row r="32" spans="1:7" x14ac:dyDescent="0.2">
      <c r="A32" s="11" t="s">
        <v>29</v>
      </c>
      <c r="B32" s="79"/>
      <c r="C32" s="25">
        <f>February!C32+B32</f>
        <v>0</v>
      </c>
      <c r="D32" s="81"/>
      <c r="E32" s="25">
        <f>February!E32+D32</f>
        <v>0</v>
      </c>
      <c r="F32" s="25"/>
      <c r="G32" s="25">
        <f>February!G32+F32</f>
        <v>0</v>
      </c>
    </row>
    <row r="33" spans="1:7" x14ac:dyDescent="0.2">
      <c r="A33" s="11" t="s">
        <v>30</v>
      </c>
      <c r="B33" s="79"/>
      <c r="C33" s="25">
        <f>February!C33+B33</f>
        <v>0</v>
      </c>
      <c r="D33" s="81"/>
      <c r="E33" s="25">
        <f>February!E33+D33</f>
        <v>0</v>
      </c>
      <c r="F33" s="25"/>
      <c r="G33" s="25">
        <f>February!G33+F33</f>
        <v>0</v>
      </c>
    </row>
    <row r="34" spans="1:7" x14ac:dyDescent="0.2">
      <c r="A34" s="11" t="s">
        <v>31</v>
      </c>
      <c r="B34" s="79"/>
      <c r="C34" s="25">
        <f>February!C34+B34</f>
        <v>0</v>
      </c>
      <c r="D34" s="81"/>
      <c r="E34" s="25">
        <f>February!E34+D34</f>
        <v>0</v>
      </c>
      <c r="F34" s="25"/>
      <c r="G34" s="25">
        <f>February!G34+F34</f>
        <v>0</v>
      </c>
    </row>
    <row r="35" spans="1:7" x14ac:dyDescent="0.2">
      <c r="A35" s="11" t="s">
        <v>32</v>
      </c>
      <c r="B35" s="79"/>
      <c r="C35" s="25">
        <f>February!C35+B35</f>
        <v>0</v>
      </c>
      <c r="D35" s="81"/>
      <c r="E35" s="25">
        <f>February!E35+D35</f>
        <v>0</v>
      </c>
      <c r="F35" s="25"/>
      <c r="G35" s="25">
        <f>February!G35+F35</f>
        <v>0</v>
      </c>
    </row>
    <row r="36" spans="1:7" x14ac:dyDescent="0.2">
      <c r="A36" s="11" t="s">
        <v>33</v>
      </c>
      <c r="B36" s="79"/>
      <c r="C36" s="25">
        <f>February!C36+B36</f>
        <v>0</v>
      </c>
      <c r="D36" s="81"/>
      <c r="E36" s="25">
        <f>February!E36+D36</f>
        <v>0</v>
      </c>
      <c r="F36" s="25"/>
      <c r="G36" s="25">
        <f>February!G36+F36</f>
        <v>0</v>
      </c>
    </row>
    <row r="37" spans="1:7" x14ac:dyDescent="0.2">
      <c r="A37" s="11" t="s">
        <v>34</v>
      </c>
      <c r="B37" s="79">
        <v>10575</v>
      </c>
      <c r="C37" s="25">
        <f>February!C37+B37</f>
        <v>239342</v>
      </c>
      <c r="D37" s="81"/>
      <c r="E37" s="25">
        <f>February!E37+D37</f>
        <v>0</v>
      </c>
      <c r="F37" s="25"/>
      <c r="G37" s="25">
        <f>February!G37+F37</f>
        <v>0</v>
      </c>
    </row>
    <row r="38" spans="1:7" x14ac:dyDescent="0.2">
      <c r="A38" s="11" t="s">
        <v>35</v>
      </c>
      <c r="B38" s="79">
        <f>1250+1250+1200+1000+1225+1225+1250+1250+1225+1225+2200+1200+1000+2500+1500+1300+1200+1200+1100+7500</f>
        <v>32800</v>
      </c>
      <c r="C38" s="25">
        <f>February!C38+B38</f>
        <v>107603</v>
      </c>
      <c r="D38" s="81"/>
      <c r="E38" s="25">
        <f>February!E38+D38</f>
        <v>3729</v>
      </c>
      <c r="F38" s="25"/>
      <c r="G38" s="25">
        <f>February!G38+F38</f>
        <v>0</v>
      </c>
    </row>
    <row r="39" spans="1:7" x14ac:dyDescent="0.2">
      <c r="A39" s="11" t="s">
        <v>36</v>
      </c>
      <c r="B39" s="79">
        <v>10550</v>
      </c>
      <c r="C39" s="25">
        <f>February!C39+B39</f>
        <v>43125</v>
      </c>
      <c r="D39" s="81">
        <v>179</v>
      </c>
      <c r="E39" s="25">
        <f>February!E39+D39</f>
        <v>2099</v>
      </c>
      <c r="F39" s="25"/>
      <c r="G39" s="25">
        <f>February!G39+F39</f>
        <v>0</v>
      </c>
    </row>
    <row r="40" spans="1:7" x14ac:dyDescent="0.2">
      <c r="A40" s="11" t="s">
        <v>37</v>
      </c>
      <c r="B40" s="79">
        <f>600+1200+1200+1200+600+1200+600+600+1625+500+1198+1713+2160+2160+1860+1620+840+272+2160+2000+1880+2160+2160+1300+2160+1040+1673+1950+900+600+600+600+600+1950+1250+2160+2160+1820+1620+2160+1265+1070+2160+1620+128198</f>
        <v>190364</v>
      </c>
      <c r="C40" s="25">
        <f>February!C40+B40</f>
        <v>581489</v>
      </c>
      <c r="D40" s="81">
        <f>1+2210</f>
        <v>2211</v>
      </c>
      <c r="E40" s="25">
        <f>February!E40+D40</f>
        <v>6527</v>
      </c>
      <c r="F40" s="25"/>
      <c r="G40" s="25">
        <f>February!G40+F40</f>
        <v>0</v>
      </c>
    </row>
    <row r="41" spans="1:7" x14ac:dyDescent="0.2">
      <c r="A41" s="11" t="s">
        <v>38</v>
      </c>
      <c r="B41" s="79"/>
      <c r="C41" s="25">
        <f>February!C41+B41</f>
        <v>0</v>
      </c>
      <c r="D41" s="81"/>
      <c r="E41" s="25">
        <f>February!E41+D41</f>
        <v>0</v>
      </c>
      <c r="F41" s="25"/>
      <c r="G41" s="25">
        <f>February!G41+F41</f>
        <v>0</v>
      </c>
    </row>
    <row r="42" spans="1:7" x14ac:dyDescent="0.2">
      <c r="A42" s="11" t="s">
        <v>39</v>
      </c>
      <c r="B42" s="79"/>
      <c r="C42" s="25">
        <f>February!C42+B42</f>
        <v>0</v>
      </c>
      <c r="D42" s="81">
        <v>664</v>
      </c>
      <c r="E42" s="25">
        <f>February!E42+D42</f>
        <v>2379</v>
      </c>
      <c r="F42" s="25"/>
      <c r="G42" s="25">
        <f>February!G42+F42</f>
        <v>0</v>
      </c>
    </row>
    <row r="43" spans="1:7" x14ac:dyDescent="0.2">
      <c r="A43" s="11" t="s">
        <v>40</v>
      </c>
      <c r="B43" s="79"/>
      <c r="C43" s="25">
        <f>February!C43+B43</f>
        <v>0</v>
      </c>
      <c r="D43" s="81"/>
      <c r="E43" s="25">
        <f>February!E43+D43</f>
        <v>0</v>
      </c>
      <c r="F43" s="25"/>
      <c r="G43" s="25">
        <f>February!G43+F43</f>
        <v>0</v>
      </c>
    </row>
    <row r="44" spans="1:7" x14ac:dyDescent="0.2">
      <c r="A44" s="11" t="s">
        <v>41</v>
      </c>
      <c r="B44" s="79"/>
      <c r="C44" s="25">
        <f>February!C44+B44</f>
        <v>0</v>
      </c>
      <c r="D44" s="81"/>
      <c r="E44" s="25">
        <f>February!E44+D44</f>
        <v>0</v>
      </c>
      <c r="F44" s="25"/>
      <c r="G44" s="25">
        <f>February!G44+F44</f>
        <v>0</v>
      </c>
    </row>
    <row r="45" spans="1:7" x14ac:dyDescent="0.2">
      <c r="A45" s="11" t="s">
        <v>42</v>
      </c>
      <c r="B45" s="79">
        <f>1350+640+1350+525+625+625+140+140+280+140+60+1350+620+620+600+1250+56295</f>
        <v>66610</v>
      </c>
      <c r="C45" s="25">
        <f>February!C45+B45</f>
        <v>147971</v>
      </c>
      <c r="D45" s="81">
        <f>1+475</f>
        <v>476</v>
      </c>
      <c r="E45" s="25">
        <f>February!E45+D45</f>
        <v>4025</v>
      </c>
      <c r="F45" s="25"/>
      <c r="G45" s="25">
        <f>February!G45+F45</f>
        <v>0</v>
      </c>
    </row>
    <row r="46" spans="1:7" x14ac:dyDescent="0.2">
      <c r="A46" s="11" t="s">
        <v>43</v>
      </c>
      <c r="B46" s="79">
        <v>21</v>
      </c>
      <c r="C46" s="25">
        <f>February!C46+B46</f>
        <v>21</v>
      </c>
      <c r="D46" s="81"/>
      <c r="E46" s="25">
        <f>February!E46+D46</f>
        <v>0</v>
      </c>
      <c r="F46" s="25"/>
      <c r="G46" s="25">
        <f>February!G46+F46</f>
        <v>0</v>
      </c>
    </row>
    <row r="47" spans="1:7" x14ac:dyDescent="0.2">
      <c r="A47" s="11" t="s">
        <v>44</v>
      </c>
      <c r="B47" s="79">
        <v>84266</v>
      </c>
      <c r="C47" s="25">
        <f>February!C47+B47</f>
        <v>193695</v>
      </c>
      <c r="D47" s="81">
        <f>2</f>
        <v>2</v>
      </c>
      <c r="E47" s="25">
        <f>February!E47+D47</f>
        <v>11</v>
      </c>
      <c r="F47" s="25"/>
      <c r="G47" s="25">
        <f>February!G47+F47</f>
        <v>0</v>
      </c>
    </row>
    <row r="48" spans="1:7" x14ac:dyDescent="0.2">
      <c r="A48" s="11" t="s">
        <v>45</v>
      </c>
      <c r="B48" s="79">
        <v>31000</v>
      </c>
      <c r="C48" s="25">
        <f>February!C48+B48</f>
        <v>92585</v>
      </c>
      <c r="D48" s="81"/>
      <c r="E48" s="25">
        <f>February!E48+D48</f>
        <v>0</v>
      </c>
      <c r="F48" s="25"/>
      <c r="G48" s="25">
        <f>February!G48+F48</f>
        <v>0</v>
      </c>
    </row>
    <row r="49" spans="1:256" x14ac:dyDescent="0.2">
      <c r="A49" s="11" t="s">
        <v>46</v>
      </c>
      <c r="B49" s="79"/>
      <c r="C49" s="25">
        <f>February!C49+B49</f>
        <v>0</v>
      </c>
      <c r="D49" s="81"/>
      <c r="E49" s="25">
        <f>February!E49+D49</f>
        <v>0</v>
      </c>
      <c r="F49" s="25"/>
      <c r="G49" s="25">
        <f>February!G49+F49</f>
        <v>0</v>
      </c>
    </row>
    <row r="50" spans="1:256" x14ac:dyDescent="0.2">
      <c r="A50" s="11" t="s">
        <v>47</v>
      </c>
      <c r="B50" s="79"/>
      <c r="C50" s="25">
        <f>February!C50+B50</f>
        <v>0</v>
      </c>
      <c r="D50" s="81"/>
      <c r="E50" s="25">
        <f>February!E50+D50</f>
        <v>0</v>
      </c>
      <c r="F50" s="25"/>
      <c r="G50" s="25">
        <f>February!G50+F50</f>
        <v>0</v>
      </c>
    </row>
    <row r="51" spans="1:256" x14ac:dyDescent="0.2">
      <c r="A51" s="11" t="s">
        <v>48</v>
      </c>
      <c r="B51" s="79"/>
      <c r="C51" s="25">
        <f>February!C51+B51</f>
        <v>0</v>
      </c>
      <c r="D51" s="81"/>
      <c r="E51" s="25">
        <f>February!E51+D51</f>
        <v>0</v>
      </c>
      <c r="F51" s="25"/>
      <c r="G51" s="25">
        <f>February!G51+F51</f>
        <v>0</v>
      </c>
    </row>
    <row r="52" spans="1:256" x14ac:dyDescent="0.2">
      <c r="A52" s="11" t="s">
        <v>49</v>
      </c>
      <c r="B52" s="79"/>
      <c r="C52" s="25">
        <f>February!C52+B52</f>
        <v>0</v>
      </c>
      <c r="D52" s="81"/>
      <c r="E52" s="25">
        <f>February!E52+D52</f>
        <v>0</v>
      </c>
      <c r="F52" s="25"/>
      <c r="G52" s="25">
        <f>February!G52+F52</f>
        <v>0</v>
      </c>
    </row>
    <row r="53" spans="1:256" x14ac:dyDescent="0.2">
      <c r="A53" s="11" t="s">
        <v>50</v>
      </c>
      <c r="B53" s="79">
        <f>120+500+450+700+1000+250+120+150+225+125+975+975+37+1100+2500+900+400+14+250+450+300+1050+850+60+500+350+90+190+90+240+200+280+660</f>
        <v>16101</v>
      </c>
      <c r="C53" s="25">
        <f>February!C53+B53</f>
        <v>43756</v>
      </c>
      <c r="D53" s="81"/>
      <c r="E53" s="25">
        <f>February!E53+D53</f>
        <v>44</v>
      </c>
      <c r="F53" s="25"/>
      <c r="G53" s="25">
        <f>February!G53+F53</f>
        <v>0</v>
      </c>
    </row>
    <row r="54" spans="1:256" ht="15.75" thickBot="1" x14ac:dyDescent="0.25">
      <c r="A54" s="11" t="s">
        <v>51</v>
      </c>
      <c r="B54" s="79">
        <f>2360+1760+2360+598+19185</f>
        <v>26263</v>
      </c>
      <c r="C54" s="25">
        <f>February!C54+B54</f>
        <v>84678</v>
      </c>
      <c r="D54" s="81"/>
      <c r="E54" s="25">
        <f>February!E54+D54</f>
        <v>0</v>
      </c>
      <c r="F54" s="25"/>
      <c r="G54" s="25">
        <f>February!G54+F54</f>
        <v>0</v>
      </c>
    </row>
    <row r="55" spans="1:256" ht="26.1" customHeight="1" thickBot="1" x14ac:dyDescent="0.25">
      <c r="A55" s="14" t="s">
        <v>53</v>
      </c>
      <c r="B55" s="57">
        <f>SUM(B7:B54)</f>
        <v>1997040</v>
      </c>
      <c r="C55" s="57">
        <f>February!C55+B55</f>
        <v>6201319</v>
      </c>
      <c r="D55" s="57">
        <f>SUM(D7:D54)</f>
        <v>15203</v>
      </c>
      <c r="E55" s="57">
        <f>February!E55+D55</f>
        <v>57196</v>
      </c>
      <c r="F55" s="15">
        <f>SUM(F7:F54)</f>
        <v>9544</v>
      </c>
      <c r="G55" s="15">
        <f>February!G55+F55</f>
        <v>32911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48"/>
      <c r="C56" s="48"/>
      <c r="D56" s="48"/>
      <c r="E56" s="48"/>
    </row>
    <row r="57" spans="1:256" ht="16.5" thickBot="1" x14ac:dyDescent="0.3">
      <c r="A57" s="19" t="s">
        <v>54</v>
      </c>
      <c r="B57" s="48"/>
      <c r="C57" s="58" t="s">
        <v>4</v>
      </c>
      <c r="D57" s="59" t="s">
        <v>5</v>
      </c>
      <c r="E57" s="48"/>
    </row>
    <row r="58" spans="1:256" x14ac:dyDescent="0.2">
      <c r="A58" s="1" t="s">
        <v>55</v>
      </c>
      <c r="B58" s="54"/>
      <c r="C58" s="26">
        <v>100</v>
      </c>
      <c r="D58" s="55">
        <f>February!D58+C58</f>
        <v>300</v>
      </c>
      <c r="E58" s="48"/>
    </row>
    <row r="59" spans="1:256" x14ac:dyDescent="0.2">
      <c r="A59" s="1" t="s">
        <v>56</v>
      </c>
      <c r="B59" s="26"/>
      <c r="C59" s="26">
        <v>2450</v>
      </c>
      <c r="D59" s="55">
        <f>February!D59+C59</f>
        <v>5945</v>
      </c>
      <c r="E59" s="49"/>
    </row>
    <row r="60" spans="1:256" x14ac:dyDescent="0.2">
      <c r="A60" s="1" t="s">
        <v>57</v>
      </c>
      <c r="B60" s="26"/>
      <c r="C60" s="26">
        <v>650</v>
      </c>
      <c r="D60" s="55">
        <f>February!D60+C60</f>
        <v>2490</v>
      </c>
      <c r="E60" s="49"/>
    </row>
    <row r="61" spans="1:256" ht="15.75" x14ac:dyDescent="0.25">
      <c r="A61" s="1" t="s">
        <v>58</v>
      </c>
      <c r="B61" s="26"/>
      <c r="C61" s="56"/>
      <c r="D61" s="55">
        <f>February!D61+C61</f>
        <v>0</v>
      </c>
      <c r="E61" s="49"/>
    </row>
    <row r="62" spans="1:256" x14ac:dyDescent="0.2">
      <c r="A62" s="1" t="s">
        <v>59</v>
      </c>
      <c r="B62" s="26"/>
      <c r="C62" s="26">
        <f>115+175+280+120+45+110+220+135+175+280+120+45+280+135+111+30+10+208+175+24+46+15+114+12+15+8+100+88+2104+1600+780+795+280+180+690+55+1068+204+280+175+120+45+115+135+280+8540</f>
        <v>20637</v>
      </c>
      <c r="D62" s="55">
        <f>February!D62+C62</f>
        <v>85013</v>
      </c>
      <c r="E62" s="49"/>
    </row>
    <row r="63" spans="1:256" x14ac:dyDescent="0.2">
      <c r="A63" s="1" t="s">
        <v>65</v>
      </c>
      <c r="B63" s="26"/>
      <c r="C63" s="26">
        <f>339+330+45+240+75+170+90+52+275+35+170+106+45+90+270+330+216+75+245+20+75+170+90+52+45+240+87+90+175+298+52+124+45+240+75+90+290+295+377+345+275+75+170+106+90+270+190+310+295+75+43+106+90+270+90+275+175+35+384+75+170+45+260+330+155+310+190+128+175+90+52+275+106+45+90+270+275+170+72+90+25+326+310+75+290+90+624+120+275+75+190+240+45+35+640+170+75+275+450+106</f>
        <v>17606</v>
      </c>
      <c r="D63" s="55">
        <f>February!D63+C63</f>
        <v>39962</v>
      </c>
      <c r="E63" s="49"/>
    </row>
    <row r="64" spans="1:256" x14ac:dyDescent="0.2">
      <c r="A64" s="1" t="s">
        <v>63</v>
      </c>
      <c r="B64" s="26"/>
      <c r="C64" s="26">
        <f>70+80+230+15+150+130+38+7+175+152+70+140+142+70+38+7+175+120+77+8+175+35+70+140+80+50+120+35+260+37+8+35+48+70+190+70+80+70+130+230+15+37+34+57+40+85+60+240+72+175+85+95+140+80+35+70+16+145+158+22+160+90+37+8+70+85+58+22+245+70+57+40+175+72+115+285+85+260+170+185+130+172+50+570+170+455+170+140+72+250+165+180+170+405+170+250+225+320+170+405+170+130+85+370+140+170+185+180+150+200+140+440+320+275+75+170+34+60+40</f>
        <v>15750</v>
      </c>
      <c r="D64" s="55">
        <f>February!D64+C64</f>
        <v>59659</v>
      </c>
      <c r="E64" s="49"/>
    </row>
    <row r="65" spans="1:5" x14ac:dyDescent="0.2">
      <c r="A65" s="1" t="s">
        <v>60</v>
      </c>
      <c r="B65" s="49"/>
      <c r="C65" s="26"/>
      <c r="D65" s="55">
        <f>February!D65+C65</f>
        <v>0</v>
      </c>
      <c r="E65" s="49"/>
    </row>
    <row r="66" spans="1:5" x14ac:dyDescent="0.2">
      <c r="A66" s="1" t="s">
        <v>61</v>
      </c>
      <c r="B66" s="49"/>
      <c r="C66" s="26">
        <f>62+87+61+188+182+92+340+188+71+70+48+52+130+140+161+80+92+67+120+90+140+120+9587+67+120+188+35+57+67+90+140+70+92+67+13+188+230+60+87+67+100+280+70+85+67+170+188+90+78+67+822</f>
        <v>15823</v>
      </c>
      <c r="D66" s="55">
        <f>February!D66+C66</f>
        <v>25624</v>
      </c>
      <c r="E66" s="49"/>
    </row>
    <row r="67" spans="1:5" x14ac:dyDescent="0.2">
      <c r="A67" s="1" t="s">
        <v>62</v>
      </c>
      <c r="B67" s="49"/>
      <c r="C67" s="26">
        <v>300</v>
      </c>
      <c r="D67" s="55">
        <f>February!D67+C67</f>
        <v>1050</v>
      </c>
      <c r="E67" s="49"/>
    </row>
    <row r="68" spans="1:5" x14ac:dyDescent="0.2">
      <c r="B68" s="49"/>
      <c r="C68" s="49"/>
      <c r="D68" s="49"/>
      <c r="E68" s="49"/>
    </row>
    <row r="69" spans="1:5" x14ac:dyDescent="0.2">
      <c r="B69" s="49"/>
      <c r="C69" s="49"/>
      <c r="D69" s="49"/>
      <c r="E69" s="49"/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  <ignoredErrors>
    <ignoredError sqref="C55 E5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115" zoomScaleNormal="115" workbookViewId="0">
      <pane ySplit="6" topLeftCell="A28" activePane="bottomLeft" state="frozen"/>
      <selection pane="bottomLeft" activeCell="B45" sqref="B45"/>
    </sheetView>
  </sheetViews>
  <sheetFormatPr defaultColWidth="11.77734375" defaultRowHeight="15" x14ac:dyDescent="0.2"/>
  <cols>
    <col min="1" max="1" width="16.77734375" style="1" customWidth="1"/>
    <col min="2" max="4" width="13.77734375" customWidth="1"/>
    <col min="5" max="5" width="12.77734375" customWidth="1"/>
    <col min="6" max="7" width="12.664062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s="42" t="s">
        <v>69</v>
      </c>
      <c r="G2" s="41"/>
      <c r="I2" s="2"/>
    </row>
    <row r="3" spans="1:256" ht="15.75" customHeight="1" x14ac:dyDescent="0.25">
      <c r="F3" s="49" t="s">
        <v>79</v>
      </c>
      <c r="I3" s="2"/>
    </row>
    <row r="4" spans="1:256" ht="15" customHeight="1" thickBot="1" x14ac:dyDescent="0.3">
      <c r="E4" s="2"/>
      <c r="G4" s="39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/>
      <c r="C7" s="12">
        <f>March!C7+B7</f>
        <v>11599</v>
      </c>
      <c r="D7" s="84"/>
      <c r="E7" s="12">
        <f>March!E7+D7</f>
        <v>0</v>
      </c>
      <c r="F7" s="12"/>
      <c r="G7" s="12">
        <f>March!G7+F7</f>
        <v>0</v>
      </c>
    </row>
    <row r="8" spans="1:256" x14ac:dyDescent="0.2">
      <c r="A8" s="11" t="s">
        <v>64</v>
      </c>
      <c r="B8" s="82"/>
      <c r="C8" s="12">
        <f>March!C8+B8</f>
        <v>0</v>
      </c>
      <c r="D8" s="84"/>
      <c r="E8" s="12">
        <f>March!E8+D8</f>
        <v>2</v>
      </c>
      <c r="F8" s="12"/>
      <c r="G8" s="12">
        <f>March!G8+F8</f>
        <v>0</v>
      </c>
    </row>
    <row r="9" spans="1:256" x14ac:dyDescent="0.2">
      <c r="A9" s="11" t="s">
        <v>7</v>
      </c>
      <c r="B9" s="82">
        <f>750+550+625+515+700+550+540+600+585+280+1050+1050+120+930+1050+520+530+1050+1050+1050+770+550+2456+2535+570</f>
        <v>20976</v>
      </c>
      <c r="C9" s="12">
        <f>March!C9+B9</f>
        <v>70286</v>
      </c>
      <c r="D9" s="84">
        <f>1</f>
        <v>1</v>
      </c>
      <c r="E9" s="12">
        <f>March!E9+D9</f>
        <v>6</v>
      </c>
      <c r="F9" s="12"/>
      <c r="G9" s="12">
        <f>March!G9+F9</f>
        <v>0</v>
      </c>
    </row>
    <row r="10" spans="1:256" x14ac:dyDescent="0.2">
      <c r="A10" s="11" t="s">
        <v>8</v>
      </c>
      <c r="B10" s="82"/>
      <c r="C10" s="12">
        <f>March!C10+B10</f>
        <v>0</v>
      </c>
      <c r="D10" s="84"/>
      <c r="E10" s="12">
        <f>March!E10+D10</f>
        <v>0</v>
      </c>
      <c r="F10" s="12"/>
      <c r="G10" s="12">
        <f>March!G10+F10</f>
        <v>0</v>
      </c>
    </row>
    <row r="11" spans="1:256" x14ac:dyDescent="0.2">
      <c r="A11" s="100" t="s">
        <v>52</v>
      </c>
      <c r="B11" s="82">
        <v>219275</v>
      </c>
      <c r="C11" s="12">
        <f>March!C11+B11</f>
        <v>926889</v>
      </c>
      <c r="D11" s="84">
        <v>382</v>
      </c>
      <c r="E11" s="12">
        <f>March!E11+D11</f>
        <v>2436</v>
      </c>
      <c r="F11" s="38">
        <v>12531</v>
      </c>
      <c r="G11" s="12">
        <f>March!G11+F11</f>
        <v>45398</v>
      </c>
    </row>
    <row r="12" spans="1:256" x14ac:dyDescent="0.2">
      <c r="A12" s="11" t="s">
        <v>9</v>
      </c>
      <c r="B12" s="83">
        <f>2150+325+2475+2475+2475+325+2150+1100+1100+2400+2400+2400+2400+600+1400+2475+1075+2475+1750+725+950+950+950+950+2050+450+9+66413</f>
        <v>107397</v>
      </c>
      <c r="C12" s="12">
        <f>March!C12+B12</f>
        <v>471058</v>
      </c>
      <c r="D12" s="84"/>
      <c r="E12" s="12">
        <f>March!E12+D12</f>
        <v>0</v>
      </c>
      <c r="F12" s="12"/>
      <c r="G12" s="12">
        <f>March!G12+F12</f>
        <v>0</v>
      </c>
    </row>
    <row r="13" spans="1:256" x14ac:dyDescent="0.2">
      <c r="A13" s="11" t="s">
        <v>10</v>
      </c>
      <c r="B13" s="82"/>
      <c r="C13" s="12">
        <f>March!C13+B13</f>
        <v>0</v>
      </c>
      <c r="D13" s="84"/>
      <c r="E13" s="12">
        <f>March!E13+D13</f>
        <v>0</v>
      </c>
      <c r="F13" s="12"/>
      <c r="G13" s="12">
        <f>March!G13+F13</f>
        <v>0</v>
      </c>
    </row>
    <row r="14" spans="1:256" x14ac:dyDescent="0.2">
      <c r="A14" s="11" t="s">
        <v>11</v>
      </c>
      <c r="B14" s="82"/>
      <c r="C14" s="12">
        <f>March!C14+B14</f>
        <v>0</v>
      </c>
      <c r="D14" s="84"/>
      <c r="E14" s="12">
        <f>March!E14+D14</f>
        <v>0</v>
      </c>
      <c r="F14" s="12"/>
      <c r="G14" s="12">
        <f>March!G14+F14</f>
        <v>0</v>
      </c>
    </row>
    <row r="15" spans="1:256" x14ac:dyDescent="0.2">
      <c r="A15" s="11" t="s">
        <v>12</v>
      </c>
      <c r="B15" s="82"/>
      <c r="C15" s="12">
        <f>March!C15+B15</f>
        <v>0</v>
      </c>
      <c r="D15" s="84"/>
      <c r="E15" s="12">
        <f>March!E15+D15</f>
        <v>1</v>
      </c>
      <c r="F15" s="12"/>
      <c r="G15" s="12">
        <f>March!G15+F15</f>
        <v>0</v>
      </c>
    </row>
    <row r="16" spans="1:256" x14ac:dyDescent="0.2">
      <c r="A16" s="11" t="s">
        <v>13</v>
      </c>
      <c r="B16" s="82">
        <f>1000</f>
        <v>1000</v>
      </c>
      <c r="C16" s="12">
        <f>March!C16+B16</f>
        <v>12550</v>
      </c>
      <c r="D16" s="84"/>
      <c r="E16" s="12">
        <f>March!E16+D16</f>
        <v>2</v>
      </c>
      <c r="F16" s="12"/>
      <c r="G16" s="12">
        <f>March!G16+F16</f>
        <v>0</v>
      </c>
    </row>
    <row r="17" spans="1:7" x14ac:dyDescent="0.2">
      <c r="A17" s="11" t="s">
        <v>14</v>
      </c>
      <c r="B17" s="82"/>
      <c r="C17" s="12">
        <f>March!C17+B17</f>
        <v>1</v>
      </c>
      <c r="D17" s="84"/>
      <c r="E17" s="12">
        <f>March!E17+D17</f>
        <v>0</v>
      </c>
      <c r="F17" s="12"/>
      <c r="G17" s="12">
        <f>March!G17+F17</f>
        <v>0</v>
      </c>
    </row>
    <row r="18" spans="1:7" x14ac:dyDescent="0.2">
      <c r="A18" s="11" t="s">
        <v>15</v>
      </c>
      <c r="B18" s="83">
        <f>793+791+791+978+1378+1060+1060+700+750+500+500+1000+265+265+400+265+415+265+420+10+1000+1000+2200+1300+400+800+1200+102+1000+2100+1060+1060+1225+267+794+24+1060+1060+1060+1350+1060+1500+420+430+267+410+200+500+267+420+630+617+626+632+830+757+757+1140+570+792+700+1450+1550+425+425+430+267+430+267+1350+430+267+267+425+420+700+900+1050+550+1100+900+1000+1000+1220+1180+1180+1180+1180+820+320+1450+1450+1250+650+850+620+620+425+650+1060+1060+1060+1060+1060+632+1500+320+2400+816+1060+1060+1060+395+1060+623+621+1225+1060+1225+620+800+1600+1500+320+816+1400+413838</f>
        <v>518092</v>
      </c>
      <c r="C18" s="12">
        <f>March!C18+B18</f>
        <v>1696488</v>
      </c>
      <c r="D18" s="85">
        <f>120+110+120+210+120+200+120+191+2+50+120+3303</f>
        <v>4666</v>
      </c>
      <c r="E18" s="12">
        <f>March!E18+D18</f>
        <v>9692</v>
      </c>
      <c r="F18" s="12"/>
      <c r="G18" s="12">
        <f>March!G18+F18</f>
        <v>0</v>
      </c>
    </row>
    <row r="19" spans="1:7" x14ac:dyDescent="0.2">
      <c r="A19" s="11" t="s">
        <v>16</v>
      </c>
      <c r="B19" s="83">
        <v>33261</v>
      </c>
      <c r="C19" s="12">
        <f>March!C19+B19</f>
        <v>112501</v>
      </c>
      <c r="D19" s="85">
        <f>10+50+19+8+21+50+8+12+3+1+12+3+2+2+2+1+1+38</f>
        <v>243</v>
      </c>
      <c r="E19" s="12">
        <f>March!E19+D19</f>
        <v>352</v>
      </c>
      <c r="F19" s="12"/>
      <c r="G19" s="12">
        <f>March!G19+F19</f>
        <v>0</v>
      </c>
    </row>
    <row r="20" spans="1:7" x14ac:dyDescent="0.2">
      <c r="A20" s="11" t="s">
        <v>17</v>
      </c>
      <c r="B20" s="83">
        <f>2000+1250+1000+340+1770+1580+2000+1400+351+190+1775+1425+11295</f>
        <v>26376</v>
      </c>
      <c r="C20" s="12">
        <f>March!C20+B20</f>
        <v>93911</v>
      </c>
      <c r="D20" s="85">
        <f>6+560</f>
        <v>566</v>
      </c>
      <c r="E20" s="12">
        <f>March!E20+D20</f>
        <v>1778</v>
      </c>
      <c r="F20" s="12"/>
      <c r="G20" s="12">
        <f>March!G20+F20</f>
        <v>0</v>
      </c>
    </row>
    <row r="21" spans="1:7" x14ac:dyDescent="0.2">
      <c r="A21" s="11" t="s">
        <v>18</v>
      </c>
      <c r="B21" s="82"/>
      <c r="C21" s="12">
        <f>March!C21+B21</f>
        <v>0</v>
      </c>
      <c r="D21" s="85">
        <f>6+200+10+266+149+60</f>
        <v>691</v>
      </c>
      <c r="E21" s="12">
        <f>March!E21+D21</f>
        <v>1044</v>
      </c>
      <c r="F21" s="12"/>
      <c r="G21" s="12">
        <f>March!G21+F21</f>
        <v>0</v>
      </c>
    </row>
    <row r="22" spans="1:7" x14ac:dyDescent="0.2">
      <c r="A22" s="11" t="s">
        <v>19</v>
      </c>
      <c r="B22" s="82"/>
      <c r="C22" s="12">
        <f>March!C22+B22</f>
        <v>0</v>
      </c>
      <c r="D22" s="84"/>
      <c r="E22" s="12">
        <f>March!E22+D22</f>
        <v>0</v>
      </c>
      <c r="F22" s="12"/>
      <c r="G22" s="12">
        <f>March!G22+F22</f>
        <v>0</v>
      </c>
    </row>
    <row r="23" spans="1:7" x14ac:dyDescent="0.2">
      <c r="A23" s="11" t="s">
        <v>20</v>
      </c>
      <c r="B23" s="82"/>
      <c r="C23" s="12">
        <f>March!C23+B23</f>
        <v>0</v>
      </c>
      <c r="D23" s="84"/>
      <c r="E23" s="12">
        <f>March!E23+D23</f>
        <v>0</v>
      </c>
      <c r="F23" s="12"/>
      <c r="G23" s="12">
        <f>March!G23+F23</f>
        <v>0</v>
      </c>
    </row>
    <row r="24" spans="1:7" x14ac:dyDescent="0.2">
      <c r="A24" s="11" t="s">
        <v>21</v>
      </c>
      <c r="B24" s="82"/>
      <c r="C24" s="12">
        <f>March!C24+B24</f>
        <v>0</v>
      </c>
      <c r="D24" s="84"/>
      <c r="E24" s="12">
        <f>March!E24+D24</f>
        <v>0</v>
      </c>
      <c r="F24" s="12"/>
      <c r="G24" s="12">
        <f>March!G24+F24</f>
        <v>0</v>
      </c>
    </row>
    <row r="25" spans="1:7" x14ac:dyDescent="0.2">
      <c r="A25" s="11" t="s">
        <v>22</v>
      </c>
      <c r="B25" s="82"/>
      <c r="C25" s="12">
        <f>March!C25+B25</f>
        <v>0</v>
      </c>
      <c r="D25" s="84"/>
      <c r="E25" s="12">
        <f>March!E25+D25</f>
        <v>0</v>
      </c>
      <c r="F25" s="12"/>
      <c r="G25" s="12">
        <f>March!G25+F25</f>
        <v>0</v>
      </c>
    </row>
    <row r="26" spans="1:7" x14ac:dyDescent="0.2">
      <c r="A26" s="11" t="s">
        <v>23</v>
      </c>
      <c r="B26" s="82">
        <v>550</v>
      </c>
      <c r="C26" s="12">
        <f>March!C26+B26</f>
        <v>1900</v>
      </c>
      <c r="D26" s="84">
        <f>9+5+400</f>
        <v>414</v>
      </c>
      <c r="E26" s="12">
        <f>March!E26+D26</f>
        <v>4644</v>
      </c>
      <c r="F26" s="12"/>
      <c r="G26" s="12">
        <f>March!G26+F26</f>
        <v>0</v>
      </c>
    </row>
    <row r="27" spans="1:7" x14ac:dyDescent="0.2">
      <c r="A27" s="11" t="s">
        <v>24</v>
      </c>
      <c r="B27" s="83">
        <f>850+450+2500+1650+290+620+680+420+480+600+1130+520+650+650+665+665+340+210+3150+1060+1020+265+1050+1800+260+850+250+350+339+380+2028+2028+600+230+16+16+490+800+1228+1504+2450+74+1544+2056+2000+250+650+650+410+146+404+404+400+4112+400+665+665+528+396+560+700+465+410+600+600+600+680+680+315+385+180+180+1000+1050+850+850+850+644+45+308+12+650+650+404+850+600+3000+650+680+600+550+120+274+3235+2400+600+925+700+580+1960+650+1960+628+30+329+14+404+345+680+650+600+600+650+650+530+450+340+210+550+2400+2400+555+500+700+270+255+500+525+500+960+180+850+140+850+367+347+5+1017+1+109151</f>
        <v>215423</v>
      </c>
      <c r="C27" s="12">
        <f>March!C27+B27</f>
        <v>823116</v>
      </c>
      <c r="D27" s="85">
        <f>212+8+340+1168</f>
        <v>1728</v>
      </c>
      <c r="E27" s="12">
        <f>March!E27+D27</f>
        <v>4912</v>
      </c>
      <c r="F27" s="12"/>
      <c r="G27" s="12">
        <f>March!G27+F27</f>
        <v>0</v>
      </c>
    </row>
    <row r="28" spans="1:7" x14ac:dyDescent="0.2">
      <c r="A28" s="11" t="s">
        <v>25</v>
      </c>
      <c r="B28" s="82">
        <v>70775</v>
      </c>
      <c r="C28" s="12">
        <f>March!C28+B28</f>
        <v>246045</v>
      </c>
      <c r="D28" s="84"/>
      <c r="E28" s="12">
        <f>March!E28+D28</f>
        <v>0</v>
      </c>
      <c r="F28" s="12"/>
      <c r="G28" s="12">
        <f>March!G28+F28</f>
        <v>0</v>
      </c>
    </row>
    <row r="29" spans="1:7" x14ac:dyDescent="0.2">
      <c r="A29" s="11" t="s">
        <v>26</v>
      </c>
      <c r="B29" s="83">
        <f>400+740+250+700+602+751+697+696+600+1370+2055+448+751+751+1052+572+572+1120+1200+2356+2572+1482+373+571+751+1500+700+700+700+2578+1707+2280+2700+960+900+1270+1280+1200+1810+1280+960+840+680+1280+1180+970+970+1220+900+177+1120+1280+1220+960+915+960+1220+2200+1280+1220+900+1570+786+368+1482+1824+800+920+900+800+920+1500+1200+190+840+960+610+12+615+392+615+223+615+1191+432+623+623+1244+2340+652+653+228+530+720+1200+1325+2650+1425+1250+1334+1400+700+2280+2700+1707+3325+571+571+147+1813+567+751+421+757+1220+1220+814+1626+1520+171+768+336+1536+1073+1300+660+1365+247+1500+1143+297+668+1483+816+1183+900+2467+568+568+768+768+138+1320+827+574+1536+611+630+37+768+1222+777+633+676+676+676+370+300+300+1000+1150+2100+768+314+698+2500+1100+1100+1250+80+1209+1370+2663+1410+1340+1585+323+1272+1265+186053</f>
        <v>371327</v>
      </c>
      <c r="C29" s="12">
        <f>March!C29+B29</f>
        <v>1325471</v>
      </c>
      <c r="D29" s="84">
        <f>5+177</f>
        <v>182</v>
      </c>
      <c r="E29" s="12">
        <f>March!E29+D29</f>
        <v>463</v>
      </c>
      <c r="F29" s="12">
        <f>7+5+6</f>
        <v>18</v>
      </c>
      <c r="G29" s="12">
        <f>March!G29+F29</f>
        <v>62</v>
      </c>
    </row>
    <row r="30" spans="1:7" x14ac:dyDescent="0.2">
      <c r="A30" s="11" t="s">
        <v>27</v>
      </c>
      <c r="B30" s="82">
        <f>340+1280+1000+1020+320+1350+1100</f>
        <v>6410</v>
      </c>
      <c r="C30" s="12">
        <f>March!C30+B30</f>
        <v>24460</v>
      </c>
      <c r="D30" s="84"/>
      <c r="E30" s="12">
        <f>March!E30+D30</f>
        <v>0</v>
      </c>
      <c r="F30" s="12"/>
      <c r="G30" s="12">
        <f>March!G30+F30</f>
        <v>0</v>
      </c>
    </row>
    <row r="31" spans="1:7" x14ac:dyDescent="0.2">
      <c r="A31" s="11" t="s">
        <v>28</v>
      </c>
      <c r="B31" s="82">
        <f>500+700+700+40+490+1600+2082+1082+1082+1000+900+600+600+1137+600+1137+1137+1325+1200+85+160+1000+185+600+620+325+300+490+600+900+525+1000+575+200+1000+900+1750+700+600+750+750+490+600+750+900+1025+1250+630+6+1600+950+8+8+525+138046</f>
        <v>178715</v>
      </c>
      <c r="C31" s="12">
        <f>March!C31+B31</f>
        <v>620356</v>
      </c>
      <c r="D31" s="84">
        <f>8+30+25+46+224+33+525+625+325+525+725+400+130+20+65+60+650+400+50+40+210+3+103+450+1250+525+2+5+3+22+8</f>
        <v>7487</v>
      </c>
      <c r="E31" s="12">
        <f>March!E31+D31</f>
        <v>29410</v>
      </c>
      <c r="F31" s="12"/>
      <c r="G31" s="12">
        <f>March!G31+F31</f>
        <v>0</v>
      </c>
    </row>
    <row r="32" spans="1:7" x14ac:dyDescent="0.2">
      <c r="A32" s="11" t="s">
        <v>29</v>
      </c>
      <c r="B32" s="82"/>
      <c r="C32" s="12">
        <f>March!C32+B32</f>
        <v>0</v>
      </c>
      <c r="D32" s="84"/>
      <c r="E32" s="12">
        <f>March!E32+D32</f>
        <v>0</v>
      </c>
      <c r="F32" s="12"/>
      <c r="G32" s="12">
        <f>March!G32+F32</f>
        <v>0</v>
      </c>
    </row>
    <row r="33" spans="1:7" x14ac:dyDescent="0.2">
      <c r="A33" s="11" t="s">
        <v>30</v>
      </c>
      <c r="B33" s="82"/>
      <c r="C33" s="12">
        <f>March!C33+B33</f>
        <v>0</v>
      </c>
      <c r="D33" s="84"/>
      <c r="E33" s="12">
        <f>March!E33+D33</f>
        <v>0</v>
      </c>
      <c r="F33" s="12"/>
      <c r="G33" s="12">
        <f>March!G33+F33</f>
        <v>0</v>
      </c>
    </row>
    <row r="34" spans="1:7" x14ac:dyDescent="0.2">
      <c r="A34" s="11" t="s">
        <v>31</v>
      </c>
      <c r="B34" s="82"/>
      <c r="C34" s="12">
        <f>March!C34+B34</f>
        <v>0</v>
      </c>
      <c r="D34" s="84"/>
      <c r="E34" s="12">
        <f>March!E34+D34</f>
        <v>0</v>
      </c>
      <c r="F34" s="12"/>
      <c r="G34" s="12">
        <f>March!G34+F34</f>
        <v>0</v>
      </c>
    </row>
    <row r="35" spans="1:7" x14ac:dyDescent="0.2">
      <c r="A35" s="11" t="s">
        <v>32</v>
      </c>
      <c r="B35" s="82"/>
      <c r="C35" s="12">
        <f>March!C35+B35</f>
        <v>0</v>
      </c>
      <c r="D35" s="84"/>
      <c r="E35" s="12">
        <f>March!E35+D35</f>
        <v>0</v>
      </c>
      <c r="F35" s="12"/>
      <c r="G35" s="12">
        <f>March!G35+F35</f>
        <v>0</v>
      </c>
    </row>
    <row r="36" spans="1:7" x14ac:dyDescent="0.2">
      <c r="A36" s="11" t="s">
        <v>33</v>
      </c>
      <c r="B36" s="82"/>
      <c r="C36" s="12">
        <f>March!C36+B36</f>
        <v>0</v>
      </c>
      <c r="D36" s="84"/>
      <c r="E36" s="12">
        <f>March!E36+D36</f>
        <v>0</v>
      </c>
      <c r="F36" s="12"/>
      <c r="G36" s="12">
        <f>March!G36+F36</f>
        <v>0</v>
      </c>
    </row>
    <row r="37" spans="1:7" x14ac:dyDescent="0.2">
      <c r="A37" s="11" t="s">
        <v>34</v>
      </c>
      <c r="B37" s="83">
        <v>203478</v>
      </c>
      <c r="C37" s="12">
        <f>March!C37+B37</f>
        <v>442820</v>
      </c>
      <c r="D37" s="84"/>
      <c r="E37" s="12">
        <f>March!E37+D37</f>
        <v>0</v>
      </c>
      <c r="F37" s="12"/>
      <c r="G37" s="12">
        <f>March!G37+F37</f>
        <v>0</v>
      </c>
    </row>
    <row r="38" spans="1:7" x14ac:dyDescent="0.2">
      <c r="A38" s="11" t="s">
        <v>35</v>
      </c>
      <c r="B38" s="82">
        <f>2250+1250+2450+2450+2450+1225+1225+2200+1200+1200+2200+1000+1200+1000+2500+7500</f>
        <v>33300</v>
      </c>
      <c r="C38" s="12">
        <f>March!C38+B38</f>
        <v>140903</v>
      </c>
      <c r="D38" s="84">
        <f>230</f>
        <v>230</v>
      </c>
      <c r="E38" s="12">
        <f>March!E38+D38</f>
        <v>3959</v>
      </c>
      <c r="F38" s="12"/>
      <c r="G38" s="12">
        <f>March!G38+F38</f>
        <v>0</v>
      </c>
    </row>
    <row r="39" spans="1:7" x14ac:dyDescent="0.2">
      <c r="A39" s="11" t="s">
        <v>36</v>
      </c>
      <c r="B39" s="83">
        <f>500+500+1+19976</f>
        <v>20977</v>
      </c>
      <c r="C39" s="12">
        <f>March!C39+B39</f>
        <v>64102</v>
      </c>
      <c r="D39" s="84"/>
      <c r="E39" s="12">
        <f>March!E39+D39</f>
        <v>2099</v>
      </c>
      <c r="F39" s="12"/>
      <c r="G39" s="12">
        <f>March!G39+F39</f>
        <v>0</v>
      </c>
    </row>
    <row r="40" spans="1:7" x14ac:dyDescent="0.2">
      <c r="A40" s="11" t="s">
        <v>37</v>
      </c>
      <c r="B40" s="83">
        <f>2160+1520+1310+1500+600+2160+600+1570+600+1500+600+135240</f>
        <v>149360</v>
      </c>
      <c r="C40" s="12">
        <f>March!C40+B40</f>
        <v>730849</v>
      </c>
      <c r="D40" s="84">
        <f>1+1580</f>
        <v>1581</v>
      </c>
      <c r="E40" s="12">
        <f>March!E40+D40</f>
        <v>8108</v>
      </c>
      <c r="F40" s="12"/>
      <c r="G40" s="12">
        <f>March!G40+F40</f>
        <v>0</v>
      </c>
    </row>
    <row r="41" spans="1:7" x14ac:dyDescent="0.2">
      <c r="A41" s="11" t="s">
        <v>38</v>
      </c>
      <c r="B41" s="82"/>
      <c r="C41" s="12">
        <f>March!C41+B41</f>
        <v>0</v>
      </c>
      <c r="D41" s="84"/>
      <c r="E41" s="12">
        <f>March!E41+D41</f>
        <v>0</v>
      </c>
      <c r="F41" s="12"/>
      <c r="G41" s="12">
        <f>March!G41+F41</f>
        <v>0</v>
      </c>
    </row>
    <row r="42" spans="1:7" x14ac:dyDescent="0.2">
      <c r="A42" s="11" t="s">
        <v>39</v>
      </c>
      <c r="B42" s="82"/>
      <c r="C42" s="12">
        <f>March!C42+B42</f>
        <v>0</v>
      </c>
      <c r="D42" s="84"/>
      <c r="E42" s="12">
        <f>March!E42+D42</f>
        <v>2379</v>
      </c>
      <c r="F42" s="12"/>
      <c r="G42" s="12">
        <f>March!G42+F42</f>
        <v>0</v>
      </c>
    </row>
    <row r="43" spans="1:7" x14ac:dyDescent="0.2">
      <c r="A43" s="11" t="s">
        <v>40</v>
      </c>
      <c r="B43" s="82"/>
      <c r="C43" s="12">
        <f>March!C43+B43</f>
        <v>0</v>
      </c>
      <c r="D43" s="84"/>
      <c r="E43" s="12">
        <f>March!E43+D43</f>
        <v>0</v>
      </c>
      <c r="F43" s="12"/>
      <c r="G43" s="12">
        <f>March!G43+F43</f>
        <v>0</v>
      </c>
    </row>
    <row r="44" spans="1:7" x14ac:dyDescent="0.2">
      <c r="A44" s="11" t="s">
        <v>41</v>
      </c>
      <c r="B44" s="82">
        <v>5800</v>
      </c>
      <c r="C44" s="12">
        <f>March!C44+B44</f>
        <v>5800</v>
      </c>
      <c r="D44" s="84"/>
      <c r="E44" s="12">
        <f>March!E44+D44</f>
        <v>0</v>
      </c>
      <c r="F44" s="12"/>
      <c r="G44" s="12">
        <f>March!G44+F44</f>
        <v>0</v>
      </c>
    </row>
    <row r="45" spans="1:7" x14ac:dyDescent="0.2">
      <c r="A45" s="11" t="s">
        <v>42</v>
      </c>
      <c r="B45" s="83">
        <f>650+280+280+600+600+640+600+640+600+280+600+1850+600+400+1350+1350+1350+600+600+650+650+1200+1200+30954</f>
        <v>48524</v>
      </c>
      <c r="C45" s="12">
        <f>March!C45+B45</f>
        <v>196495</v>
      </c>
      <c r="D45" s="85">
        <f>4+3+25+2+1430+4+738</f>
        <v>2206</v>
      </c>
      <c r="E45" s="12">
        <f>March!E45+D45</f>
        <v>6231</v>
      </c>
      <c r="F45" s="12"/>
      <c r="G45" s="12">
        <f>March!G45+F45</f>
        <v>0</v>
      </c>
    </row>
    <row r="46" spans="1:7" x14ac:dyDescent="0.2">
      <c r="A46" s="11" t="s">
        <v>43</v>
      </c>
      <c r="B46" s="82"/>
      <c r="C46" s="12">
        <f>March!C46+B46</f>
        <v>21</v>
      </c>
      <c r="D46" s="85"/>
      <c r="E46" s="12">
        <f>March!E46+D46</f>
        <v>0</v>
      </c>
      <c r="F46" s="12"/>
      <c r="G46" s="12">
        <f>March!G46+F46</f>
        <v>0</v>
      </c>
    </row>
    <row r="47" spans="1:7" x14ac:dyDescent="0.2">
      <c r="A47" s="11" t="s">
        <v>44</v>
      </c>
      <c r="B47" s="83">
        <v>78586</v>
      </c>
      <c r="C47" s="12">
        <f>March!C47+B47</f>
        <v>272281</v>
      </c>
      <c r="D47" s="84">
        <f>77+10+1</f>
        <v>88</v>
      </c>
      <c r="E47" s="12">
        <f>March!E47+D47</f>
        <v>99</v>
      </c>
      <c r="F47" s="12"/>
      <c r="G47" s="12">
        <f>March!G47+F47</f>
        <v>0</v>
      </c>
    </row>
    <row r="48" spans="1:7" x14ac:dyDescent="0.2">
      <c r="A48" s="11" t="s">
        <v>45</v>
      </c>
      <c r="B48" s="83">
        <v>36867</v>
      </c>
      <c r="C48" s="12">
        <f>March!C48+B48</f>
        <v>129452</v>
      </c>
      <c r="D48" s="84"/>
      <c r="E48" s="12">
        <f>March!E48+D48</f>
        <v>0</v>
      </c>
      <c r="F48" s="12"/>
      <c r="G48" s="12">
        <f>March!G48+F48</f>
        <v>0</v>
      </c>
    </row>
    <row r="49" spans="1:256" x14ac:dyDescent="0.2">
      <c r="A49" s="11" t="s">
        <v>46</v>
      </c>
      <c r="B49" s="82"/>
      <c r="C49" s="12">
        <f>March!C49+B49</f>
        <v>0</v>
      </c>
      <c r="D49" s="84"/>
      <c r="E49" s="12">
        <f>March!E49+D49</f>
        <v>0</v>
      </c>
      <c r="F49" s="12"/>
      <c r="G49" s="12">
        <f>March!G49+F49</f>
        <v>0</v>
      </c>
    </row>
    <row r="50" spans="1:256" x14ac:dyDescent="0.2">
      <c r="A50" s="11" t="s">
        <v>47</v>
      </c>
      <c r="B50" s="82"/>
      <c r="C50" s="12">
        <f>March!C50+B50</f>
        <v>0</v>
      </c>
      <c r="D50" s="84"/>
      <c r="E50" s="12">
        <f>March!E50+D50</f>
        <v>0</v>
      </c>
      <c r="F50" s="12"/>
      <c r="G50" s="12">
        <f>March!G50+F50</f>
        <v>0</v>
      </c>
    </row>
    <row r="51" spans="1:256" x14ac:dyDescent="0.2">
      <c r="A51" s="11" t="s">
        <v>48</v>
      </c>
      <c r="B51" s="82"/>
      <c r="C51" s="12">
        <f>March!C51+B51</f>
        <v>0</v>
      </c>
      <c r="D51" s="84"/>
      <c r="E51" s="12">
        <f>March!E51+D51</f>
        <v>0</v>
      </c>
      <c r="F51" s="12"/>
      <c r="G51" s="12">
        <f>March!G51+F51</f>
        <v>0</v>
      </c>
    </row>
    <row r="52" spans="1:256" x14ac:dyDescent="0.2">
      <c r="A52" s="11" t="s">
        <v>49</v>
      </c>
      <c r="B52" s="82"/>
      <c r="C52" s="12">
        <f>March!C52+B52</f>
        <v>0</v>
      </c>
      <c r="D52" s="84"/>
      <c r="E52" s="12">
        <f>March!E52+D52</f>
        <v>0</v>
      </c>
      <c r="F52" s="12"/>
      <c r="G52" s="12">
        <f>March!G52+F52</f>
        <v>0</v>
      </c>
    </row>
    <row r="53" spans="1:256" x14ac:dyDescent="0.2">
      <c r="A53" s="11" t="s">
        <v>50</v>
      </c>
      <c r="B53" s="83">
        <f>160+1200+1100+2400+12+350+130+200+90+150+260+200+140+160+200+100+200+975+875+400+450+850+25+500+2400+206+120+40+120+300+220+65+2400+30+207+180+120</f>
        <v>17535</v>
      </c>
      <c r="C53" s="12">
        <f>March!C53+B53</f>
        <v>61291</v>
      </c>
      <c r="D53" s="84"/>
      <c r="E53" s="12">
        <f>March!E53+D53</f>
        <v>44</v>
      </c>
      <c r="F53" s="12"/>
      <c r="G53" s="12">
        <f>March!G53+F53</f>
        <v>0</v>
      </c>
    </row>
    <row r="54" spans="1:256" ht="15.75" thickBot="1" x14ac:dyDescent="0.25">
      <c r="A54" s="95" t="s">
        <v>51</v>
      </c>
      <c r="B54" s="96">
        <f>2360+440+1920+2360+1440+920+2380+25958</f>
        <v>37778</v>
      </c>
      <c r="C54" s="97">
        <f>March!C54+B54</f>
        <v>122456</v>
      </c>
      <c r="D54" s="98"/>
      <c r="E54" s="97">
        <f>March!E54+D54</f>
        <v>0</v>
      </c>
      <c r="F54" s="97"/>
      <c r="G54" s="97">
        <f>March!G54+F54</f>
        <v>0</v>
      </c>
    </row>
    <row r="55" spans="1:256" ht="26.1" customHeight="1" thickTop="1" thickBot="1" x14ac:dyDescent="0.25">
      <c r="A55" s="93" t="s">
        <v>53</v>
      </c>
      <c r="B55" s="94">
        <f>SUM(B7:B54)</f>
        <v>2401782</v>
      </c>
      <c r="C55" s="94">
        <f>March!C55+B55</f>
        <v>8603101</v>
      </c>
      <c r="D55" s="94">
        <f>SUM(D7:D54)</f>
        <v>20465</v>
      </c>
      <c r="E55" s="94">
        <f>March!E55+D55</f>
        <v>77661</v>
      </c>
      <c r="F55" s="94">
        <f>SUM(F7:F54)</f>
        <v>12549</v>
      </c>
      <c r="G55" s="94">
        <f>March!G55+F55</f>
        <v>45460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>
        <v>800</v>
      </c>
      <c r="D58" s="24">
        <f>March!D58+C58</f>
        <v>1100</v>
      </c>
      <c r="E58" s="18"/>
    </row>
    <row r="59" spans="1:256" x14ac:dyDescent="0.2">
      <c r="A59" s="1" t="s">
        <v>56</v>
      </c>
      <c r="B59" s="23"/>
      <c r="C59" s="23">
        <v>2720</v>
      </c>
      <c r="D59" s="24">
        <f>March!D59+C59</f>
        <v>8665</v>
      </c>
    </row>
    <row r="60" spans="1:256" x14ac:dyDescent="0.2">
      <c r="A60" s="1" t="s">
        <v>57</v>
      </c>
      <c r="B60" s="23"/>
      <c r="C60" s="23"/>
      <c r="D60" s="24">
        <f>March!D60+C60</f>
        <v>2490</v>
      </c>
    </row>
    <row r="61" spans="1:256" x14ac:dyDescent="0.2">
      <c r="A61" s="1" t="s">
        <v>58</v>
      </c>
      <c r="B61" s="23"/>
      <c r="C61" s="23"/>
      <c r="D61" s="24">
        <f>March!D61+C61</f>
        <v>0</v>
      </c>
    </row>
    <row r="62" spans="1:256" x14ac:dyDescent="0.2">
      <c r="A62" s="1" t="s">
        <v>59</v>
      </c>
      <c r="B62" s="23"/>
      <c r="C62" s="40">
        <f>1204+1140+735+1250+115+135+280+45+120+175+280+280+120+175+45+115+280+135+175+280+120+45+115+135+280+12+108+530+20+10+118+60+18+18+111+15+208+18+175+7965</f>
        <v>17165</v>
      </c>
      <c r="D62" s="24">
        <f>March!D62+C62</f>
        <v>102178</v>
      </c>
    </row>
    <row r="63" spans="1:256" x14ac:dyDescent="0.2">
      <c r="A63" s="1" t="s">
        <v>65</v>
      </c>
      <c r="B63" s="23"/>
      <c r="C63" s="23">
        <f>45+270+75+25+275+135+275+75+170+275+45+240+275+75+190+310+315+24+52+170+75+275+358+65+24+106+270+375+294+54+75+170+45+260+275+75+170+52+185+275+75+170+52+310+75+70+45+310+340+344+25+320+106+170+106+45+270+320+20+40+294</f>
        <v>10301</v>
      </c>
      <c r="D63" s="24">
        <f>March!D63+C63</f>
        <v>50263</v>
      </c>
    </row>
    <row r="64" spans="1:256" x14ac:dyDescent="0.2">
      <c r="A64" s="1" t="s">
        <v>63</v>
      </c>
      <c r="B64" s="23"/>
      <c r="C64" s="40">
        <f>130+80+125+320+130+80+130+100+175+130+100+100+130+140+140</f>
        <v>2010</v>
      </c>
      <c r="D64" s="24">
        <f>March!D64+C64</f>
        <v>61669</v>
      </c>
    </row>
    <row r="65" spans="1:4" x14ac:dyDescent="0.2">
      <c r="A65" s="1" t="s">
        <v>60</v>
      </c>
      <c r="C65" s="23"/>
      <c r="D65" s="24">
        <f>March!D65+C65</f>
        <v>0</v>
      </c>
    </row>
    <row r="66" spans="1:4" x14ac:dyDescent="0.2">
      <c r="A66" s="1" t="s">
        <v>61</v>
      </c>
      <c r="C66" s="23">
        <f>90+140+80+82+67+140+188+185+80+67+60+190+81+67+150+188+60+82+67+67+150+188+55+58+67+90+190+87+160+260+82+67+188+50+87+67+810</f>
        <v>4787</v>
      </c>
      <c r="D66" s="24">
        <f>March!D66+C66</f>
        <v>30411</v>
      </c>
    </row>
    <row r="67" spans="1:4" x14ac:dyDescent="0.2">
      <c r="A67" s="1" t="s">
        <v>62</v>
      </c>
      <c r="C67" s="23">
        <v>550</v>
      </c>
      <c r="D67" s="24">
        <f>March!D67+C67</f>
        <v>1600</v>
      </c>
    </row>
  </sheetData>
  <phoneticPr fontId="0" type="noConversion"/>
  <pageMargins left="0.5" right="0.5" top="0.5" bottom="0.5" header="0.5" footer="0.5"/>
  <pageSetup scale="70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A1:IV68"/>
  <sheetViews>
    <sheetView defaultGridColor="0" colorId="22" zoomScale="115" zoomScaleNormal="115" workbookViewId="0">
      <pane ySplit="6" topLeftCell="A31" activePane="bottomLeft" state="frozen"/>
      <selection pane="bottomLeft" activeCell="B55" sqref="B55"/>
    </sheetView>
  </sheetViews>
  <sheetFormatPr defaultColWidth="11.77734375" defaultRowHeight="15" x14ac:dyDescent="0.2"/>
  <cols>
    <col min="1" max="1" width="16.77734375" style="1" customWidth="1"/>
    <col min="2" max="2" width="12.5546875" customWidth="1"/>
    <col min="3" max="3" width="12.3320312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70</v>
      </c>
      <c r="I2" s="2"/>
    </row>
    <row r="3" spans="1:256" ht="15.75" x14ac:dyDescent="0.25">
      <c r="F3" s="49" t="s">
        <v>79</v>
      </c>
      <c r="I3" s="2"/>
    </row>
    <row r="4" spans="1:256" ht="16.5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>
        <f>825+825+825</f>
        <v>2475</v>
      </c>
      <c r="C7" s="12">
        <f>April!C7+B7</f>
        <v>14074</v>
      </c>
      <c r="D7" s="84"/>
      <c r="E7" s="12">
        <f>April!E7+D7</f>
        <v>0</v>
      </c>
      <c r="F7" s="12"/>
      <c r="G7" s="12">
        <f>April!G7+F7</f>
        <v>0</v>
      </c>
    </row>
    <row r="8" spans="1:256" x14ac:dyDescent="0.2">
      <c r="A8" s="11" t="s">
        <v>64</v>
      </c>
      <c r="B8" s="86"/>
      <c r="C8" s="27">
        <f>April!C8+B8</f>
        <v>0</v>
      </c>
      <c r="D8" s="87"/>
      <c r="E8" s="27">
        <f>April!E8+D8</f>
        <v>2</v>
      </c>
      <c r="F8" s="27"/>
      <c r="G8" s="27">
        <f>April!G8+F8</f>
        <v>0</v>
      </c>
    </row>
    <row r="9" spans="1:256" x14ac:dyDescent="0.2">
      <c r="A9" s="11" t="s">
        <v>7</v>
      </c>
      <c r="B9" s="86">
        <f>625+700+750+700+675+550+418+418+808+810+808+630+210+840+1050+630+420+1050+1050+1050+1050+1050+1050+825+600+600+825+550+700+600+238</f>
        <v>22280</v>
      </c>
      <c r="C9" s="27">
        <f>April!C9+B9</f>
        <v>92566</v>
      </c>
      <c r="D9" s="87">
        <f>7</f>
        <v>7</v>
      </c>
      <c r="E9" s="27">
        <f>April!E9+D9</f>
        <v>13</v>
      </c>
      <c r="F9" s="27"/>
      <c r="G9" s="27">
        <f>April!G9+F9</f>
        <v>0</v>
      </c>
    </row>
    <row r="10" spans="1:256" x14ac:dyDescent="0.2">
      <c r="A10" s="11" t="s">
        <v>8</v>
      </c>
      <c r="B10" s="86"/>
      <c r="C10" s="27">
        <f>April!C10+B10</f>
        <v>0</v>
      </c>
      <c r="D10" s="87">
        <v>1</v>
      </c>
      <c r="E10" s="27">
        <f>April!E10+D10</f>
        <v>1</v>
      </c>
      <c r="F10" s="27"/>
      <c r="G10" s="27">
        <f>April!G10+F10</f>
        <v>0</v>
      </c>
    </row>
    <row r="11" spans="1:256" x14ac:dyDescent="0.2">
      <c r="A11" s="99" t="s">
        <v>52</v>
      </c>
      <c r="B11" s="86">
        <v>222216</v>
      </c>
      <c r="C11" s="27">
        <f>April!C11+B11</f>
        <v>1149105</v>
      </c>
      <c r="D11" s="87">
        <v>1143</v>
      </c>
      <c r="E11" s="27">
        <f>April!E11+D11</f>
        <v>3579</v>
      </c>
      <c r="F11" s="27">
        <v>8754</v>
      </c>
      <c r="G11" s="27">
        <f>April!G11+F11</f>
        <v>54152</v>
      </c>
    </row>
    <row r="12" spans="1:256" x14ac:dyDescent="0.2">
      <c r="A12" s="11" t="s">
        <v>9</v>
      </c>
      <c r="B12" s="86">
        <f>2475+2475+2475+2475+950+950+2150+300+1750+2450+2130+2450+1220+1230+950+950+950+950+260+728+1550+2475+750+900+900+1725+2475+2475+2475+1250+2475+48639</f>
        <v>98357</v>
      </c>
      <c r="C12" s="27">
        <f>April!C12+B12</f>
        <v>569415</v>
      </c>
      <c r="D12" s="87">
        <f>433+433</f>
        <v>866</v>
      </c>
      <c r="E12" s="27">
        <f>April!E12+D12</f>
        <v>866</v>
      </c>
      <c r="F12" s="27"/>
      <c r="G12" s="27">
        <f>April!G12+F12</f>
        <v>0</v>
      </c>
    </row>
    <row r="13" spans="1:256" x14ac:dyDescent="0.2">
      <c r="A13" s="11" t="s">
        <v>10</v>
      </c>
      <c r="B13" s="86"/>
      <c r="C13" s="27">
        <f>April!C13+B13</f>
        <v>0</v>
      </c>
      <c r="D13" s="87"/>
      <c r="E13" s="27">
        <f>April!E13+D13</f>
        <v>0</v>
      </c>
      <c r="F13" s="27"/>
      <c r="G13" s="27">
        <f>April!G13+F13</f>
        <v>0</v>
      </c>
    </row>
    <row r="14" spans="1:256" x14ac:dyDescent="0.2">
      <c r="A14" s="11" t="s">
        <v>11</v>
      </c>
      <c r="B14" s="86"/>
      <c r="C14" s="27">
        <f>April!C14+B14</f>
        <v>0</v>
      </c>
      <c r="D14" s="87"/>
      <c r="E14" s="27">
        <f>April!E14+D14</f>
        <v>0</v>
      </c>
      <c r="F14" s="27"/>
      <c r="G14" s="27">
        <f>April!G14+F14</f>
        <v>0</v>
      </c>
    </row>
    <row r="15" spans="1:256" x14ac:dyDescent="0.2">
      <c r="A15" s="11" t="s">
        <v>12</v>
      </c>
      <c r="B15" s="86"/>
      <c r="C15" s="27">
        <f>April!C15+B15</f>
        <v>0</v>
      </c>
      <c r="D15" s="87"/>
      <c r="E15" s="27">
        <f>April!E15+D15</f>
        <v>1</v>
      </c>
      <c r="F15" s="27"/>
      <c r="G15" s="27">
        <f>April!G15+F15</f>
        <v>0</v>
      </c>
    </row>
    <row r="16" spans="1:256" x14ac:dyDescent="0.2">
      <c r="A16" s="11" t="s">
        <v>13</v>
      </c>
      <c r="B16" s="86">
        <f>1000</f>
        <v>1000</v>
      </c>
      <c r="C16" s="27">
        <f>April!C16+B16</f>
        <v>13550</v>
      </c>
      <c r="D16" s="87"/>
      <c r="E16" s="27">
        <f>April!E16+D16</f>
        <v>2</v>
      </c>
      <c r="F16" s="27"/>
      <c r="G16" s="27">
        <f>April!G16+F16</f>
        <v>0</v>
      </c>
    </row>
    <row r="17" spans="1:7" x14ac:dyDescent="0.2">
      <c r="A17" s="11" t="s">
        <v>14</v>
      </c>
      <c r="B17" s="86"/>
      <c r="C17" s="27">
        <f>April!C17+B17</f>
        <v>1</v>
      </c>
      <c r="D17" s="87"/>
      <c r="E17" s="27">
        <f>April!E17+D17</f>
        <v>0</v>
      </c>
      <c r="F17" s="27"/>
      <c r="G17" s="27">
        <f>April!G17+F17</f>
        <v>0</v>
      </c>
    </row>
    <row r="18" spans="1:7" x14ac:dyDescent="0.2">
      <c r="A18" s="11" t="s">
        <v>15</v>
      </c>
      <c r="B18" s="86">
        <f>2000+1800+625+425+430+425+626+430+1450+859+1450+300+330+320+430+425+267+430+267+267+425+200+1275+1275+1275+1275+1015+1200+1225+615+615+1200+657+658+658+1470+835+800+450+1200+1215+1470+1000+102+795+1450+1450+1000+800+450+835+795+1065+1470+1215+1470+1200+657+667+1065+1065+1065+1065+1065+550+330+600+382+382+157+600+600+1200+1200+300+982+382+425+425+267+425+267+425+725+267+267+1225+1300+1350+500+700+100+1235+817+1500+1460+1005+609+1450+1450+725+500+415+375+500+600+1450+622+625+625+2000+280+621+621+634+634+600+609+609+622+621+335309</f>
        <v>431766</v>
      </c>
      <c r="C18" s="27">
        <f>April!C18+B18</f>
        <v>2128254</v>
      </c>
      <c r="D18" s="87">
        <f>104+14+14+1662</f>
        <v>1794</v>
      </c>
      <c r="E18" s="27">
        <f>April!E18+D18</f>
        <v>11486</v>
      </c>
      <c r="F18" s="27"/>
      <c r="G18" s="27">
        <f>April!G18+F18</f>
        <v>0</v>
      </c>
    </row>
    <row r="19" spans="1:7" x14ac:dyDescent="0.2">
      <c r="A19" s="11" t="s">
        <v>16</v>
      </c>
      <c r="B19" s="86">
        <v>27434</v>
      </c>
      <c r="C19" s="27">
        <f>April!C19+B19</f>
        <v>139935</v>
      </c>
      <c r="D19" s="87">
        <v>28</v>
      </c>
      <c r="E19" s="27">
        <f>April!E19+D19</f>
        <v>380</v>
      </c>
      <c r="F19" s="27"/>
      <c r="G19" s="27">
        <f>April!G19+F19</f>
        <v>0</v>
      </c>
    </row>
    <row r="20" spans="1:7" x14ac:dyDescent="0.2">
      <c r="A20" s="11" t="s">
        <v>17</v>
      </c>
      <c r="B20" s="86">
        <f>1650+1650+2000+1625+515+1213+400+3187</f>
        <v>12240</v>
      </c>
      <c r="C20" s="27">
        <f>April!C20+B20</f>
        <v>106151</v>
      </c>
      <c r="D20" s="87">
        <f>1+1+25+32+213</f>
        <v>272</v>
      </c>
      <c r="E20" s="27">
        <f>April!E20+D20</f>
        <v>2050</v>
      </c>
      <c r="F20" s="27"/>
      <c r="G20" s="27">
        <f>April!G20+F20</f>
        <v>0</v>
      </c>
    </row>
    <row r="21" spans="1:7" x14ac:dyDescent="0.2">
      <c r="A21" s="11" t="s">
        <v>18</v>
      </c>
      <c r="B21" s="86"/>
      <c r="C21" s="27">
        <f>April!C21+B21</f>
        <v>0</v>
      </c>
      <c r="D21" s="87">
        <f>170+170+280</f>
        <v>620</v>
      </c>
      <c r="E21" s="27">
        <f>April!E21+D21</f>
        <v>1664</v>
      </c>
      <c r="F21" s="27"/>
      <c r="G21" s="27">
        <f>April!G21+F21</f>
        <v>0</v>
      </c>
    </row>
    <row r="22" spans="1:7" x14ac:dyDescent="0.2">
      <c r="A22" s="11" t="s">
        <v>19</v>
      </c>
      <c r="B22" s="86"/>
      <c r="C22" s="27">
        <f>April!C22+B22</f>
        <v>0</v>
      </c>
      <c r="D22" s="87">
        <f>10</f>
        <v>10</v>
      </c>
      <c r="E22" s="27">
        <f>April!E22+D22</f>
        <v>10</v>
      </c>
      <c r="F22" s="27"/>
      <c r="G22" s="27">
        <f>April!G22+F22</f>
        <v>0</v>
      </c>
    </row>
    <row r="23" spans="1:7" x14ac:dyDescent="0.2">
      <c r="A23" s="11" t="s">
        <v>20</v>
      </c>
      <c r="B23" s="86"/>
      <c r="C23" s="27">
        <f>April!C23+B23</f>
        <v>0</v>
      </c>
      <c r="D23" s="87"/>
      <c r="E23" s="27">
        <f>April!E23+D23</f>
        <v>0</v>
      </c>
      <c r="F23" s="27"/>
      <c r="G23" s="27">
        <f>April!G23+F23</f>
        <v>0</v>
      </c>
    </row>
    <row r="24" spans="1:7" x14ac:dyDescent="0.2">
      <c r="A24" s="11" t="s">
        <v>21</v>
      </c>
      <c r="B24" s="86"/>
      <c r="C24" s="27">
        <f>April!C24+B24</f>
        <v>0</v>
      </c>
      <c r="D24" s="87"/>
      <c r="E24" s="27">
        <f>April!E24+D24</f>
        <v>0</v>
      </c>
      <c r="F24" s="27"/>
      <c r="G24" s="27">
        <f>April!G24+F24</f>
        <v>0</v>
      </c>
    </row>
    <row r="25" spans="1:7" x14ac:dyDescent="0.2">
      <c r="A25" s="11" t="s">
        <v>22</v>
      </c>
      <c r="B25" s="86"/>
      <c r="C25" s="27">
        <f>April!C25+B25</f>
        <v>0</v>
      </c>
      <c r="D25" s="87"/>
      <c r="E25" s="27">
        <f>April!E25+D25</f>
        <v>0</v>
      </c>
      <c r="F25" s="27"/>
      <c r="G25" s="27">
        <f>April!G25+F25</f>
        <v>0</v>
      </c>
    </row>
    <row r="26" spans="1:7" x14ac:dyDescent="0.2">
      <c r="A26" s="11" t="s">
        <v>23</v>
      </c>
      <c r="B26" s="86">
        <f>700+750+500+560+55</f>
        <v>2565</v>
      </c>
      <c r="C26" s="27">
        <f>April!C26+B26</f>
        <v>4465</v>
      </c>
      <c r="D26" s="87">
        <v>1523</v>
      </c>
      <c r="E26" s="27">
        <f>April!E26+D26</f>
        <v>6167</v>
      </c>
      <c r="F26" s="27"/>
      <c r="G26" s="27">
        <f>April!G26+F26</f>
        <v>0</v>
      </c>
    </row>
    <row r="27" spans="1:7" x14ac:dyDescent="0.2">
      <c r="A27" s="11" t="s">
        <v>24</v>
      </c>
      <c r="B27" s="86">
        <f>2400+2500+1500+580+360+270+350+250+230+242+680+650+420+404+404+1920+2880+850+850+600+600+108+390+390+3899+1050+850+850+2000+2000+2140+1880+2400+500+250+310+340+250+2049+2049+2028+2028+700+700+200+300+692+662+2000+4000+400+500+850+850+850+1920+500+680+3660+3660+600+600+690+600+2700+2400+30+700+2300+2550+2060+850+850+360+270+250+350+700+700+4000+500+1060+2510+685+800+550+550+690+690+320+680+680+680+600+600+400+200+350+350+375+2054+2054+50+1470+490+1395+400+672+708+850+850+2480+1760+1960+1028+1028+403+403+530+410+230+670+650+515+515+350+2200+320+410+400+2060+600+600+2300+100295</f>
        <v>239765</v>
      </c>
      <c r="C27" s="27">
        <f>April!C27+B27</f>
        <v>1062881</v>
      </c>
      <c r="D27" s="87">
        <f>8+12+50+52+13+6+212+116+116+1290</f>
        <v>1875</v>
      </c>
      <c r="E27" s="27">
        <f>April!E27+D27</f>
        <v>6787</v>
      </c>
      <c r="F27" s="27">
        <f>8+18+20+10</f>
        <v>56</v>
      </c>
      <c r="G27" s="27">
        <f>April!G27+F27</f>
        <v>56</v>
      </c>
    </row>
    <row r="28" spans="1:7" x14ac:dyDescent="0.2">
      <c r="A28" s="11" t="s">
        <v>25</v>
      </c>
      <c r="B28" s="86">
        <v>70400</v>
      </c>
      <c r="C28" s="27">
        <f>April!C28+B28</f>
        <v>316445</v>
      </c>
      <c r="D28" s="87"/>
      <c r="E28" s="27">
        <f>April!E28+D28</f>
        <v>0</v>
      </c>
      <c r="F28" s="27"/>
      <c r="G28" s="27">
        <f>April!G28+F28</f>
        <v>0</v>
      </c>
    </row>
    <row r="29" spans="1:7" x14ac:dyDescent="0.2">
      <c r="A29" s="11" t="s">
        <v>26</v>
      </c>
      <c r="B29" s="86">
        <f>2450+1250+1250+780+780+575+577+793+307+2304+319+143+315+95+422+1270+1105+308+660+2944+736+614+660+736+614+660+1230+1164+266+790+790+150+35+1440+1440+1500+1300+2400+750+750+750+59+74+2433+1220+1120+980+610+945+980+1220+1260+800+960+980+1220+945+1220+640+600+610+650+640+1280+1220+980+1220+840+980+610+840+980+600+960+1220+1220+800+960+610+600+640+600+960+915+1220+850+960+960+1210+610+650+960+2450+827+1240+627+1883+1653+1010+1425+2600+1143+620+571+1270+1240+561+1270+571+812+700+750+500+1250+1250+500+500+500+495+101+495+1500+1667+483+1826+542+1668+868+4354+1654+900+674+800+800+800+589+2035+2480+204989</f>
        <v>341486</v>
      </c>
      <c r="C29" s="27">
        <f>April!C29+B29</f>
        <v>1666957</v>
      </c>
      <c r="D29" s="87">
        <v>2</v>
      </c>
      <c r="E29" s="27">
        <f>April!E29+D29</f>
        <v>465</v>
      </c>
      <c r="F29" s="27">
        <f>7</f>
        <v>7</v>
      </c>
      <c r="G29" s="27">
        <f>April!G29+F29</f>
        <v>69</v>
      </c>
    </row>
    <row r="30" spans="1:7" x14ac:dyDescent="0.2">
      <c r="A30" s="11" t="s">
        <v>27</v>
      </c>
      <c r="B30" s="79">
        <v>1100</v>
      </c>
      <c r="C30" s="27">
        <f>April!C30+B30</f>
        <v>25560</v>
      </c>
      <c r="D30" s="87"/>
      <c r="E30" s="27">
        <f>April!E30+D30</f>
        <v>0</v>
      </c>
      <c r="F30" s="27"/>
      <c r="G30" s="27">
        <f>April!G30+F30</f>
        <v>0</v>
      </c>
    </row>
    <row r="31" spans="1:7" x14ac:dyDescent="0.2">
      <c r="A31" s="11" t="s">
        <v>28</v>
      </c>
      <c r="B31" s="86">
        <f>7+1000+625+960+400+170+2+1250+625+175+600+850+700+600+700+700+700+600+77+92+625+600+1050+160+425+1129+700+700+1400+700+700+550+1191+1129+500+1191+1121+1191+1050+1050+1335+1625+490+300+607+600+90+280+200+85+1335+1200+210+900+300+490+600+1335+900+1200+900+1070+146719</f>
        <v>190766</v>
      </c>
      <c r="C31" s="27">
        <f>April!C31+B31</f>
        <v>811122</v>
      </c>
      <c r="D31" s="87">
        <f>10+360+900+850+1+6+7+7+5+130+15+1+220+500+559+15+2+3+1+50+620+425+425</f>
        <v>5112</v>
      </c>
      <c r="E31" s="27">
        <f>April!E31+D31</f>
        <v>34522</v>
      </c>
      <c r="F31" s="27"/>
      <c r="G31" s="27">
        <f>April!G31+F31</f>
        <v>0</v>
      </c>
    </row>
    <row r="32" spans="1:7" x14ac:dyDescent="0.2">
      <c r="A32" s="11" t="s">
        <v>29</v>
      </c>
      <c r="B32" s="86"/>
      <c r="C32" s="27">
        <f>April!C32+B32</f>
        <v>0</v>
      </c>
      <c r="D32" s="87"/>
      <c r="E32" s="27">
        <f>April!E32+D32</f>
        <v>0</v>
      </c>
      <c r="F32" s="27"/>
      <c r="G32" s="27">
        <f>April!G32+F32</f>
        <v>0</v>
      </c>
    </row>
    <row r="33" spans="1:7" x14ac:dyDescent="0.2">
      <c r="A33" s="11" t="s">
        <v>30</v>
      </c>
      <c r="B33" s="86"/>
      <c r="C33" s="27">
        <f>April!C33+B33</f>
        <v>0</v>
      </c>
      <c r="D33" s="87"/>
      <c r="E33" s="27">
        <f>April!E33+D33</f>
        <v>0</v>
      </c>
      <c r="F33" s="27"/>
      <c r="G33" s="27">
        <f>April!G33+F33</f>
        <v>0</v>
      </c>
    </row>
    <row r="34" spans="1:7" x14ac:dyDescent="0.2">
      <c r="A34" s="11" t="s">
        <v>31</v>
      </c>
      <c r="B34" s="86"/>
      <c r="C34" s="27">
        <f>April!C34+B34</f>
        <v>0</v>
      </c>
      <c r="D34" s="87"/>
      <c r="E34" s="27">
        <f>April!E34+D34</f>
        <v>0</v>
      </c>
      <c r="F34" s="27"/>
      <c r="G34" s="27">
        <f>April!G34+F34</f>
        <v>0</v>
      </c>
    </row>
    <row r="35" spans="1:7" x14ac:dyDescent="0.2">
      <c r="A35" s="11" t="s">
        <v>32</v>
      </c>
      <c r="B35" s="86"/>
      <c r="C35" s="27">
        <f>April!C35+B35</f>
        <v>0</v>
      </c>
      <c r="D35" s="87"/>
      <c r="E35" s="27">
        <f>April!E35+D35</f>
        <v>0</v>
      </c>
      <c r="F35" s="27"/>
      <c r="G35" s="27">
        <f>April!G35+F35</f>
        <v>0</v>
      </c>
    </row>
    <row r="36" spans="1:7" x14ac:dyDescent="0.2">
      <c r="A36" s="11" t="s">
        <v>33</v>
      </c>
      <c r="B36" s="86"/>
      <c r="C36" s="27">
        <f>April!C36+B36</f>
        <v>0</v>
      </c>
      <c r="D36" s="87"/>
      <c r="E36" s="27">
        <f>April!E36+D36</f>
        <v>0</v>
      </c>
      <c r="F36" s="27"/>
      <c r="G36" s="27">
        <f>April!G36+F36</f>
        <v>0</v>
      </c>
    </row>
    <row r="37" spans="1:7" x14ac:dyDescent="0.2">
      <c r="A37" s="11" t="s">
        <v>34</v>
      </c>
      <c r="B37" s="86">
        <v>124082</v>
      </c>
      <c r="C37" s="27">
        <f>April!C37+B37</f>
        <v>566902</v>
      </c>
      <c r="D37" s="87"/>
      <c r="E37" s="27">
        <f>April!E37+D37</f>
        <v>0</v>
      </c>
      <c r="F37" s="27"/>
      <c r="G37" s="27">
        <f>April!G37+F37</f>
        <v>0</v>
      </c>
    </row>
    <row r="38" spans="1:7" x14ac:dyDescent="0.2">
      <c r="A38" s="11" t="s">
        <v>35</v>
      </c>
      <c r="B38" s="86">
        <f>1200+1200+1350+1225+1225+1200+1200+2500+1245+1275+1000+1200+1000+1200+1000+2200+2400+10000</f>
        <v>33620</v>
      </c>
      <c r="C38" s="27">
        <f>April!C38+B38</f>
        <v>174523</v>
      </c>
      <c r="D38" s="87"/>
      <c r="E38" s="27">
        <f>April!E38+D38</f>
        <v>3959</v>
      </c>
      <c r="F38" s="27"/>
      <c r="G38" s="27">
        <f>April!G38+F38</f>
        <v>0</v>
      </c>
    </row>
    <row r="39" spans="1:7" x14ac:dyDescent="0.2">
      <c r="A39" s="11" t="s">
        <v>36</v>
      </c>
      <c r="B39" s="86">
        <v>11060</v>
      </c>
      <c r="C39" s="27">
        <f>April!C39+B39</f>
        <v>75162</v>
      </c>
      <c r="D39" s="87">
        <f>1+1+5790</f>
        <v>5792</v>
      </c>
      <c r="E39" s="27">
        <f>April!E39+D39</f>
        <v>7891</v>
      </c>
      <c r="F39" s="27"/>
      <c r="G39" s="27">
        <f>April!G39+F39</f>
        <v>0</v>
      </c>
    </row>
    <row r="40" spans="1:7" x14ac:dyDescent="0.2">
      <c r="A40" s="11" t="s">
        <v>37</v>
      </c>
      <c r="B40" s="86">
        <f>1020+2160+498+1560+500+1660+1380+2160+2160+1370+2160+1620+1922+2160+1500+121194</f>
        <v>145024</v>
      </c>
      <c r="C40" s="27">
        <f>April!C40+B40</f>
        <v>875873</v>
      </c>
      <c r="D40" s="87"/>
      <c r="E40" s="27">
        <f>April!E40+D40</f>
        <v>8108</v>
      </c>
      <c r="F40" s="27"/>
      <c r="G40" s="27">
        <f>April!G40+F40</f>
        <v>0</v>
      </c>
    </row>
    <row r="41" spans="1:7" x14ac:dyDescent="0.2">
      <c r="A41" s="11" t="s">
        <v>38</v>
      </c>
      <c r="B41" s="86"/>
      <c r="C41" s="27">
        <f>April!C41+B41</f>
        <v>0</v>
      </c>
      <c r="D41" s="87"/>
      <c r="E41" s="27">
        <f>April!E41+D41</f>
        <v>0</v>
      </c>
      <c r="F41" s="27"/>
      <c r="G41" s="27">
        <f>April!G41+F41</f>
        <v>0</v>
      </c>
    </row>
    <row r="42" spans="1:7" x14ac:dyDescent="0.2">
      <c r="A42" s="11" t="s">
        <v>39</v>
      </c>
      <c r="B42" s="86"/>
      <c r="C42" s="27">
        <f>April!C42+B42</f>
        <v>0</v>
      </c>
      <c r="D42" s="87">
        <v>692</v>
      </c>
      <c r="E42" s="27">
        <f>April!E42+D42</f>
        <v>3071</v>
      </c>
      <c r="F42" s="27"/>
      <c r="G42" s="27">
        <f>April!G42+F42</f>
        <v>0</v>
      </c>
    </row>
    <row r="43" spans="1:7" x14ac:dyDescent="0.2">
      <c r="A43" s="11" t="s">
        <v>40</v>
      </c>
      <c r="B43" s="86"/>
      <c r="C43" s="27">
        <f>April!C43+B43</f>
        <v>0</v>
      </c>
      <c r="D43" s="87"/>
      <c r="E43" s="27">
        <f>April!E43+D43</f>
        <v>0</v>
      </c>
      <c r="F43" s="27"/>
      <c r="G43" s="27">
        <f>April!G43+F43</f>
        <v>0</v>
      </c>
    </row>
    <row r="44" spans="1:7" x14ac:dyDescent="0.2">
      <c r="A44" s="11" t="s">
        <v>41</v>
      </c>
      <c r="B44" s="86"/>
      <c r="C44" s="27">
        <f>April!C44+B44</f>
        <v>5800</v>
      </c>
      <c r="D44" s="87"/>
      <c r="E44" s="27">
        <f>April!E44+D44</f>
        <v>0</v>
      </c>
      <c r="F44" s="27"/>
      <c r="G44" s="27">
        <f>April!G44+F44</f>
        <v>0</v>
      </c>
    </row>
    <row r="45" spans="1:7" x14ac:dyDescent="0.2">
      <c r="A45" s="11" t="s">
        <v>42</v>
      </c>
      <c r="B45" s="86">
        <f>600+660+640+450+640+1350+600+600+150+305+1200+1350+1250+38055</f>
        <v>47850</v>
      </c>
      <c r="C45" s="27">
        <f>April!C45+B45</f>
        <v>244345</v>
      </c>
      <c r="D45" s="87">
        <f>2+11+180+40+1387</f>
        <v>1620</v>
      </c>
      <c r="E45" s="27">
        <f>April!E45+D45</f>
        <v>7851</v>
      </c>
      <c r="F45" s="27"/>
      <c r="G45" s="27">
        <f>April!G45+F45</f>
        <v>0</v>
      </c>
    </row>
    <row r="46" spans="1:7" x14ac:dyDescent="0.2">
      <c r="A46" s="11" t="s">
        <v>43</v>
      </c>
      <c r="B46" s="86"/>
      <c r="C46" s="27">
        <f>April!C46+B46</f>
        <v>21</v>
      </c>
      <c r="D46" s="87"/>
      <c r="E46" s="27">
        <f>April!E46+D46</f>
        <v>0</v>
      </c>
      <c r="F46" s="27"/>
      <c r="G46" s="27">
        <f>April!G46+F46</f>
        <v>0</v>
      </c>
    </row>
    <row r="47" spans="1:7" x14ac:dyDescent="0.2">
      <c r="A47" s="11" t="s">
        <v>44</v>
      </c>
      <c r="B47" s="86">
        <v>117282</v>
      </c>
      <c r="C47" s="27">
        <f>April!C47+B47</f>
        <v>389563</v>
      </c>
      <c r="D47" s="87">
        <v>5</v>
      </c>
      <c r="E47" s="27">
        <f>April!E47+D47</f>
        <v>104</v>
      </c>
      <c r="F47" s="27"/>
      <c r="G47" s="27">
        <f>April!G47+F47</f>
        <v>0</v>
      </c>
    </row>
    <row r="48" spans="1:7" x14ac:dyDescent="0.2">
      <c r="A48" s="11" t="s">
        <v>45</v>
      </c>
      <c r="B48" s="86">
        <v>32363</v>
      </c>
      <c r="C48" s="27">
        <f>April!C48+B48</f>
        <v>161815</v>
      </c>
      <c r="D48" s="87"/>
      <c r="E48" s="27">
        <f>April!E48+D48</f>
        <v>0</v>
      </c>
      <c r="F48" s="27"/>
      <c r="G48" s="27">
        <f>April!G48+F48</f>
        <v>0</v>
      </c>
    </row>
    <row r="49" spans="1:256" x14ac:dyDescent="0.2">
      <c r="A49" s="11" t="s">
        <v>46</v>
      </c>
      <c r="B49" s="86"/>
      <c r="C49" s="27">
        <f>April!C49+B49</f>
        <v>0</v>
      </c>
      <c r="D49" s="87"/>
      <c r="E49" s="27">
        <f>April!E49+D49</f>
        <v>0</v>
      </c>
      <c r="F49" s="27"/>
      <c r="G49" s="27">
        <f>April!G49+F49</f>
        <v>0</v>
      </c>
    </row>
    <row r="50" spans="1:256" x14ac:dyDescent="0.2">
      <c r="A50" s="11" t="s">
        <v>47</v>
      </c>
      <c r="B50" s="86"/>
      <c r="C50" s="27">
        <f>April!C50+B50</f>
        <v>0</v>
      </c>
      <c r="D50" s="87"/>
      <c r="E50" s="27">
        <f>April!E50+D50</f>
        <v>0</v>
      </c>
      <c r="F50" s="27"/>
      <c r="G50" s="27">
        <f>April!G50+F50</f>
        <v>0</v>
      </c>
    </row>
    <row r="51" spans="1:256" x14ac:dyDescent="0.2">
      <c r="A51" s="11" t="s">
        <v>48</v>
      </c>
      <c r="B51" s="86"/>
      <c r="C51" s="27">
        <f>April!C51+B51</f>
        <v>0</v>
      </c>
      <c r="D51" s="87"/>
      <c r="E51" s="27">
        <f>April!E51+D51</f>
        <v>0</v>
      </c>
      <c r="F51" s="27"/>
      <c r="G51" s="27">
        <f>April!G51+F51</f>
        <v>0</v>
      </c>
    </row>
    <row r="52" spans="1:256" x14ac:dyDescent="0.2">
      <c r="A52" s="11" t="s">
        <v>49</v>
      </c>
      <c r="B52" s="86"/>
      <c r="C52" s="27">
        <f>April!C52+B52</f>
        <v>0</v>
      </c>
      <c r="D52" s="87"/>
      <c r="E52" s="27">
        <f>April!E52+D52</f>
        <v>0</v>
      </c>
      <c r="F52" s="27"/>
      <c r="G52" s="27">
        <f>April!G52+F52</f>
        <v>0</v>
      </c>
    </row>
    <row r="53" spans="1:256" x14ac:dyDescent="0.2">
      <c r="A53" s="11" t="s">
        <v>50</v>
      </c>
      <c r="B53" s="86">
        <f>160+150+250+140+200+100+450+126+1800+3+24+2400+250+200+140+150+150+110+120+190+120+250+200+120+260+130+300+200+350+480</f>
        <v>9523</v>
      </c>
      <c r="C53" s="27">
        <f>April!C53+B53</f>
        <v>70814</v>
      </c>
      <c r="D53" s="87">
        <f>3+8</f>
        <v>11</v>
      </c>
      <c r="E53" s="27">
        <f>April!E53+D53</f>
        <v>55</v>
      </c>
      <c r="F53" s="27"/>
      <c r="G53" s="27">
        <f>April!G53+F53</f>
        <v>0</v>
      </c>
    </row>
    <row r="54" spans="1:256" ht="15.75" thickBot="1" x14ac:dyDescent="0.25">
      <c r="A54" s="95" t="s">
        <v>51</v>
      </c>
      <c r="B54" s="86">
        <f>1320+1040+2360+500+1800+15980</f>
        <v>23000</v>
      </c>
      <c r="C54" s="27">
        <f>April!C54+B54</f>
        <v>145456</v>
      </c>
      <c r="D54" s="87"/>
      <c r="E54" s="27">
        <f>April!E54+D54</f>
        <v>0</v>
      </c>
      <c r="F54" s="27"/>
      <c r="G54" s="27">
        <f>April!G54+F54</f>
        <v>0</v>
      </c>
    </row>
    <row r="55" spans="1:256" ht="26.1" customHeight="1" thickTop="1" thickBot="1" x14ac:dyDescent="0.25">
      <c r="A55" s="93" t="s">
        <v>53</v>
      </c>
      <c r="B55" s="15">
        <f>SUM(B7:B54)</f>
        <v>2207654</v>
      </c>
      <c r="C55" s="15">
        <f>April!C55+B55</f>
        <v>10810755</v>
      </c>
      <c r="D55" s="15">
        <f>SUM(D7:D54)</f>
        <v>21373</v>
      </c>
      <c r="E55" s="15">
        <f>April!E55+D55</f>
        <v>99034</v>
      </c>
      <c r="F55" s="15">
        <f>SUM(F7:F54)</f>
        <v>8817</v>
      </c>
      <c r="G55" s="15">
        <f>April!G55+F55</f>
        <v>54277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30"/>
      <c r="C56" s="30"/>
      <c r="D56" s="30"/>
      <c r="E56" s="30"/>
      <c r="F56" s="31"/>
      <c r="G56" s="31"/>
    </row>
    <row r="57" spans="1:256" ht="16.5" thickBot="1" x14ac:dyDescent="0.3">
      <c r="A57" s="19" t="s">
        <v>54</v>
      </c>
      <c r="B57" s="30"/>
      <c r="C57" s="20" t="s">
        <v>4</v>
      </c>
      <c r="D57" s="21" t="s">
        <v>5</v>
      </c>
      <c r="E57" s="30"/>
      <c r="F57" s="31"/>
      <c r="G57" s="31"/>
    </row>
    <row r="58" spans="1:256" x14ac:dyDescent="0.2">
      <c r="A58" s="1" t="s">
        <v>55</v>
      </c>
      <c r="B58" s="33"/>
      <c r="C58" s="34">
        <v>200</v>
      </c>
      <c r="D58" s="35">
        <f>April!D58+C58</f>
        <v>1300</v>
      </c>
      <c r="E58" s="30"/>
      <c r="F58" s="31"/>
      <c r="G58" s="31"/>
    </row>
    <row r="59" spans="1:256" x14ac:dyDescent="0.2">
      <c r="A59" s="1" t="s">
        <v>56</v>
      </c>
      <c r="B59" s="34"/>
      <c r="C59" s="34">
        <v>4220</v>
      </c>
      <c r="D59" s="35">
        <f>April!D59+C59</f>
        <v>12885</v>
      </c>
      <c r="E59" s="31"/>
      <c r="F59" s="31"/>
      <c r="G59" s="31"/>
    </row>
    <row r="60" spans="1:256" x14ac:dyDescent="0.2">
      <c r="A60" s="1" t="s">
        <v>57</v>
      </c>
      <c r="B60" s="34"/>
      <c r="C60" s="34"/>
      <c r="D60" s="35">
        <f>April!D60+C60</f>
        <v>2490</v>
      </c>
      <c r="E60" s="31"/>
      <c r="F60" s="31"/>
      <c r="G60" s="31"/>
    </row>
    <row r="61" spans="1:256" x14ac:dyDescent="0.2">
      <c r="A61" s="1" t="s">
        <v>58</v>
      </c>
      <c r="B61" s="34"/>
      <c r="C61" s="34"/>
      <c r="D61" s="35">
        <f>April!D61+C61</f>
        <v>0</v>
      </c>
      <c r="E61" s="31"/>
      <c r="F61" s="31"/>
      <c r="G61" s="31"/>
    </row>
    <row r="62" spans="1:256" x14ac:dyDescent="0.2">
      <c r="A62" s="1" t="s">
        <v>59</v>
      </c>
      <c r="B62" s="34"/>
      <c r="C62" s="34">
        <f>115+135+280+45+120+320+175+115+280+135+45+120+280+175+135+280+115+45+175+320+120+204+1096+2192+160+1120+810+280+1295+135+280+115+45+120+175+280+560+18+111+10+70+48+58+18+96+15+58+200+1280+720+1340+1124+2280+675+779+1600+315+204+175+96+105+115+280+135+45+280+175+120+30+115+135+45+280+120+45+175+120+280+115+135+310+45+175+280+120+3600</f>
        <v>31067</v>
      </c>
      <c r="D62" s="35">
        <f>April!D62+C62</f>
        <v>133245</v>
      </c>
      <c r="E62" s="31"/>
      <c r="F62" s="31"/>
      <c r="G62" s="31"/>
    </row>
    <row r="63" spans="1:256" x14ac:dyDescent="0.2">
      <c r="A63" s="1" t="s">
        <v>65</v>
      </c>
      <c r="B63" s="34"/>
      <c r="C63" s="34">
        <f>106+275+75+170+340+15+52+339+275+75+170+45+240+295+75+420+577+130+275+75+45+270+170+260+320+44+36+596+52+275+75+106+45+270+45+105+420+275+170+240+365+275+175+35+621+320+276+75+170+52+295+106+45+270+75+170+275+240+106+45+290+275+75+170+320+130+320+476+260+45+45+260+52+396+275+175+320+15+12+405+275+75+170+52+352+140+170+75+275+190+52+275+95+35+20+345+320+320+106+45+270+354+275+75+170+175+320+275+240+106+45+270+275+170+75+240+52+52+275+175+320+12+281+275+75+170+45+275+24+45+560</f>
        <v>25508</v>
      </c>
      <c r="D63" s="35">
        <f>April!D63+C63</f>
        <v>75771</v>
      </c>
      <c r="E63" s="31"/>
      <c r="F63" s="31"/>
      <c r="G63" s="31"/>
    </row>
    <row r="64" spans="1:256" x14ac:dyDescent="0.2">
      <c r="A64" s="1" t="s">
        <v>63</v>
      </c>
      <c r="B64" s="34"/>
      <c r="C64" s="34">
        <f>130+250+260+140+175+250+35+70+140+110+64+230+85+57+64+175+235+174+58+180+50+40+72+72+72+38+7+175+35+70+244+70+75+245+70+57+40+38+7+72+135+35+250+35+70+190+65+80+72+38+7+120+245+125+90+70+230+80+82+57+157+8+72+405+170+90+115+80+250+115+470+205+370+85+85+45+150+230+140+170+185+180+150+90+80+85+450+130+470+405+170+670+170+185+180+315+85+45+45+280+570+104+70+56+86+230+85+55+77+8+175+120+35+240+125+85+35+255+70+190+70+35+40+72+72+37+8+80+115+115+250+115+120+180+170+405+170+55+65+200+115+120+140+170+185+180+150+140+130+90+260+130+16+125+115+80+250+115+120+180+170+405+170+295+215+140+170+185+290+45+80+100</f>
        <v>24410</v>
      </c>
      <c r="D64" s="35">
        <f>April!D64+C64</f>
        <v>86079</v>
      </c>
      <c r="E64" s="31"/>
      <c r="F64" s="31"/>
      <c r="G64" s="31"/>
    </row>
    <row r="65" spans="1:7" x14ac:dyDescent="0.2">
      <c r="A65" s="1" t="s">
        <v>60</v>
      </c>
      <c r="B65" s="31"/>
      <c r="C65" s="34"/>
      <c r="D65" s="35">
        <f>April!D65+C65</f>
        <v>0</v>
      </c>
      <c r="E65" s="31"/>
      <c r="F65" s="31"/>
      <c r="G65" s="31"/>
    </row>
    <row r="66" spans="1:7" x14ac:dyDescent="0.2">
      <c r="A66" s="1" t="s">
        <v>61</v>
      </c>
      <c r="B66" s="31"/>
      <c r="C66" s="34">
        <f>188+75+63+67+60+140+80+87+67+160+90+140+82+85+270+160+77+87+70+4+140+140+75+87+87+180+200+87+77+140+60+87+77+140+240+85+77+90+140+70+87+87+280+60+59+77</f>
        <v>4981</v>
      </c>
      <c r="D66" s="35">
        <f>April!D66+C66</f>
        <v>35392</v>
      </c>
      <c r="E66" s="31"/>
      <c r="F66" s="31"/>
      <c r="G66" s="31"/>
    </row>
    <row r="67" spans="1:7" x14ac:dyDescent="0.2">
      <c r="A67" s="1" t="s">
        <v>62</v>
      </c>
      <c r="B67" s="31"/>
      <c r="C67" s="34">
        <v>850</v>
      </c>
      <c r="D67" s="35">
        <f>April!D67+C67</f>
        <v>2450</v>
      </c>
      <c r="E67" s="31"/>
      <c r="F67" s="31"/>
      <c r="G67" s="31"/>
    </row>
    <row r="68" spans="1:7" x14ac:dyDescent="0.2">
      <c r="C68" s="23"/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115" zoomScaleNormal="115" workbookViewId="0">
      <pane ySplit="6" topLeftCell="A7" activePane="bottomLeft" state="frozen"/>
      <selection pane="bottomLeft" activeCell="B13" sqref="B13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2.5546875" bestFit="1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62"/>
      <c r="C2" s="31"/>
      <c r="D2" s="62"/>
      <c r="E2" s="31"/>
      <c r="F2" t="s">
        <v>71</v>
      </c>
      <c r="I2" s="2"/>
    </row>
    <row r="3" spans="1:256" ht="15.75" x14ac:dyDescent="0.25">
      <c r="F3" t="s">
        <v>77</v>
      </c>
      <c r="I3" s="2"/>
    </row>
    <row r="4" spans="1:256" ht="16.5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15.75" x14ac:dyDescent="0.25">
      <c r="A7" s="11" t="s">
        <v>6</v>
      </c>
      <c r="B7" s="88"/>
      <c r="C7" s="12">
        <f>May!C7+B7</f>
        <v>14074</v>
      </c>
      <c r="D7" s="84"/>
      <c r="E7" s="12">
        <f>May!E7+D7</f>
        <v>0</v>
      </c>
      <c r="F7" s="12"/>
      <c r="G7" s="12">
        <f>May!G7+F7</f>
        <v>0</v>
      </c>
    </row>
    <row r="8" spans="1:256" x14ac:dyDescent="0.2">
      <c r="A8" s="11" t="s">
        <v>64</v>
      </c>
      <c r="B8" s="82"/>
      <c r="C8" s="12">
        <f>May!C8+B8</f>
        <v>0</v>
      </c>
      <c r="D8" s="84"/>
      <c r="E8" s="12">
        <f>May!E8+D8</f>
        <v>2</v>
      </c>
      <c r="F8" s="12"/>
      <c r="G8" s="12">
        <f>May!G8+F8</f>
        <v>0</v>
      </c>
    </row>
    <row r="9" spans="1:256" x14ac:dyDescent="0.2">
      <c r="A9" s="11" t="s">
        <v>7</v>
      </c>
      <c r="B9" s="79"/>
      <c r="C9" s="12">
        <f>May!C9+B9</f>
        <v>92566</v>
      </c>
      <c r="D9" s="81"/>
      <c r="E9" s="12">
        <f>May!E9+D9</f>
        <v>13</v>
      </c>
      <c r="F9" s="12"/>
      <c r="G9" s="12">
        <f>May!G9+F9</f>
        <v>0</v>
      </c>
    </row>
    <row r="10" spans="1:256" x14ac:dyDescent="0.2">
      <c r="A10" s="11" t="s">
        <v>8</v>
      </c>
      <c r="B10" s="82"/>
      <c r="C10" s="12">
        <f>May!C10+B10</f>
        <v>0</v>
      </c>
      <c r="D10" s="84"/>
      <c r="E10" s="12">
        <f>May!E10+D10</f>
        <v>1</v>
      </c>
      <c r="F10" s="12"/>
      <c r="G10" s="12">
        <f>May!G10+F10</f>
        <v>0</v>
      </c>
    </row>
    <row r="11" spans="1:256" x14ac:dyDescent="0.2">
      <c r="A11" s="99" t="s">
        <v>52</v>
      </c>
      <c r="B11" s="82"/>
      <c r="C11" s="12">
        <f>May!C11+B11</f>
        <v>1149105</v>
      </c>
      <c r="D11" s="84"/>
      <c r="E11" s="12">
        <f>May!E11+D11</f>
        <v>3579</v>
      </c>
      <c r="F11" s="12"/>
      <c r="G11" s="12">
        <f>May!G11+F11</f>
        <v>54152</v>
      </c>
    </row>
    <row r="12" spans="1:256" x14ac:dyDescent="0.2">
      <c r="A12" s="11" t="s">
        <v>9</v>
      </c>
      <c r="B12" s="79">
        <f>850+850+950+950+1650+2475+2475+825+2475+475</f>
        <v>13975</v>
      </c>
      <c r="C12" s="12">
        <f>May!C12+B12</f>
        <v>583390</v>
      </c>
      <c r="D12" s="84">
        <f>5+2+4+1</f>
        <v>12</v>
      </c>
      <c r="E12" s="12">
        <f>May!E12+D12</f>
        <v>878</v>
      </c>
      <c r="F12" s="12"/>
      <c r="G12" s="12">
        <f>May!G12+F12</f>
        <v>0</v>
      </c>
    </row>
    <row r="13" spans="1:256" x14ac:dyDescent="0.2">
      <c r="A13" s="11" t="s">
        <v>10</v>
      </c>
      <c r="B13" s="79"/>
      <c r="C13" s="12">
        <f>May!C13+B13</f>
        <v>0</v>
      </c>
      <c r="D13" s="84"/>
      <c r="E13" s="12">
        <f>May!E13+D13</f>
        <v>0</v>
      </c>
      <c r="F13" s="12"/>
      <c r="G13" s="12">
        <f>May!G13+F13</f>
        <v>0</v>
      </c>
    </row>
    <row r="14" spans="1:256" x14ac:dyDescent="0.2">
      <c r="A14" s="11" t="s">
        <v>11</v>
      </c>
      <c r="B14" s="79"/>
      <c r="C14" s="12">
        <f>May!C14+B14</f>
        <v>0</v>
      </c>
      <c r="D14" s="84"/>
      <c r="E14" s="12">
        <f>May!E14+D14</f>
        <v>0</v>
      </c>
      <c r="F14" s="12"/>
      <c r="G14" s="12">
        <f>May!G14+F14</f>
        <v>0</v>
      </c>
    </row>
    <row r="15" spans="1:256" x14ac:dyDescent="0.2">
      <c r="A15" s="11" t="s">
        <v>12</v>
      </c>
      <c r="B15" s="79"/>
      <c r="C15" s="12">
        <f>May!C15+B15</f>
        <v>0</v>
      </c>
      <c r="D15" s="84"/>
      <c r="E15" s="12">
        <f>May!E15+D15</f>
        <v>1</v>
      </c>
      <c r="F15" s="12"/>
      <c r="G15" s="12">
        <f>May!G15+F15</f>
        <v>0</v>
      </c>
    </row>
    <row r="16" spans="1:256" x14ac:dyDescent="0.2">
      <c r="A16" s="11" t="s">
        <v>13</v>
      </c>
      <c r="B16" s="79"/>
      <c r="C16" s="12">
        <f>May!C16+B16</f>
        <v>13550</v>
      </c>
      <c r="D16" s="84"/>
      <c r="E16" s="12">
        <f>May!E16+D16</f>
        <v>2</v>
      </c>
      <c r="F16" s="12"/>
      <c r="G16" s="12">
        <f>May!G16+F16</f>
        <v>0</v>
      </c>
    </row>
    <row r="17" spans="1:7" x14ac:dyDescent="0.2">
      <c r="A17" s="11" t="s">
        <v>14</v>
      </c>
      <c r="B17" s="79"/>
      <c r="C17" s="12">
        <f>May!C17+B17</f>
        <v>1</v>
      </c>
      <c r="D17" s="84"/>
      <c r="E17" s="12">
        <f>May!E17+D17</f>
        <v>0</v>
      </c>
      <c r="F17" s="12"/>
      <c r="G17" s="12">
        <f>May!G17+F17</f>
        <v>0</v>
      </c>
    </row>
    <row r="18" spans="1:7" x14ac:dyDescent="0.2">
      <c r="A18" s="11" t="s">
        <v>15</v>
      </c>
      <c r="B18" s="79"/>
      <c r="C18" s="12">
        <f>May!C18+B18</f>
        <v>2128254</v>
      </c>
      <c r="D18" s="84"/>
      <c r="E18" s="12">
        <f>May!E18+D18</f>
        <v>11486</v>
      </c>
      <c r="F18" s="12"/>
      <c r="G18" s="12">
        <f>May!G18+F18</f>
        <v>0</v>
      </c>
    </row>
    <row r="19" spans="1:7" x14ac:dyDescent="0.2">
      <c r="A19" s="11" t="s">
        <v>16</v>
      </c>
      <c r="B19" s="82"/>
      <c r="C19" s="12">
        <f>May!C19+B19</f>
        <v>139935</v>
      </c>
      <c r="D19" s="84"/>
      <c r="E19" s="12">
        <f>May!E19+D19</f>
        <v>380</v>
      </c>
      <c r="F19" s="12"/>
      <c r="G19" s="12">
        <f>May!G19+F19</f>
        <v>0</v>
      </c>
    </row>
    <row r="20" spans="1:7" x14ac:dyDescent="0.2">
      <c r="A20" s="11" t="s">
        <v>17</v>
      </c>
      <c r="B20" s="82">
        <f>242+550</f>
        <v>792</v>
      </c>
      <c r="C20" s="12">
        <f>May!C20+B20</f>
        <v>106943</v>
      </c>
      <c r="D20" s="84">
        <f>1+2+1+3</f>
        <v>7</v>
      </c>
      <c r="E20" s="12">
        <f>May!E20+D20</f>
        <v>2057</v>
      </c>
      <c r="F20" s="12"/>
      <c r="G20" s="12">
        <f>May!G20+F20</f>
        <v>0</v>
      </c>
    </row>
    <row r="21" spans="1:7" x14ac:dyDescent="0.2">
      <c r="A21" s="11" t="s">
        <v>18</v>
      </c>
      <c r="B21" s="82"/>
      <c r="C21" s="12">
        <f>May!C21+B21</f>
        <v>0</v>
      </c>
      <c r="D21" s="84"/>
      <c r="E21" s="12">
        <f>May!E21+D21</f>
        <v>1664</v>
      </c>
      <c r="F21" s="12"/>
      <c r="G21" s="12">
        <f>May!G21+F21</f>
        <v>0</v>
      </c>
    </row>
    <row r="22" spans="1:7" x14ac:dyDescent="0.2">
      <c r="A22" s="11" t="s">
        <v>19</v>
      </c>
      <c r="B22" s="82"/>
      <c r="C22" s="12">
        <f>May!C22+B22</f>
        <v>0</v>
      </c>
      <c r="D22" s="84">
        <f>14+8</f>
        <v>22</v>
      </c>
      <c r="E22" s="12">
        <f>May!E22+D22</f>
        <v>32</v>
      </c>
      <c r="F22" s="12"/>
      <c r="G22" s="12">
        <f>May!G22+F22</f>
        <v>0</v>
      </c>
    </row>
    <row r="23" spans="1:7" x14ac:dyDescent="0.2">
      <c r="A23" s="11" t="s">
        <v>20</v>
      </c>
      <c r="B23" s="82"/>
      <c r="C23" s="12">
        <f>May!C23+B23</f>
        <v>0</v>
      </c>
      <c r="D23" s="84"/>
      <c r="E23" s="12">
        <f>May!E23+D23</f>
        <v>0</v>
      </c>
      <c r="F23" s="12"/>
      <c r="G23" s="12">
        <f>May!G23+F23</f>
        <v>0</v>
      </c>
    </row>
    <row r="24" spans="1:7" x14ac:dyDescent="0.2">
      <c r="A24" s="11" t="s">
        <v>21</v>
      </c>
      <c r="B24" s="82"/>
      <c r="C24" s="12">
        <f>May!C24+B24</f>
        <v>0</v>
      </c>
      <c r="D24" s="84"/>
      <c r="E24" s="12">
        <f>May!E24+D24</f>
        <v>0</v>
      </c>
      <c r="F24" s="12"/>
      <c r="G24" s="12">
        <f>May!G24+F24</f>
        <v>0</v>
      </c>
    </row>
    <row r="25" spans="1:7" x14ac:dyDescent="0.2">
      <c r="A25" s="11" t="s">
        <v>22</v>
      </c>
      <c r="B25" s="82"/>
      <c r="C25" s="12">
        <f>May!C25+B25</f>
        <v>0</v>
      </c>
      <c r="D25" s="84"/>
      <c r="E25" s="12">
        <f>May!E25+D25</f>
        <v>0</v>
      </c>
      <c r="F25" s="12"/>
      <c r="G25" s="12">
        <f>May!G25+F25</f>
        <v>0</v>
      </c>
    </row>
    <row r="26" spans="1:7" x14ac:dyDescent="0.2">
      <c r="A26" s="11" t="s">
        <v>23</v>
      </c>
      <c r="B26" s="82"/>
      <c r="C26" s="12">
        <f>May!C26+B26</f>
        <v>4465</v>
      </c>
      <c r="D26" s="84"/>
      <c r="E26" s="12">
        <f>May!E26+D26</f>
        <v>6167</v>
      </c>
      <c r="F26" s="12"/>
      <c r="G26" s="12">
        <f>May!G26+F26</f>
        <v>0</v>
      </c>
    </row>
    <row r="27" spans="1:7" x14ac:dyDescent="0.2">
      <c r="A27" s="11" t="s">
        <v>24</v>
      </c>
      <c r="B27" s="82"/>
      <c r="C27" s="12">
        <f>May!C27+B27</f>
        <v>1062881</v>
      </c>
      <c r="D27" s="84"/>
      <c r="E27" s="12">
        <f>May!E27+D27</f>
        <v>6787</v>
      </c>
      <c r="F27" s="12"/>
      <c r="G27" s="12">
        <f>May!G27+F27</f>
        <v>56</v>
      </c>
    </row>
    <row r="28" spans="1:7" x14ac:dyDescent="0.2">
      <c r="A28" s="11" t="s">
        <v>25</v>
      </c>
      <c r="B28" s="82"/>
      <c r="C28" s="12">
        <f>May!C28+B28</f>
        <v>316445</v>
      </c>
      <c r="D28" s="84"/>
      <c r="E28" s="12">
        <f>May!E28+D28</f>
        <v>0</v>
      </c>
      <c r="F28" s="12"/>
      <c r="G28" s="12">
        <f>May!G28+F28</f>
        <v>0</v>
      </c>
    </row>
    <row r="29" spans="1:7" x14ac:dyDescent="0.2">
      <c r="A29" s="11" t="s">
        <v>26</v>
      </c>
      <c r="B29" s="79">
        <f>826+827+827+270+549+640+800+800+781+876+715+620+620+404+768+768+278+524+1536+673+673+575+575+1240+490+1285+2320+1980+825+737+737+650+736+1450+250+500+2010+2294+787+825+2170+1818+607+788+2516+2195+810+695+1390+695+1305+400+445+343</f>
        <v>51218</v>
      </c>
      <c r="C29" s="12">
        <f>May!C29+B29</f>
        <v>1718175</v>
      </c>
      <c r="D29" s="84">
        <f>1+5</f>
        <v>6</v>
      </c>
      <c r="E29" s="12">
        <f>May!E29+D29</f>
        <v>471</v>
      </c>
      <c r="F29" s="12"/>
      <c r="G29" s="12">
        <f>May!G29+F29</f>
        <v>69</v>
      </c>
    </row>
    <row r="30" spans="1:7" x14ac:dyDescent="0.2">
      <c r="A30" s="11" t="s">
        <v>27</v>
      </c>
      <c r="B30" s="82"/>
      <c r="C30" s="12">
        <f>May!C30+B30</f>
        <v>25560</v>
      </c>
      <c r="D30" s="84"/>
      <c r="E30" s="12">
        <f>May!E30+D30</f>
        <v>0</v>
      </c>
      <c r="F30" s="12"/>
      <c r="G30" s="12">
        <f>May!G30+F30</f>
        <v>0</v>
      </c>
    </row>
    <row r="31" spans="1:7" x14ac:dyDescent="0.2">
      <c r="A31" s="11" t="s">
        <v>28</v>
      </c>
      <c r="B31" s="82">
        <f>1287+1060+700+900+1287+1060+700+1456+1060+600+1456+1000+700+675+490+2400+900+700+700</f>
        <v>19131</v>
      </c>
      <c r="C31" s="12">
        <f>May!C31+B31</f>
        <v>830253</v>
      </c>
      <c r="D31" s="81">
        <f>6+400+1+45+1+1+1+625+2+215+650+400+123+515+100+6+6</f>
        <v>3097</v>
      </c>
      <c r="E31" s="12">
        <f>May!E31+D31</f>
        <v>37619</v>
      </c>
      <c r="F31" s="12"/>
      <c r="G31" s="12">
        <f>May!G31+F31</f>
        <v>0</v>
      </c>
    </row>
    <row r="32" spans="1:7" x14ac:dyDescent="0.2">
      <c r="A32" s="11" t="s">
        <v>29</v>
      </c>
      <c r="B32" s="82"/>
      <c r="C32" s="12">
        <f>May!C32+B32</f>
        <v>0</v>
      </c>
      <c r="D32" s="84"/>
      <c r="E32" s="12">
        <f>May!E32+D32</f>
        <v>0</v>
      </c>
      <c r="F32" s="12"/>
      <c r="G32" s="12">
        <f>May!G32+F32</f>
        <v>0</v>
      </c>
    </row>
    <row r="33" spans="1:7" x14ac:dyDescent="0.2">
      <c r="A33" s="11" t="s">
        <v>30</v>
      </c>
      <c r="B33" s="82"/>
      <c r="C33" s="12">
        <f>May!C33+B33</f>
        <v>0</v>
      </c>
      <c r="D33" s="84"/>
      <c r="E33" s="12">
        <f>May!E33+D33</f>
        <v>0</v>
      </c>
      <c r="F33" s="12"/>
      <c r="G33" s="12">
        <f>May!G33+F33</f>
        <v>0</v>
      </c>
    </row>
    <row r="34" spans="1:7" x14ac:dyDescent="0.2">
      <c r="A34" s="11" t="s">
        <v>31</v>
      </c>
      <c r="B34" s="82"/>
      <c r="C34" s="12">
        <f>May!C34+B34</f>
        <v>0</v>
      </c>
      <c r="D34" s="84"/>
      <c r="E34" s="12">
        <f>May!E34+D34</f>
        <v>0</v>
      </c>
      <c r="F34" s="12"/>
      <c r="G34" s="12">
        <f>May!G34+F34</f>
        <v>0</v>
      </c>
    </row>
    <row r="35" spans="1:7" x14ac:dyDescent="0.2">
      <c r="A35" s="11" t="s">
        <v>32</v>
      </c>
      <c r="B35" s="82"/>
      <c r="C35" s="12">
        <f>May!C35+B35</f>
        <v>0</v>
      </c>
      <c r="D35" s="84"/>
      <c r="E35" s="12">
        <f>May!E35+D35</f>
        <v>0</v>
      </c>
      <c r="F35" s="12"/>
      <c r="G35" s="12">
        <f>May!G35+F35</f>
        <v>0</v>
      </c>
    </row>
    <row r="36" spans="1:7" x14ac:dyDescent="0.2">
      <c r="A36" s="11" t="s">
        <v>33</v>
      </c>
      <c r="B36" s="82"/>
      <c r="C36" s="12">
        <f>May!C36+B36</f>
        <v>0</v>
      </c>
      <c r="D36" s="84"/>
      <c r="E36" s="12">
        <f>May!E36+D36</f>
        <v>0</v>
      </c>
      <c r="F36" s="12"/>
      <c r="G36" s="12">
        <f>May!G36+F36</f>
        <v>0</v>
      </c>
    </row>
    <row r="37" spans="1:7" x14ac:dyDescent="0.2">
      <c r="A37" s="11" t="s">
        <v>34</v>
      </c>
      <c r="B37" s="82"/>
      <c r="C37" s="12">
        <f>May!C37+B37</f>
        <v>566902</v>
      </c>
      <c r="D37" s="84"/>
      <c r="E37" s="12">
        <f>May!E37+D37</f>
        <v>0</v>
      </c>
      <c r="F37" s="12"/>
      <c r="G37" s="12">
        <f>May!G37+F37</f>
        <v>0</v>
      </c>
    </row>
    <row r="38" spans="1:7" x14ac:dyDescent="0.2">
      <c r="A38" s="11" t="s">
        <v>35</v>
      </c>
      <c r="B38" s="82"/>
      <c r="C38" s="12">
        <f>May!C38+B38</f>
        <v>174523</v>
      </c>
      <c r="D38" s="84"/>
      <c r="E38" s="12">
        <f>May!E38+D38</f>
        <v>3959</v>
      </c>
      <c r="F38" s="12"/>
      <c r="G38" s="12">
        <f>May!G38+F38</f>
        <v>0</v>
      </c>
    </row>
    <row r="39" spans="1:7" x14ac:dyDescent="0.2">
      <c r="A39" s="11" t="s">
        <v>36</v>
      </c>
      <c r="B39" s="82"/>
      <c r="C39" s="12">
        <f>May!C39+B39</f>
        <v>75162</v>
      </c>
      <c r="D39" s="84">
        <f>4+4+4+1+2+4+3+5+5+2+4+4+4+4+5</f>
        <v>55</v>
      </c>
      <c r="E39" s="12">
        <f>May!E39+D39</f>
        <v>7946</v>
      </c>
      <c r="F39" s="12"/>
      <c r="G39" s="12">
        <f>May!G39+F39</f>
        <v>0</v>
      </c>
    </row>
    <row r="40" spans="1:7" x14ac:dyDescent="0.2">
      <c r="A40" s="11" t="s">
        <v>37</v>
      </c>
      <c r="B40" s="82">
        <f>2170+2160+2160+1500+1500</f>
        <v>9490</v>
      </c>
      <c r="C40" s="12">
        <f>May!C40+B40</f>
        <v>885363</v>
      </c>
      <c r="D40" s="84">
        <f>1+2</f>
        <v>3</v>
      </c>
      <c r="E40" s="12">
        <f>May!E40+D40</f>
        <v>8111</v>
      </c>
      <c r="F40" s="12"/>
      <c r="G40" s="12">
        <f>May!G40+F40</f>
        <v>0</v>
      </c>
    </row>
    <row r="41" spans="1:7" x14ac:dyDescent="0.2">
      <c r="A41" s="11" t="s">
        <v>38</v>
      </c>
      <c r="B41" s="82"/>
      <c r="C41" s="12">
        <f>May!C41+B41</f>
        <v>0</v>
      </c>
      <c r="D41" s="84"/>
      <c r="E41" s="12">
        <f>May!E41+D41</f>
        <v>0</v>
      </c>
      <c r="F41" s="12"/>
      <c r="G41" s="12">
        <f>May!G41+F41</f>
        <v>0</v>
      </c>
    </row>
    <row r="42" spans="1:7" x14ac:dyDescent="0.2">
      <c r="A42" s="11" t="s">
        <v>39</v>
      </c>
      <c r="B42" s="82"/>
      <c r="C42" s="12">
        <f>May!C42+B42</f>
        <v>0</v>
      </c>
      <c r="D42" s="84"/>
      <c r="E42" s="12">
        <f>May!E42+D42</f>
        <v>3071</v>
      </c>
      <c r="F42" s="12"/>
      <c r="G42" s="12">
        <f>May!G42+F42</f>
        <v>0</v>
      </c>
    </row>
    <row r="43" spans="1:7" x14ac:dyDescent="0.2">
      <c r="A43" s="11" t="s">
        <v>40</v>
      </c>
      <c r="B43" s="82"/>
      <c r="C43" s="12">
        <f>May!C43+B43</f>
        <v>0</v>
      </c>
      <c r="D43" s="84"/>
      <c r="E43" s="12">
        <f>May!E43+D43</f>
        <v>0</v>
      </c>
      <c r="F43" s="12"/>
      <c r="G43" s="12">
        <f>May!G43+F43</f>
        <v>0</v>
      </c>
    </row>
    <row r="44" spans="1:7" x14ac:dyDescent="0.2">
      <c r="A44" s="11" t="s">
        <v>41</v>
      </c>
      <c r="B44" s="82"/>
      <c r="C44" s="12">
        <f>May!C44+B44</f>
        <v>5800</v>
      </c>
      <c r="D44" s="84"/>
      <c r="E44" s="12">
        <f>May!E44+D44</f>
        <v>0</v>
      </c>
      <c r="F44" s="12"/>
      <c r="G44" s="12">
        <f>May!G44+F44</f>
        <v>0</v>
      </c>
    </row>
    <row r="45" spans="1:7" x14ac:dyDescent="0.2">
      <c r="A45" s="11" t="s">
        <v>42</v>
      </c>
      <c r="B45" s="79">
        <f>308+27+124+2400</f>
        <v>2859</v>
      </c>
      <c r="C45" s="12">
        <f>May!C45+B45</f>
        <v>247204</v>
      </c>
      <c r="D45" s="84">
        <f>240+229+128+210+2+3+1</f>
        <v>813</v>
      </c>
      <c r="E45" s="12">
        <f>May!E45+D45</f>
        <v>8664</v>
      </c>
      <c r="F45" s="12"/>
      <c r="G45" s="12">
        <f>May!G45+F45</f>
        <v>0</v>
      </c>
    </row>
    <row r="46" spans="1:7" x14ac:dyDescent="0.2">
      <c r="A46" s="11" t="s">
        <v>43</v>
      </c>
      <c r="B46" s="82"/>
      <c r="C46" s="12">
        <f>May!C46+B46</f>
        <v>21</v>
      </c>
      <c r="D46" s="84"/>
      <c r="E46" s="12">
        <f>May!E46+D46</f>
        <v>0</v>
      </c>
      <c r="F46" s="12"/>
      <c r="G46" s="12">
        <f>May!G46+F46</f>
        <v>0</v>
      </c>
    </row>
    <row r="47" spans="1:7" x14ac:dyDescent="0.2">
      <c r="A47" s="11" t="s">
        <v>44</v>
      </c>
      <c r="B47" s="82"/>
      <c r="C47" s="12">
        <f>May!C47+B47</f>
        <v>389563</v>
      </c>
      <c r="D47" s="84">
        <f>2</f>
        <v>2</v>
      </c>
      <c r="E47" s="12">
        <f>May!E47+D47</f>
        <v>106</v>
      </c>
      <c r="F47" s="12"/>
      <c r="G47" s="12">
        <f>May!G47+F47</f>
        <v>0</v>
      </c>
    </row>
    <row r="48" spans="1:7" x14ac:dyDescent="0.2">
      <c r="A48" s="11" t="s">
        <v>45</v>
      </c>
      <c r="B48" s="82"/>
      <c r="C48" s="12">
        <f>May!C48+B48</f>
        <v>161815</v>
      </c>
      <c r="D48" s="84"/>
      <c r="E48" s="12">
        <f>May!E48+D48</f>
        <v>0</v>
      </c>
      <c r="F48" s="12"/>
      <c r="G48" s="12">
        <f>May!G48+F48</f>
        <v>0</v>
      </c>
    </row>
    <row r="49" spans="1:256" x14ac:dyDescent="0.2">
      <c r="A49" s="11" t="s">
        <v>46</v>
      </c>
      <c r="B49" s="82"/>
      <c r="C49" s="12">
        <f>May!C49+B49</f>
        <v>0</v>
      </c>
      <c r="D49" s="84"/>
      <c r="E49" s="12">
        <f>May!E49+D49</f>
        <v>0</v>
      </c>
      <c r="F49" s="12"/>
      <c r="G49" s="12">
        <f>May!G49+F49</f>
        <v>0</v>
      </c>
    </row>
    <row r="50" spans="1:256" x14ac:dyDescent="0.2">
      <c r="A50" s="11" t="s">
        <v>47</v>
      </c>
      <c r="B50" s="82"/>
      <c r="C50" s="12">
        <f>May!C50+B50</f>
        <v>0</v>
      </c>
      <c r="D50" s="84"/>
      <c r="E50" s="12">
        <f>May!E50+D50</f>
        <v>0</v>
      </c>
      <c r="F50" s="12"/>
      <c r="G50" s="12">
        <f>May!G50+F50</f>
        <v>0</v>
      </c>
    </row>
    <row r="51" spans="1:256" x14ac:dyDescent="0.2">
      <c r="A51" s="11" t="s">
        <v>48</v>
      </c>
      <c r="B51" s="82"/>
      <c r="C51" s="12">
        <f>May!C51+B51</f>
        <v>0</v>
      </c>
      <c r="D51" s="84"/>
      <c r="E51" s="12">
        <f>May!E51+D51</f>
        <v>0</v>
      </c>
      <c r="F51" s="12"/>
      <c r="G51" s="12">
        <f>May!G51+F51</f>
        <v>0</v>
      </c>
    </row>
    <row r="52" spans="1:256" x14ac:dyDescent="0.2">
      <c r="A52" s="11" t="s">
        <v>49</v>
      </c>
      <c r="B52" s="82"/>
      <c r="C52" s="12">
        <f>May!C52+B52</f>
        <v>0</v>
      </c>
      <c r="D52" s="84"/>
      <c r="E52" s="12">
        <f>May!E52+D52</f>
        <v>0</v>
      </c>
      <c r="F52" s="12"/>
      <c r="G52" s="12">
        <f>May!G52+F52</f>
        <v>0</v>
      </c>
    </row>
    <row r="53" spans="1:256" x14ac:dyDescent="0.2">
      <c r="A53" s="11" t="s">
        <v>50</v>
      </c>
      <c r="B53" s="82"/>
      <c r="C53" s="12">
        <f>May!C53+B53</f>
        <v>70814</v>
      </c>
      <c r="D53" s="84"/>
      <c r="E53" s="12">
        <f>May!E53+D53</f>
        <v>55</v>
      </c>
      <c r="F53" s="12"/>
      <c r="G53" s="12">
        <f>May!G53+F53</f>
        <v>0</v>
      </c>
    </row>
    <row r="54" spans="1:256" ht="15.75" thickBot="1" x14ac:dyDescent="0.25">
      <c r="A54" s="11" t="s">
        <v>51</v>
      </c>
      <c r="B54" s="82"/>
      <c r="C54" s="12">
        <f>May!C54+B54</f>
        <v>145456</v>
      </c>
      <c r="D54" s="84"/>
      <c r="E54" s="12">
        <f>May!E54+D54</f>
        <v>0</v>
      </c>
      <c r="F54" s="12"/>
      <c r="G54" s="12">
        <f>May!G54+F54</f>
        <v>0</v>
      </c>
    </row>
    <row r="55" spans="1:256" ht="26.1" customHeight="1" thickBot="1" x14ac:dyDescent="0.25">
      <c r="A55" s="14" t="s">
        <v>53</v>
      </c>
      <c r="B55" s="15">
        <f>SUM(B7:B54)</f>
        <v>97465</v>
      </c>
      <c r="C55" s="15">
        <f>May!C55+B55</f>
        <v>10908220</v>
      </c>
      <c r="D55" s="15">
        <f>SUM(D7:D54)</f>
        <v>4017</v>
      </c>
      <c r="E55" s="15">
        <f>May!E55+D55</f>
        <v>103051</v>
      </c>
      <c r="F55" s="15">
        <f>SUM(F7:F54)</f>
        <v>0</v>
      </c>
      <c r="G55" s="15">
        <f>May!G55+F55</f>
        <v>54277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May!D58+C58</f>
        <v>1300</v>
      </c>
      <c r="E58" s="18"/>
    </row>
    <row r="59" spans="1:256" x14ac:dyDescent="0.2">
      <c r="A59" s="1" t="s">
        <v>56</v>
      </c>
      <c r="B59" s="23"/>
      <c r="C59" s="23"/>
      <c r="D59" s="24">
        <f>May!D59+C59</f>
        <v>12885</v>
      </c>
    </row>
    <row r="60" spans="1:256" x14ac:dyDescent="0.2">
      <c r="A60" s="1" t="s">
        <v>57</v>
      </c>
      <c r="B60" s="23"/>
      <c r="C60" s="23"/>
      <c r="D60" s="24">
        <f>May!D60+C60</f>
        <v>2490</v>
      </c>
    </row>
    <row r="61" spans="1:256" x14ac:dyDescent="0.2">
      <c r="A61" s="1" t="s">
        <v>58</v>
      </c>
      <c r="B61" s="23"/>
      <c r="C61" s="23"/>
      <c r="D61" s="24">
        <f>May!D61+C61</f>
        <v>0</v>
      </c>
    </row>
    <row r="62" spans="1:256" x14ac:dyDescent="0.2">
      <c r="A62" s="1" t="s">
        <v>59</v>
      </c>
      <c r="B62" s="23"/>
      <c r="C62" s="23"/>
      <c r="D62" s="24">
        <f>May!D62+C62</f>
        <v>133245</v>
      </c>
    </row>
    <row r="63" spans="1:256" x14ac:dyDescent="0.2">
      <c r="A63" s="1" t="s">
        <v>65</v>
      </c>
      <c r="B63" s="23"/>
      <c r="C63" s="23"/>
      <c r="D63" s="24">
        <f>May!D63+C63</f>
        <v>75771</v>
      </c>
    </row>
    <row r="64" spans="1:256" x14ac:dyDescent="0.2">
      <c r="A64" s="1" t="s">
        <v>63</v>
      </c>
      <c r="B64" s="23"/>
      <c r="C64" s="23">
        <f>130</f>
        <v>130</v>
      </c>
      <c r="D64" s="24">
        <f>May!D64+C64</f>
        <v>86209</v>
      </c>
    </row>
    <row r="65" spans="1:4" x14ac:dyDescent="0.2">
      <c r="A65" s="1" t="s">
        <v>60</v>
      </c>
      <c r="C65" s="23"/>
      <c r="D65" s="24">
        <f>May!D65+C65</f>
        <v>0</v>
      </c>
    </row>
    <row r="66" spans="1:4" x14ac:dyDescent="0.2">
      <c r="A66" s="1" t="s">
        <v>61</v>
      </c>
      <c r="C66" s="23">
        <f>130+270+79+77+100+287+87</f>
        <v>1030</v>
      </c>
      <c r="D66" s="24">
        <f>May!D66+C66</f>
        <v>36422</v>
      </c>
    </row>
    <row r="67" spans="1:4" x14ac:dyDescent="0.2">
      <c r="A67" s="1" t="s">
        <v>62</v>
      </c>
      <c r="C67" s="23"/>
      <c r="D67" s="24">
        <f>May!D67+C67</f>
        <v>2450</v>
      </c>
    </row>
  </sheetData>
  <phoneticPr fontId="0" type="noConversion"/>
  <pageMargins left="0.5" right="0.5" top="0.5" bottom="0.5" header="0.5" footer="0.5"/>
  <pageSetup scale="7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0" zoomScaleNormal="70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4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72</v>
      </c>
      <c r="I2" s="2"/>
    </row>
    <row r="3" spans="1:256" ht="15.75" x14ac:dyDescent="0.25">
      <c r="F3" t="s">
        <v>77</v>
      </c>
      <c r="I3" s="2"/>
    </row>
    <row r="4" spans="1:256" ht="16.5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29" t="s">
        <v>6</v>
      </c>
      <c r="B7" s="86"/>
      <c r="C7" s="27">
        <f>June!C7+B7</f>
        <v>14074</v>
      </c>
      <c r="D7" s="87"/>
      <c r="E7" s="27">
        <f>June!E7+D7</f>
        <v>0</v>
      </c>
      <c r="F7" s="60"/>
      <c r="G7" s="27">
        <f>June!G7+F7</f>
        <v>0</v>
      </c>
    </row>
    <row r="8" spans="1:256" x14ac:dyDescent="0.2">
      <c r="A8" s="29" t="s">
        <v>64</v>
      </c>
      <c r="B8" s="86"/>
      <c r="C8" s="27">
        <f>June!C8+B8</f>
        <v>0</v>
      </c>
      <c r="D8" s="87"/>
      <c r="E8" s="27">
        <f>June!E8+D8</f>
        <v>2</v>
      </c>
      <c r="F8" s="60"/>
      <c r="G8" s="27">
        <f>June!G8+F8</f>
        <v>0</v>
      </c>
    </row>
    <row r="9" spans="1:256" x14ac:dyDescent="0.2">
      <c r="A9" s="29" t="s">
        <v>7</v>
      </c>
      <c r="B9" s="86"/>
      <c r="C9" s="27">
        <f>June!C9+B9</f>
        <v>92566</v>
      </c>
      <c r="D9" s="87"/>
      <c r="E9" s="27">
        <f>June!E9+D9</f>
        <v>13</v>
      </c>
      <c r="F9" s="60"/>
      <c r="G9" s="27">
        <f>June!G9+F9</f>
        <v>0</v>
      </c>
    </row>
    <row r="10" spans="1:256" x14ac:dyDescent="0.2">
      <c r="A10" s="29" t="s">
        <v>8</v>
      </c>
      <c r="B10" s="86"/>
      <c r="C10" s="27">
        <f>June!C10+B10</f>
        <v>0</v>
      </c>
      <c r="D10" s="87"/>
      <c r="E10" s="27">
        <f>June!E10+D10</f>
        <v>1</v>
      </c>
      <c r="F10" s="60"/>
      <c r="G10" s="27">
        <f>June!G10+F10</f>
        <v>0</v>
      </c>
    </row>
    <row r="11" spans="1:256" x14ac:dyDescent="0.2">
      <c r="A11" s="102" t="s">
        <v>52</v>
      </c>
      <c r="B11" s="79"/>
      <c r="C11" s="27">
        <f>June!C11+B11</f>
        <v>1149105</v>
      </c>
      <c r="D11" s="87"/>
      <c r="E11" s="27">
        <f>June!E11+D11</f>
        <v>3579</v>
      </c>
      <c r="F11" s="60"/>
      <c r="G11" s="27">
        <f>June!G11+F11</f>
        <v>54152</v>
      </c>
    </row>
    <row r="12" spans="1:256" x14ac:dyDescent="0.2">
      <c r="A12" s="29" t="s">
        <v>9</v>
      </c>
      <c r="B12" s="86"/>
      <c r="C12" s="27">
        <f>June!C12+B12</f>
        <v>583390</v>
      </c>
      <c r="D12" s="87"/>
      <c r="E12" s="27">
        <f>June!E12+D12</f>
        <v>878</v>
      </c>
      <c r="F12" s="60"/>
      <c r="G12" s="27">
        <f>June!G12+F12</f>
        <v>0</v>
      </c>
    </row>
    <row r="13" spans="1:256" x14ac:dyDescent="0.2">
      <c r="A13" s="29" t="s">
        <v>10</v>
      </c>
      <c r="B13" s="86"/>
      <c r="C13" s="27">
        <f>June!C13+B13</f>
        <v>0</v>
      </c>
      <c r="D13" s="87"/>
      <c r="E13" s="27">
        <f>June!E13+D13</f>
        <v>0</v>
      </c>
      <c r="F13" s="60"/>
      <c r="G13" s="27">
        <f>June!G13+F13</f>
        <v>0</v>
      </c>
    </row>
    <row r="14" spans="1:256" x14ac:dyDescent="0.2">
      <c r="A14" s="29" t="s">
        <v>11</v>
      </c>
      <c r="B14" s="86"/>
      <c r="C14" s="27">
        <f>June!C14+B14</f>
        <v>0</v>
      </c>
      <c r="D14" s="87"/>
      <c r="E14" s="27">
        <f>June!E14+D14</f>
        <v>0</v>
      </c>
      <c r="F14" s="60"/>
      <c r="G14" s="27">
        <f>June!G14+F14</f>
        <v>0</v>
      </c>
    </row>
    <row r="15" spans="1:256" x14ac:dyDescent="0.2">
      <c r="A15" s="29" t="s">
        <v>12</v>
      </c>
      <c r="B15" s="86"/>
      <c r="C15" s="27">
        <f>June!C15+B15</f>
        <v>0</v>
      </c>
      <c r="D15" s="87"/>
      <c r="E15" s="27">
        <f>June!E15+D15</f>
        <v>1</v>
      </c>
      <c r="F15" s="60"/>
      <c r="G15" s="27">
        <f>June!G15+F15</f>
        <v>0</v>
      </c>
    </row>
    <row r="16" spans="1:256" x14ac:dyDescent="0.2">
      <c r="A16" s="29" t="s">
        <v>13</v>
      </c>
      <c r="B16" s="86"/>
      <c r="C16" s="27">
        <f>June!C16+B16</f>
        <v>13550</v>
      </c>
      <c r="D16" s="87"/>
      <c r="E16" s="27">
        <f>June!E16+D16</f>
        <v>2</v>
      </c>
      <c r="F16" s="60"/>
      <c r="G16" s="27">
        <f>June!G16+F16</f>
        <v>0</v>
      </c>
    </row>
    <row r="17" spans="1:7" x14ac:dyDescent="0.2">
      <c r="A17" s="29" t="s">
        <v>14</v>
      </c>
      <c r="B17" s="86"/>
      <c r="C17" s="27">
        <f>June!C17+B17</f>
        <v>1</v>
      </c>
      <c r="D17" s="87"/>
      <c r="E17" s="27">
        <f>June!E17+D17</f>
        <v>0</v>
      </c>
      <c r="F17" s="60"/>
      <c r="G17" s="27">
        <f>June!G17+F17</f>
        <v>0</v>
      </c>
    </row>
    <row r="18" spans="1:7" x14ac:dyDescent="0.2">
      <c r="A18" s="29" t="s">
        <v>15</v>
      </c>
      <c r="B18" s="86"/>
      <c r="C18" s="27">
        <f>June!C18+B18</f>
        <v>2128254</v>
      </c>
      <c r="D18" s="87"/>
      <c r="E18" s="27">
        <f>June!E18+D18</f>
        <v>11486</v>
      </c>
      <c r="F18" s="60"/>
      <c r="G18" s="27">
        <f>June!G18+F18</f>
        <v>0</v>
      </c>
    </row>
    <row r="19" spans="1:7" x14ac:dyDescent="0.2">
      <c r="A19" s="29" t="s">
        <v>16</v>
      </c>
      <c r="B19" s="86"/>
      <c r="C19" s="27">
        <f>June!C19+B19</f>
        <v>139935</v>
      </c>
      <c r="D19" s="87"/>
      <c r="E19" s="27">
        <f>June!E19+D19</f>
        <v>380</v>
      </c>
      <c r="F19" s="60"/>
      <c r="G19" s="27">
        <f>June!G19+F19</f>
        <v>0</v>
      </c>
    </row>
    <row r="20" spans="1:7" x14ac:dyDescent="0.2">
      <c r="A20" s="29" t="s">
        <v>17</v>
      </c>
      <c r="B20" s="86"/>
      <c r="C20" s="27">
        <f>June!C20+B20</f>
        <v>106943</v>
      </c>
      <c r="D20" s="87"/>
      <c r="E20" s="27">
        <f>June!E20+D20</f>
        <v>2057</v>
      </c>
      <c r="F20" s="60"/>
      <c r="G20" s="27">
        <f>June!G20+F20</f>
        <v>0</v>
      </c>
    </row>
    <row r="21" spans="1:7" x14ac:dyDescent="0.2">
      <c r="A21" s="29" t="s">
        <v>18</v>
      </c>
      <c r="B21" s="86"/>
      <c r="C21" s="27">
        <f>June!C21+B21</f>
        <v>0</v>
      </c>
      <c r="D21" s="87"/>
      <c r="E21" s="27">
        <f>June!E21+D21</f>
        <v>1664</v>
      </c>
      <c r="F21" s="60"/>
      <c r="G21" s="27">
        <f>June!G21+F21</f>
        <v>0</v>
      </c>
    </row>
    <row r="22" spans="1:7" x14ac:dyDescent="0.2">
      <c r="A22" s="29" t="s">
        <v>19</v>
      </c>
      <c r="B22" s="86"/>
      <c r="C22" s="27">
        <f>June!C22+B22</f>
        <v>0</v>
      </c>
      <c r="D22" s="87"/>
      <c r="E22" s="27">
        <f>June!E22+D22</f>
        <v>32</v>
      </c>
      <c r="F22" s="60"/>
      <c r="G22" s="27">
        <f>June!G22+F22</f>
        <v>0</v>
      </c>
    </row>
    <row r="23" spans="1:7" x14ac:dyDescent="0.2">
      <c r="A23" s="29" t="s">
        <v>20</v>
      </c>
      <c r="B23" s="86"/>
      <c r="C23" s="27">
        <f>June!C23+B23</f>
        <v>0</v>
      </c>
      <c r="D23" s="87"/>
      <c r="E23" s="27">
        <f>June!E23+D23</f>
        <v>0</v>
      </c>
      <c r="F23" s="60"/>
      <c r="G23" s="27">
        <f>June!G23+F23</f>
        <v>0</v>
      </c>
    </row>
    <row r="24" spans="1:7" x14ac:dyDescent="0.2">
      <c r="A24" s="29" t="s">
        <v>21</v>
      </c>
      <c r="B24" s="86"/>
      <c r="C24" s="27">
        <f>June!C24+B24</f>
        <v>0</v>
      </c>
      <c r="D24" s="87"/>
      <c r="E24" s="27">
        <f>June!E24+D24</f>
        <v>0</v>
      </c>
      <c r="F24" s="60"/>
      <c r="G24" s="27">
        <f>June!G24+F24</f>
        <v>0</v>
      </c>
    </row>
    <row r="25" spans="1:7" x14ac:dyDescent="0.2">
      <c r="A25" s="29" t="s">
        <v>22</v>
      </c>
      <c r="B25" s="86"/>
      <c r="C25" s="27">
        <f>June!C25+B25</f>
        <v>0</v>
      </c>
      <c r="D25" s="87"/>
      <c r="E25" s="27">
        <f>June!E25+D25</f>
        <v>0</v>
      </c>
      <c r="F25" s="60"/>
      <c r="G25" s="27">
        <f>June!G25+F25</f>
        <v>0</v>
      </c>
    </row>
    <row r="26" spans="1:7" x14ac:dyDescent="0.2">
      <c r="A26" s="29" t="s">
        <v>23</v>
      </c>
      <c r="B26" s="86"/>
      <c r="C26" s="27">
        <f>June!C26+B26</f>
        <v>4465</v>
      </c>
      <c r="D26" s="87"/>
      <c r="E26" s="27">
        <f>June!E26+D26</f>
        <v>6167</v>
      </c>
      <c r="F26" s="60"/>
      <c r="G26" s="27">
        <f>June!G26+F26</f>
        <v>0</v>
      </c>
    </row>
    <row r="27" spans="1:7" x14ac:dyDescent="0.2">
      <c r="A27" s="29" t="s">
        <v>24</v>
      </c>
      <c r="B27" s="86"/>
      <c r="C27" s="27">
        <f>June!C27+B27</f>
        <v>1062881</v>
      </c>
      <c r="D27" s="87"/>
      <c r="E27" s="27">
        <f>June!E27+D27</f>
        <v>6787</v>
      </c>
      <c r="F27" s="60"/>
      <c r="G27" s="27">
        <f>June!G27+F27</f>
        <v>56</v>
      </c>
    </row>
    <row r="28" spans="1:7" x14ac:dyDescent="0.2">
      <c r="A28" s="29" t="s">
        <v>25</v>
      </c>
      <c r="B28" s="86"/>
      <c r="C28" s="27">
        <f>June!C28+B28</f>
        <v>316445</v>
      </c>
      <c r="D28" s="87"/>
      <c r="E28" s="27">
        <f>June!E28+D28</f>
        <v>0</v>
      </c>
      <c r="F28" s="60"/>
      <c r="G28" s="27">
        <f>June!G28+F28</f>
        <v>0</v>
      </c>
    </row>
    <row r="29" spans="1:7" x14ac:dyDescent="0.2">
      <c r="A29" s="29" t="s">
        <v>26</v>
      </c>
      <c r="B29" s="86"/>
      <c r="C29" s="27">
        <f>June!C29+B29</f>
        <v>1718175</v>
      </c>
      <c r="D29" s="87"/>
      <c r="E29" s="27">
        <f>June!E29+D29</f>
        <v>471</v>
      </c>
      <c r="F29" s="60"/>
      <c r="G29" s="27">
        <f>June!G29+F29</f>
        <v>69</v>
      </c>
    </row>
    <row r="30" spans="1:7" x14ac:dyDescent="0.2">
      <c r="A30" s="29" t="s">
        <v>27</v>
      </c>
      <c r="B30" s="86"/>
      <c r="C30" s="27">
        <f>June!C30+B30</f>
        <v>25560</v>
      </c>
      <c r="D30" s="87"/>
      <c r="E30" s="27">
        <f>June!E30+D30</f>
        <v>0</v>
      </c>
      <c r="F30" s="60"/>
      <c r="G30" s="27">
        <f>June!G30+F30</f>
        <v>0</v>
      </c>
    </row>
    <row r="31" spans="1:7" x14ac:dyDescent="0.2">
      <c r="A31" s="29" t="s">
        <v>28</v>
      </c>
      <c r="B31" s="86"/>
      <c r="C31" s="27">
        <f>June!C31+B31</f>
        <v>830253</v>
      </c>
      <c r="D31" s="87"/>
      <c r="E31" s="27">
        <f>June!E31+D31</f>
        <v>37619</v>
      </c>
      <c r="F31" s="60"/>
      <c r="G31" s="27">
        <f>June!G31+F31</f>
        <v>0</v>
      </c>
    </row>
    <row r="32" spans="1:7" x14ac:dyDescent="0.2">
      <c r="A32" s="29" t="s">
        <v>29</v>
      </c>
      <c r="B32" s="86"/>
      <c r="C32" s="27">
        <f>June!C32+B32</f>
        <v>0</v>
      </c>
      <c r="D32" s="87"/>
      <c r="E32" s="27">
        <f>June!E32+D32</f>
        <v>0</v>
      </c>
      <c r="F32" s="60"/>
      <c r="G32" s="27">
        <f>June!G32+F32</f>
        <v>0</v>
      </c>
    </row>
    <row r="33" spans="1:7" x14ac:dyDescent="0.2">
      <c r="A33" s="29" t="s">
        <v>30</v>
      </c>
      <c r="B33" s="86"/>
      <c r="C33" s="27">
        <f>June!C33+B33</f>
        <v>0</v>
      </c>
      <c r="D33" s="87"/>
      <c r="E33" s="27">
        <f>June!E33+D33</f>
        <v>0</v>
      </c>
      <c r="F33" s="60"/>
      <c r="G33" s="27">
        <f>June!G33+F33</f>
        <v>0</v>
      </c>
    </row>
    <row r="34" spans="1:7" x14ac:dyDescent="0.2">
      <c r="A34" s="29" t="s">
        <v>31</v>
      </c>
      <c r="B34" s="86"/>
      <c r="C34" s="27">
        <f>June!C34+B34</f>
        <v>0</v>
      </c>
      <c r="D34" s="87"/>
      <c r="E34" s="27">
        <f>June!E34+D34</f>
        <v>0</v>
      </c>
      <c r="F34" s="60"/>
      <c r="G34" s="27">
        <f>June!G34+F34</f>
        <v>0</v>
      </c>
    </row>
    <row r="35" spans="1:7" x14ac:dyDescent="0.2">
      <c r="A35" s="29" t="s">
        <v>32</v>
      </c>
      <c r="B35" s="86"/>
      <c r="C35" s="27">
        <f>June!C35+B35</f>
        <v>0</v>
      </c>
      <c r="D35" s="87"/>
      <c r="E35" s="27">
        <f>June!E35+D35</f>
        <v>0</v>
      </c>
      <c r="F35" s="60"/>
      <c r="G35" s="27">
        <f>June!G35+F35</f>
        <v>0</v>
      </c>
    </row>
    <row r="36" spans="1:7" x14ac:dyDescent="0.2">
      <c r="A36" s="29" t="s">
        <v>33</v>
      </c>
      <c r="B36" s="86"/>
      <c r="C36" s="27">
        <f>June!C36+B36</f>
        <v>0</v>
      </c>
      <c r="D36" s="87"/>
      <c r="E36" s="27">
        <f>June!E36+D36</f>
        <v>0</v>
      </c>
      <c r="F36" s="60"/>
      <c r="G36" s="27">
        <f>June!G36+F36</f>
        <v>0</v>
      </c>
    </row>
    <row r="37" spans="1:7" x14ac:dyDescent="0.2">
      <c r="A37" s="29" t="s">
        <v>34</v>
      </c>
      <c r="B37" s="86"/>
      <c r="C37" s="27">
        <f>June!C37+B37</f>
        <v>566902</v>
      </c>
      <c r="D37" s="87"/>
      <c r="E37" s="27">
        <f>June!E37+D37</f>
        <v>0</v>
      </c>
      <c r="F37" s="60"/>
      <c r="G37" s="27">
        <f>June!G37+F37</f>
        <v>0</v>
      </c>
    </row>
    <row r="38" spans="1:7" x14ac:dyDescent="0.2">
      <c r="A38" s="29" t="s">
        <v>35</v>
      </c>
      <c r="B38" s="86"/>
      <c r="C38" s="27">
        <f>June!C38+B38</f>
        <v>174523</v>
      </c>
      <c r="D38" s="87"/>
      <c r="E38" s="27">
        <f>June!E38+D38</f>
        <v>3959</v>
      </c>
      <c r="F38" s="60"/>
      <c r="G38" s="27">
        <f>June!G38+F38</f>
        <v>0</v>
      </c>
    </row>
    <row r="39" spans="1:7" x14ac:dyDescent="0.2">
      <c r="A39" s="29" t="s">
        <v>36</v>
      </c>
      <c r="B39" s="86"/>
      <c r="C39" s="27">
        <f>June!C39+B39</f>
        <v>75162</v>
      </c>
      <c r="D39" s="87"/>
      <c r="E39" s="27">
        <f>June!E39+D39</f>
        <v>7946</v>
      </c>
      <c r="F39" s="60"/>
      <c r="G39" s="27">
        <f>June!G39+F39</f>
        <v>0</v>
      </c>
    </row>
    <row r="40" spans="1:7" x14ac:dyDescent="0.2">
      <c r="A40" s="29" t="s">
        <v>37</v>
      </c>
      <c r="B40" s="86"/>
      <c r="C40" s="27">
        <f>June!C40+B40</f>
        <v>885363</v>
      </c>
      <c r="D40" s="87"/>
      <c r="E40" s="27">
        <f>June!E40+D40</f>
        <v>8111</v>
      </c>
      <c r="F40" s="60"/>
      <c r="G40" s="27">
        <f>June!G40+F40</f>
        <v>0</v>
      </c>
    </row>
    <row r="41" spans="1:7" x14ac:dyDescent="0.2">
      <c r="A41" s="29" t="s">
        <v>38</v>
      </c>
      <c r="B41" s="86"/>
      <c r="C41" s="27">
        <f>June!C41+B41</f>
        <v>0</v>
      </c>
      <c r="D41" s="87"/>
      <c r="E41" s="27">
        <f>June!E41+D41</f>
        <v>0</v>
      </c>
      <c r="F41" s="60"/>
      <c r="G41" s="27">
        <f>June!G41+F41</f>
        <v>0</v>
      </c>
    </row>
    <row r="42" spans="1:7" x14ac:dyDescent="0.2">
      <c r="A42" s="29" t="s">
        <v>39</v>
      </c>
      <c r="B42" s="86"/>
      <c r="C42" s="27">
        <f>June!C42+B42</f>
        <v>0</v>
      </c>
      <c r="D42" s="87"/>
      <c r="E42" s="27">
        <f>June!E42+D42</f>
        <v>3071</v>
      </c>
      <c r="F42" s="60"/>
      <c r="G42" s="27">
        <f>June!G42+F42</f>
        <v>0</v>
      </c>
    </row>
    <row r="43" spans="1:7" x14ac:dyDescent="0.2">
      <c r="A43" s="29" t="s">
        <v>40</v>
      </c>
      <c r="B43" s="86"/>
      <c r="C43" s="27">
        <f>June!C43+B43</f>
        <v>0</v>
      </c>
      <c r="D43" s="87"/>
      <c r="E43" s="27">
        <f>June!E43+D43</f>
        <v>0</v>
      </c>
      <c r="F43" s="60"/>
      <c r="G43" s="27">
        <f>June!G43+F43</f>
        <v>0</v>
      </c>
    </row>
    <row r="44" spans="1:7" x14ac:dyDescent="0.2">
      <c r="A44" s="29" t="s">
        <v>41</v>
      </c>
      <c r="B44" s="86"/>
      <c r="C44" s="27">
        <f>June!C44+B44</f>
        <v>5800</v>
      </c>
      <c r="D44" s="87"/>
      <c r="E44" s="27">
        <f>June!E44+D44</f>
        <v>0</v>
      </c>
      <c r="F44" s="60"/>
      <c r="G44" s="27">
        <f>June!G44+F44</f>
        <v>0</v>
      </c>
    </row>
    <row r="45" spans="1:7" x14ac:dyDescent="0.2">
      <c r="A45" s="29" t="s">
        <v>42</v>
      </c>
      <c r="B45" s="86"/>
      <c r="C45" s="27">
        <f>June!C45+B45</f>
        <v>247204</v>
      </c>
      <c r="D45" s="87"/>
      <c r="E45" s="27">
        <f>June!E45+D45</f>
        <v>8664</v>
      </c>
      <c r="F45" s="60"/>
      <c r="G45" s="27">
        <f>June!G45+F45</f>
        <v>0</v>
      </c>
    </row>
    <row r="46" spans="1:7" x14ac:dyDescent="0.2">
      <c r="A46" s="29" t="s">
        <v>43</v>
      </c>
      <c r="B46" s="86"/>
      <c r="C46" s="27">
        <f>June!C46+B46</f>
        <v>21</v>
      </c>
      <c r="D46" s="87"/>
      <c r="E46" s="27">
        <f>June!E46+D46</f>
        <v>0</v>
      </c>
      <c r="F46" s="60"/>
      <c r="G46" s="27">
        <f>June!G46+F46</f>
        <v>0</v>
      </c>
    </row>
    <row r="47" spans="1:7" x14ac:dyDescent="0.2">
      <c r="A47" s="29" t="s">
        <v>44</v>
      </c>
      <c r="B47" s="86"/>
      <c r="C47" s="27">
        <f>June!C47+B47</f>
        <v>389563</v>
      </c>
      <c r="D47" s="87"/>
      <c r="E47" s="27">
        <f>June!E47+D47</f>
        <v>106</v>
      </c>
      <c r="F47" s="60"/>
      <c r="G47" s="27">
        <f>June!G47+F47</f>
        <v>0</v>
      </c>
    </row>
    <row r="48" spans="1:7" x14ac:dyDescent="0.2">
      <c r="A48" s="29" t="s">
        <v>45</v>
      </c>
      <c r="B48" s="86"/>
      <c r="C48" s="27">
        <f>June!C48+B48</f>
        <v>161815</v>
      </c>
      <c r="D48" s="87"/>
      <c r="E48" s="27">
        <f>June!E48+D48</f>
        <v>0</v>
      </c>
      <c r="F48" s="101"/>
      <c r="G48" s="27">
        <f>June!G48+F48</f>
        <v>0</v>
      </c>
    </row>
    <row r="49" spans="1:256" x14ac:dyDescent="0.2">
      <c r="A49" s="29" t="s">
        <v>46</v>
      </c>
      <c r="B49" s="86"/>
      <c r="C49" s="27">
        <f>June!C49+B49</f>
        <v>0</v>
      </c>
      <c r="D49" s="87"/>
      <c r="E49" s="27">
        <f>June!E49+D49</f>
        <v>0</v>
      </c>
      <c r="F49" s="60"/>
      <c r="G49" s="27">
        <f>June!G49+F49</f>
        <v>0</v>
      </c>
    </row>
    <row r="50" spans="1:256" x14ac:dyDescent="0.2">
      <c r="A50" s="29" t="s">
        <v>47</v>
      </c>
      <c r="B50" s="86"/>
      <c r="C50" s="27">
        <f>June!C50+B50</f>
        <v>0</v>
      </c>
      <c r="D50" s="87"/>
      <c r="E50" s="27">
        <f>June!E50+D50</f>
        <v>0</v>
      </c>
      <c r="F50" s="60"/>
      <c r="G50" s="27">
        <f>June!G50+F50</f>
        <v>0</v>
      </c>
    </row>
    <row r="51" spans="1:256" x14ac:dyDescent="0.2">
      <c r="A51" s="29" t="s">
        <v>48</v>
      </c>
      <c r="B51" s="86"/>
      <c r="C51" s="27">
        <f>June!C51+B51</f>
        <v>0</v>
      </c>
      <c r="D51" s="87"/>
      <c r="E51" s="27">
        <f>June!E51+D51</f>
        <v>0</v>
      </c>
      <c r="F51" s="60"/>
      <c r="G51" s="27">
        <f>June!G51+F51</f>
        <v>0</v>
      </c>
    </row>
    <row r="52" spans="1:256" x14ac:dyDescent="0.2">
      <c r="A52" s="29" t="s">
        <v>49</v>
      </c>
      <c r="B52" s="86"/>
      <c r="C52" s="27">
        <f>June!C52+B52</f>
        <v>0</v>
      </c>
      <c r="D52" s="87"/>
      <c r="E52" s="27">
        <f>June!E52+D52</f>
        <v>0</v>
      </c>
      <c r="F52" s="60"/>
      <c r="G52" s="27">
        <f>June!G52+F52</f>
        <v>0</v>
      </c>
    </row>
    <row r="53" spans="1:256" x14ac:dyDescent="0.2">
      <c r="A53" s="29" t="s">
        <v>50</v>
      </c>
      <c r="B53" s="86"/>
      <c r="C53" s="27">
        <f>June!C53+B53</f>
        <v>70814</v>
      </c>
      <c r="D53" s="87"/>
      <c r="E53" s="27">
        <f>June!E53+D53</f>
        <v>55</v>
      </c>
      <c r="F53" s="60"/>
      <c r="G53" s="27">
        <f>June!G53+F53</f>
        <v>0</v>
      </c>
    </row>
    <row r="54" spans="1:256" ht="15.75" thickBot="1" x14ac:dyDescent="0.25">
      <c r="A54" s="29" t="s">
        <v>51</v>
      </c>
      <c r="B54" s="86"/>
      <c r="C54" s="27">
        <f>June!C54+B54</f>
        <v>145456</v>
      </c>
      <c r="D54" s="87"/>
      <c r="E54" s="27">
        <f>June!E54+D54</f>
        <v>0</v>
      </c>
      <c r="F54" s="60"/>
      <c r="G54" s="27">
        <f>June!G54+F54</f>
        <v>0</v>
      </c>
    </row>
    <row r="55" spans="1:256" s="28" customFormat="1" ht="26.1" customHeight="1" thickBot="1" x14ac:dyDescent="0.3">
      <c r="A55" s="93" t="s">
        <v>53</v>
      </c>
      <c r="B55" s="15">
        <f>SUM(B7:B54)</f>
        <v>0</v>
      </c>
      <c r="C55" s="15">
        <f>June!C55+B55</f>
        <v>10908220</v>
      </c>
      <c r="D55" s="15">
        <f>SUM(D7:D54)</f>
        <v>0</v>
      </c>
      <c r="E55" s="15">
        <f>June!E55+D55</f>
        <v>103051</v>
      </c>
      <c r="F55" s="15">
        <f>SUM(F7:F54)</f>
        <v>0</v>
      </c>
      <c r="G55" s="15">
        <f>June!G55+F55</f>
        <v>54277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15.75" x14ac:dyDescent="0.25">
      <c r="A56" s="19"/>
      <c r="B56" s="30"/>
      <c r="C56" s="30"/>
      <c r="D56" s="30"/>
      <c r="E56" s="30"/>
      <c r="F56" s="31"/>
      <c r="G56" s="31"/>
    </row>
    <row r="57" spans="1:256" ht="16.5" thickBot="1" x14ac:dyDescent="0.3">
      <c r="A57" s="19" t="s">
        <v>54</v>
      </c>
      <c r="B57" s="30"/>
      <c r="C57" s="20" t="s">
        <v>4</v>
      </c>
      <c r="D57" s="21" t="s">
        <v>5</v>
      </c>
      <c r="E57" s="30"/>
      <c r="F57" s="31"/>
      <c r="G57" s="31"/>
    </row>
    <row r="58" spans="1:256" x14ac:dyDescent="0.2">
      <c r="A58" s="32" t="s">
        <v>55</v>
      </c>
      <c r="B58" s="33"/>
      <c r="C58" s="34"/>
      <c r="D58" s="35">
        <f>June!D58+C58</f>
        <v>1300</v>
      </c>
      <c r="E58" s="30"/>
      <c r="F58" s="31"/>
      <c r="G58" s="31"/>
    </row>
    <row r="59" spans="1:256" x14ac:dyDescent="0.2">
      <c r="A59" s="32" t="s">
        <v>56</v>
      </c>
      <c r="B59" s="34"/>
      <c r="C59" s="34"/>
      <c r="D59" s="35">
        <f>June!D59+C59</f>
        <v>12885</v>
      </c>
      <c r="E59" s="31"/>
      <c r="F59" s="31"/>
      <c r="G59" s="31"/>
    </row>
    <row r="60" spans="1:256" x14ac:dyDescent="0.2">
      <c r="A60" s="32" t="s">
        <v>57</v>
      </c>
      <c r="B60" s="34"/>
      <c r="C60" s="34"/>
      <c r="D60" s="35">
        <f>June!D60+C60</f>
        <v>2490</v>
      </c>
      <c r="E60" s="31"/>
      <c r="F60" s="31"/>
      <c r="G60" s="31"/>
    </row>
    <row r="61" spans="1:256" x14ac:dyDescent="0.2">
      <c r="A61" s="32" t="s">
        <v>58</v>
      </c>
      <c r="B61" s="34"/>
      <c r="C61" s="34"/>
      <c r="D61" s="35">
        <f>June!D61+C61</f>
        <v>0</v>
      </c>
      <c r="E61" s="31"/>
      <c r="F61" s="31"/>
      <c r="G61" s="31"/>
    </row>
    <row r="62" spans="1:256" x14ac:dyDescent="0.2">
      <c r="A62" s="32" t="s">
        <v>59</v>
      </c>
      <c r="B62" s="34"/>
      <c r="C62" s="34"/>
      <c r="D62" s="35">
        <f>June!D62+C62</f>
        <v>133245</v>
      </c>
      <c r="E62" s="31"/>
      <c r="F62" s="31"/>
      <c r="G62" s="31"/>
    </row>
    <row r="63" spans="1:256" x14ac:dyDescent="0.2">
      <c r="A63" s="32" t="s">
        <v>65</v>
      </c>
      <c r="B63" s="78"/>
      <c r="C63" s="34"/>
      <c r="D63" s="35">
        <f>June!D63+C63</f>
        <v>75771</v>
      </c>
      <c r="E63" s="31"/>
      <c r="F63" s="31"/>
      <c r="G63" s="31"/>
    </row>
    <row r="64" spans="1:256" x14ac:dyDescent="0.2">
      <c r="A64" s="32" t="s">
        <v>63</v>
      </c>
      <c r="B64" s="34"/>
      <c r="C64" s="34"/>
      <c r="D64" s="35">
        <f>June!D64+C64</f>
        <v>86209</v>
      </c>
      <c r="E64" s="31"/>
      <c r="F64" s="31"/>
      <c r="G64" s="31"/>
    </row>
    <row r="65" spans="1:7" x14ac:dyDescent="0.2">
      <c r="A65" s="32" t="s">
        <v>60</v>
      </c>
      <c r="B65" s="31"/>
      <c r="C65" s="34"/>
      <c r="D65" s="35">
        <f>June!D65+C65</f>
        <v>0</v>
      </c>
      <c r="E65" s="31"/>
      <c r="F65" s="31"/>
      <c r="G65" s="31"/>
    </row>
    <row r="66" spans="1:7" x14ac:dyDescent="0.2">
      <c r="A66" s="32" t="s">
        <v>61</v>
      </c>
      <c r="C66" s="34"/>
      <c r="D66" s="35">
        <f>June!D66+C66</f>
        <v>36422</v>
      </c>
      <c r="E66" s="31"/>
      <c r="F66" s="31"/>
      <c r="G66" s="31"/>
    </row>
    <row r="67" spans="1:7" x14ac:dyDescent="0.2">
      <c r="A67" s="32" t="s">
        <v>62</v>
      </c>
      <c r="B67" s="31"/>
      <c r="C67" s="34"/>
      <c r="D67" s="35">
        <f>June!D67+C67</f>
        <v>2450</v>
      </c>
      <c r="E67" s="31"/>
      <c r="F67" s="31"/>
      <c r="G67" s="31"/>
    </row>
  </sheetData>
  <phoneticPr fontId="0" type="noConversion"/>
  <pageMargins left="0.5" right="0.5" top="0.5" bottom="0.5" header="0.5" footer="0.5"/>
  <pageSetup scale="72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0" zoomScaleNormal="70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.21875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78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2"/>
      <c r="C7" s="12">
        <f>July!C7+B7</f>
        <v>14074</v>
      </c>
      <c r="D7" s="84"/>
      <c r="E7" s="12">
        <f>July!E7+D7</f>
        <v>0</v>
      </c>
      <c r="F7" s="61"/>
      <c r="G7" s="12">
        <f>July!G7+F7</f>
        <v>0</v>
      </c>
    </row>
    <row r="8" spans="1:256" x14ac:dyDescent="0.2">
      <c r="A8" s="11" t="s">
        <v>64</v>
      </c>
      <c r="B8" s="82"/>
      <c r="C8" s="12">
        <f>July!C8+B8</f>
        <v>0</v>
      </c>
      <c r="D8" s="84"/>
      <c r="E8" s="12">
        <f>July!E8+D8</f>
        <v>2</v>
      </c>
      <c r="F8" s="61"/>
      <c r="G8" s="12">
        <f>July!G8+F8</f>
        <v>0</v>
      </c>
    </row>
    <row r="9" spans="1:256" x14ac:dyDescent="0.2">
      <c r="A9" s="11" t="s">
        <v>7</v>
      </c>
      <c r="B9" s="82"/>
      <c r="C9" s="12">
        <f>July!C9+B9</f>
        <v>92566</v>
      </c>
      <c r="D9" s="84"/>
      <c r="E9" s="12">
        <f>July!E9+D9</f>
        <v>13</v>
      </c>
      <c r="F9" s="61"/>
      <c r="G9" s="12">
        <f>July!G9+F9</f>
        <v>0</v>
      </c>
    </row>
    <row r="10" spans="1:256" x14ac:dyDescent="0.2">
      <c r="A10" s="11" t="s">
        <v>8</v>
      </c>
      <c r="B10" s="82"/>
      <c r="C10" s="12">
        <f>July!C10+B10</f>
        <v>0</v>
      </c>
      <c r="D10" s="84"/>
      <c r="E10" s="12">
        <f>July!E10+D10</f>
        <v>1</v>
      </c>
      <c r="F10" s="61"/>
      <c r="G10" s="12">
        <f>July!G10+F10</f>
        <v>0</v>
      </c>
    </row>
    <row r="11" spans="1:256" x14ac:dyDescent="0.2">
      <c r="A11" s="99" t="s">
        <v>52</v>
      </c>
      <c r="B11" s="82"/>
      <c r="C11" s="12">
        <f>July!C11+B11</f>
        <v>1149105</v>
      </c>
      <c r="D11" s="84"/>
      <c r="E11" s="12">
        <f>July!E11+D11</f>
        <v>3579</v>
      </c>
      <c r="F11" s="61"/>
      <c r="G11" s="12">
        <f>July!G11+F11</f>
        <v>54152</v>
      </c>
    </row>
    <row r="12" spans="1:256" x14ac:dyDescent="0.2">
      <c r="A12" s="11" t="s">
        <v>9</v>
      </c>
      <c r="B12" s="82"/>
      <c r="C12" s="12">
        <f>July!C12+B12</f>
        <v>583390</v>
      </c>
      <c r="D12" s="84"/>
      <c r="E12" s="12">
        <f>July!E12+D12</f>
        <v>878</v>
      </c>
      <c r="F12" s="61"/>
      <c r="G12" s="12">
        <f>July!G12+F12</f>
        <v>0</v>
      </c>
    </row>
    <row r="13" spans="1:256" x14ac:dyDescent="0.2">
      <c r="A13" s="11" t="s">
        <v>10</v>
      </c>
      <c r="B13" s="82"/>
      <c r="C13" s="12">
        <f>July!C13+B13</f>
        <v>0</v>
      </c>
      <c r="D13" s="84"/>
      <c r="E13" s="12">
        <f>July!E13+D13</f>
        <v>0</v>
      </c>
      <c r="F13" s="61"/>
      <c r="G13" s="12">
        <f>July!G13+F13</f>
        <v>0</v>
      </c>
    </row>
    <row r="14" spans="1:256" x14ac:dyDescent="0.2">
      <c r="A14" s="11" t="s">
        <v>11</v>
      </c>
      <c r="B14" s="82"/>
      <c r="C14" s="12">
        <f>July!C14+B14</f>
        <v>0</v>
      </c>
      <c r="D14" s="84"/>
      <c r="E14" s="12">
        <f>July!E14+D14</f>
        <v>0</v>
      </c>
      <c r="F14" s="61"/>
      <c r="G14" s="12">
        <f>July!G14+F14</f>
        <v>0</v>
      </c>
    </row>
    <row r="15" spans="1:256" x14ac:dyDescent="0.2">
      <c r="A15" s="11" t="s">
        <v>12</v>
      </c>
      <c r="B15" s="82"/>
      <c r="C15" s="12">
        <f>July!C15+B15</f>
        <v>0</v>
      </c>
      <c r="D15" s="84"/>
      <c r="E15" s="12">
        <f>July!E15+D15</f>
        <v>1</v>
      </c>
      <c r="F15" s="61"/>
      <c r="G15" s="12">
        <f>July!G15+F15</f>
        <v>0</v>
      </c>
    </row>
    <row r="16" spans="1:256" x14ac:dyDescent="0.2">
      <c r="A16" s="11" t="s">
        <v>13</v>
      </c>
      <c r="B16" s="82"/>
      <c r="C16" s="12">
        <f>July!C16+B16</f>
        <v>13550</v>
      </c>
      <c r="D16" s="84"/>
      <c r="E16" s="12">
        <f>July!E16+D16</f>
        <v>2</v>
      </c>
      <c r="F16" s="61"/>
      <c r="G16" s="12">
        <f>July!G16+F16</f>
        <v>0</v>
      </c>
    </row>
    <row r="17" spans="1:7" x14ac:dyDescent="0.2">
      <c r="A17" s="11" t="s">
        <v>14</v>
      </c>
      <c r="B17" s="82"/>
      <c r="C17" s="12">
        <f>July!C17+B17</f>
        <v>1</v>
      </c>
      <c r="D17" s="84"/>
      <c r="E17" s="12">
        <f>July!E17+D17</f>
        <v>0</v>
      </c>
      <c r="F17" s="61"/>
      <c r="G17" s="12">
        <f>July!G17+F17</f>
        <v>0</v>
      </c>
    </row>
    <row r="18" spans="1:7" x14ac:dyDescent="0.2">
      <c r="A18" s="11" t="s">
        <v>15</v>
      </c>
      <c r="B18" s="82"/>
      <c r="C18" s="12">
        <f>July!C18+B18</f>
        <v>2128254</v>
      </c>
      <c r="D18" s="84"/>
      <c r="E18" s="12">
        <f>July!E18+D18</f>
        <v>11486</v>
      </c>
      <c r="F18" s="61"/>
      <c r="G18" s="12">
        <f>July!G18+F18</f>
        <v>0</v>
      </c>
    </row>
    <row r="19" spans="1:7" x14ac:dyDescent="0.2">
      <c r="A19" s="11" t="s">
        <v>16</v>
      </c>
      <c r="B19" s="82"/>
      <c r="C19" s="12">
        <f>July!C19+B19</f>
        <v>139935</v>
      </c>
      <c r="D19" s="84"/>
      <c r="E19" s="12">
        <f>July!E19+D19</f>
        <v>380</v>
      </c>
      <c r="F19" s="61"/>
      <c r="G19" s="12">
        <f>July!G19+F19</f>
        <v>0</v>
      </c>
    </row>
    <row r="20" spans="1:7" x14ac:dyDescent="0.2">
      <c r="A20" s="11" t="s">
        <v>17</v>
      </c>
      <c r="B20" s="82"/>
      <c r="C20" s="12">
        <f>July!C20+B20</f>
        <v>106943</v>
      </c>
      <c r="D20" s="84"/>
      <c r="E20" s="12">
        <f>July!E20+D20</f>
        <v>2057</v>
      </c>
      <c r="F20" s="61"/>
      <c r="G20" s="12">
        <f>July!G20+F20</f>
        <v>0</v>
      </c>
    </row>
    <row r="21" spans="1:7" x14ac:dyDescent="0.2">
      <c r="A21" s="11" t="s">
        <v>18</v>
      </c>
      <c r="B21" s="82"/>
      <c r="C21" s="12">
        <f>July!C21+B21</f>
        <v>0</v>
      </c>
      <c r="D21" s="84"/>
      <c r="E21" s="12">
        <f>July!E21+D21</f>
        <v>1664</v>
      </c>
      <c r="F21" s="61"/>
      <c r="G21" s="12">
        <f>July!G21+F21</f>
        <v>0</v>
      </c>
    </row>
    <row r="22" spans="1:7" x14ac:dyDescent="0.2">
      <c r="A22" s="11" t="s">
        <v>19</v>
      </c>
      <c r="B22" s="82"/>
      <c r="C22" s="12">
        <f>July!C22+B22</f>
        <v>0</v>
      </c>
      <c r="D22" s="84"/>
      <c r="E22" s="12">
        <f>July!E22+D22</f>
        <v>32</v>
      </c>
      <c r="F22" s="61"/>
      <c r="G22" s="12">
        <f>July!G22+F22</f>
        <v>0</v>
      </c>
    </row>
    <row r="23" spans="1:7" x14ac:dyDescent="0.2">
      <c r="A23" s="11" t="s">
        <v>20</v>
      </c>
      <c r="B23" s="82"/>
      <c r="C23" s="12">
        <f>July!C23+B23</f>
        <v>0</v>
      </c>
      <c r="D23" s="84"/>
      <c r="E23" s="12">
        <f>July!E23+D23</f>
        <v>0</v>
      </c>
      <c r="F23" s="61"/>
      <c r="G23" s="12">
        <f>July!G23+F23</f>
        <v>0</v>
      </c>
    </row>
    <row r="24" spans="1:7" x14ac:dyDescent="0.2">
      <c r="A24" s="11" t="s">
        <v>21</v>
      </c>
      <c r="B24" s="82"/>
      <c r="C24" s="12">
        <f>July!C24+B24</f>
        <v>0</v>
      </c>
      <c r="D24" s="84"/>
      <c r="E24" s="12">
        <f>July!E24+D24</f>
        <v>0</v>
      </c>
      <c r="F24" s="61"/>
      <c r="G24" s="12">
        <f>July!G24+F24</f>
        <v>0</v>
      </c>
    </row>
    <row r="25" spans="1:7" x14ac:dyDescent="0.2">
      <c r="A25" s="11" t="s">
        <v>22</v>
      </c>
      <c r="B25" s="82"/>
      <c r="C25" s="12">
        <f>July!C25+B25</f>
        <v>0</v>
      </c>
      <c r="D25" s="84"/>
      <c r="E25" s="12">
        <f>July!E25+D25</f>
        <v>0</v>
      </c>
      <c r="F25" s="61"/>
      <c r="G25" s="12">
        <f>July!G25+F25</f>
        <v>0</v>
      </c>
    </row>
    <row r="26" spans="1:7" x14ac:dyDescent="0.2">
      <c r="A26" s="11" t="s">
        <v>23</v>
      </c>
      <c r="B26" s="82"/>
      <c r="C26" s="12">
        <f>July!C26+B26</f>
        <v>4465</v>
      </c>
      <c r="D26" s="84"/>
      <c r="E26" s="12">
        <f>July!E26+D26</f>
        <v>6167</v>
      </c>
      <c r="F26" s="61"/>
      <c r="G26" s="12">
        <f>July!G26+F26</f>
        <v>0</v>
      </c>
    </row>
    <row r="27" spans="1:7" x14ac:dyDescent="0.2">
      <c r="A27" s="11" t="s">
        <v>24</v>
      </c>
      <c r="B27" s="82"/>
      <c r="C27" s="12">
        <f>July!C27+B27</f>
        <v>1062881</v>
      </c>
      <c r="D27" s="84"/>
      <c r="E27" s="12">
        <f>July!E27+D27</f>
        <v>6787</v>
      </c>
      <c r="F27" s="61"/>
      <c r="G27" s="12">
        <f>July!G27+F27</f>
        <v>56</v>
      </c>
    </row>
    <row r="28" spans="1:7" x14ac:dyDescent="0.2">
      <c r="A28" s="11" t="s">
        <v>25</v>
      </c>
      <c r="B28" s="82"/>
      <c r="C28" s="12">
        <f>July!C28+B28</f>
        <v>316445</v>
      </c>
      <c r="D28" s="84"/>
      <c r="E28" s="12">
        <f>July!E28+D28</f>
        <v>0</v>
      </c>
      <c r="F28" s="61"/>
      <c r="G28" s="12">
        <f>July!G28+F28</f>
        <v>0</v>
      </c>
    </row>
    <row r="29" spans="1:7" x14ac:dyDescent="0.2">
      <c r="A29" s="11" t="s">
        <v>26</v>
      </c>
      <c r="B29" s="82"/>
      <c r="C29" s="12">
        <f>July!C29+B29</f>
        <v>1718175</v>
      </c>
      <c r="D29" s="84"/>
      <c r="E29" s="12">
        <f>July!E29+D29</f>
        <v>471</v>
      </c>
      <c r="F29" s="61"/>
      <c r="G29" s="12">
        <f>July!G29+F29</f>
        <v>69</v>
      </c>
    </row>
    <row r="30" spans="1:7" x14ac:dyDescent="0.2">
      <c r="A30" s="11" t="s">
        <v>27</v>
      </c>
      <c r="B30" s="82"/>
      <c r="C30" s="12">
        <f>July!C30+B30</f>
        <v>25560</v>
      </c>
      <c r="D30" s="84"/>
      <c r="E30" s="12">
        <f>July!E30+D30</f>
        <v>0</v>
      </c>
      <c r="F30" s="61"/>
      <c r="G30" s="12">
        <f>July!G30+F30</f>
        <v>0</v>
      </c>
    </row>
    <row r="31" spans="1:7" x14ac:dyDescent="0.2">
      <c r="A31" s="11" t="s">
        <v>28</v>
      </c>
      <c r="B31" s="82"/>
      <c r="C31" s="12">
        <f>July!C31+B31</f>
        <v>830253</v>
      </c>
      <c r="D31" s="84"/>
      <c r="E31" s="12">
        <f>July!E31+D31</f>
        <v>37619</v>
      </c>
      <c r="F31" s="61"/>
      <c r="G31" s="12">
        <f>July!G31+F31</f>
        <v>0</v>
      </c>
    </row>
    <row r="32" spans="1:7" x14ac:dyDescent="0.2">
      <c r="A32" s="11" t="s">
        <v>29</v>
      </c>
      <c r="B32" s="82"/>
      <c r="C32" s="12">
        <f>July!C32+B32</f>
        <v>0</v>
      </c>
      <c r="D32" s="84"/>
      <c r="E32" s="12">
        <f>July!E32+D32</f>
        <v>0</v>
      </c>
      <c r="F32" s="61"/>
      <c r="G32" s="12">
        <f>July!G32+F32</f>
        <v>0</v>
      </c>
    </row>
    <row r="33" spans="1:7" x14ac:dyDescent="0.2">
      <c r="A33" s="11" t="s">
        <v>30</v>
      </c>
      <c r="B33" s="82"/>
      <c r="C33" s="12">
        <f>July!C33+B33</f>
        <v>0</v>
      </c>
      <c r="D33" s="84"/>
      <c r="E33" s="12">
        <f>July!E33+D33</f>
        <v>0</v>
      </c>
      <c r="F33" s="61"/>
      <c r="G33" s="12">
        <f>July!G33+F33</f>
        <v>0</v>
      </c>
    </row>
    <row r="34" spans="1:7" x14ac:dyDescent="0.2">
      <c r="A34" s="11" t="s">
        <v>31</v>
      </c>
      <c r="B34" s="82"/>
      <c r="C34" s="12">
        <f>July!C34+B34</f>
        <v>0</v>
      </c>
      <c r="D34" s="84"/>
      <c r="E34" s="12">
        <f>July!E34+D34</f>
        <v>0</v>
      </c>
      <c r="F34" s="61"/>
      <c r="G34" s="12">
        <f>July!G34+F34</f>
        <v>0</v>
      </c>
    </row>
    <row r="35" spans="1:7" x14ac:dyDescent="0.2">
      <c r="A35" s="11" t="s">
        <v>32</v>
      </c>
      <c r="B35" s="82"/>
      <c r="C35" s="12">
        <f>July!C35+B35</f>
        <v>0</v>
      </c>
      <c r="D35" s="84"/>
      <c r="E35" s="12">
        <f>July!E35+D35</f>
        <v>0</v>
      </c>
      <c r="F35" s="61"/>
      <c r="G35" s="12">
        <f>July!G35+F35</f>
        <v>0</v>
      </c>
    </row>
    <row r="36" spans="1:7" x14ac:dyDescent="0.2">
      <c r="A36" s="11" t="s">
        <v>33</v>
      </c>
      <c r="B36" s="82"/>
      <c r="C36" s="12">
        <f>July!C36+B36</f>
        <v>0</v>
      </c>
      <c r="D36" s="84"/>
      <c r="E36" s="12">
        <f>July!E36+D36</f>
        <v>0</v>
      </c>
      <c r="F36" s="61"/>
      <c r="G36" s="12">
        <f>July!G36+F36</f>
        <v>0</v>
      </c>
    </row>
    <row r="37" spans="1:7" x14ac:dyDescent="0.2">
      <c r="A37" s="11" t="s">
        <v>34</v>
      </c>
      <c r="B37" s="82"/>
      <c r="C37" s="12">
        <f>July!C37+B37</f>
        <v>566902</v>
      </c>
      <c r="D37" s="84"/>
      <c r="E37" s="12">
        <f>July!E37+D37</f>
        <v>0</v>
      </c>
      <c r="F37" s="61"/>
      <c r="G37" s="12">
        <f>July!G37+F37</f>
        <v>0</v>
      </c>
    </row>
    <row r="38" spans="1:7" x14ac:dyDescent="0.2">
      <c r="A38" s="11" t="s">
        <v>35</v>
      </c>
      <c r="B38" s="82"/>
      <c r="C38" s="12">
        <f>July!C38+B38</f>
        <v>174523</v>
      </c>
      <c r="D38" s="84"/>
      <c r="E38" s="12">
        <f>July!E38+D38</f>
        <v>3959</v>
      </c>
      <c r="F38" s="61"/>
      <c r="G38" s="12">
        <f>July!G38+F38</f>
        <v>0</v>
      </c>
    </row>
    <row r="39" spans="1:7" x14ac:dyDescent="0.2">
      <c r="A39" s="11" t="s">
        <v>36</v>
      </c>
      <c r="B39" s="82"/>
      <c r="C39" s="12">
        <f>July!C39+B39</f>
        <v>75162</v>
      </c>
      <c r="D39" s="84"/>
      <c r="E39" s="12">
        <f>July!E39+D39</f>
        <v>7946</v>
      </c>
      <c r="F39" s="61"/>
      <c r="G39" s="12">
        <f>July!G39+F39</f>
        <v>0</v>
      </c>
    </row>
    <row r="40" spans="1:7" x14ac:dyDescent="0.2">
      <c r="A40" s="11" t="s">
        <v>37</v>
      </c>
      <c r="B40" s="82"/>
      <c r="C40" s="12">
        <f>July!C40+B40</f>
        <v>885363</v>
      </c>
      <c r="D40" s="84"/>
      <c r="E40" s="12">
        <f>July!E40+D40</f>
        <v>8111</v>
      </c>
      <c r="F40" s="61"/>
      <c r="G40" s="12">
        <f>July!G40+F40</f>
        <v>0</v>
      </c>
    </row>
    <row r="41" spans="1:7" x14ac:dyDescent="0.2">
      <c r="A41" s="11" t="s">
        <v>38</v>
      </c>
      <c r="B41" s="82"/>
      <c r="C41" s="12">
        <f>July!C41+B41</f>
        <v>0</v>
      </c>
      <c r="D41" s="84"/>
      <c r="E41" s="12">
        <f>July!E41+D41</f>
        <v>0</v>
      </c>
      <c r="F41" s="61"/>
      <c r="G41" s="12">
        <f>July!G41+F41</f>
        <v>0</v>
      </c>
    </row>
    <row r="42" spans="1:7" x14ac:dyDescent="0.2">
      <c r="A42" s="11" t="s">
        <v>39</v>
      </c>
      <c r="B42" s="82"/>
      <c r="C42" s="12">
        <f>July!C42+B42</f>
        <v>0</v>
      </c>
      <c r="D42" s="84"/>
      <c r="E42" s="12">
        <f>July!E42+D42</f>
        <v>3071</v>
      </c>
      <c r="F42" s="61"/>
      <c r="G42" s="12">
        <f>July!G42+F42</f>
        <v>0</v>
      </c>
    </row>
    <row r="43" spans="1:7" x14ac:dyDescent="0.2">
      <c r="A43" s="11" t="s">
        <v>40</v>
      </c>
      <c r="B43" s="82"/>
      <c r="C43" s="12">
        <f>July!C43+B43</f>
        <v>0</v>
      </c>
      <c r="D43" s="84"/>
      <c r="E43" s="12">
        <f>July!E43+D43</f>
        <v>0</v>
      </c>
      <c r="F43" s="61"/>
      <c r="G43" s="12">
        <f>July!G43+F43</f>
        <v>0</v>
      </c>
    </row>
    <row r="44" spans="1:7" x14ac:dyDescent="0.2">
      <c r="A44" s="11" t="s">
        <v>41</v>
      </c>
      <c r="B44" s="82"/>
      <c r="C44" s="12">
        <f>July!C44+B44</f>
        <v>5800</v>
      </c>
      <c r="D44" s="84"/>
      <c r="E44" s="12">
        <f>July!E44+D44</f>
        <v>0</v>
      </c>
      <c r="F44" s="61"/>
      <c r="G44" s="12">
        <f>July!G44+F44</f>
        <v>0</v>
      </c>
    </row>
    <row r="45" spans="1:7" x14ac:dyDescent="0.2">
      <c r="A45" s="11" t="s">
        <v>42</v>
      </c>
      <c r="B45" s="82"/>
      <c r="C45" s="12">
        <f>July!C45+B45</f>
        <v>247204</v>
      </c>
      <c r="D45" s="84"/>
      <c r="E45" s="12">
        <f>July!E45+D45</f>
        <v>8664</v>
      </c>
      <c r="F45" s="61"/>
      <c r="G45" s="12">
        <f>July!G45+F45</f>
        <v>0</v>
      </c>
    </row>
    <row r="46" spans="1:7" x14ac:dyDescent="0.2">
      <c r="A46" s="11" t="s">
        <v>43</v>
      </c>
      <c r="B46" s="82"/>
      <c r="C46" s="12">
        <f>July!C46+B46</f>
        <v>21</v>
      </c>
      <c r="D46" s="84"/>
      <c r="E46" s="12">
        <f>July!E46+D46</f>
        <v>0</v>
      </c>
      <c r="F46" s="61"/>
      <c r="G46" s="12">
        <f>July!G46+F46</f>
        <v>0</v>
      </c>
    </row>
    <row r="47" spans="1:7" x14ac:dyDescent="0.2">
      <c r="A47" s="11" t="s">
        <v>44</v>
      </c>
      <c r="B47" s="82"/>
      <c r="C47" s="12">
        <f>July!C47+B47</f>
        <v>389563</v>
      </c>
      <c r="D47" s="84"/>
      <c r="E47" s="12">
        <f>July!E47+D47</f>
        <v>106</v>
      </c>
      <c r="F47" s="61"/>
      <c r="G47" s="12">
        <f>July!G47+F47</f>
        <v>0</v>
      </c>
    </row>
    <row r="48" spans="1:7" x14ac:dyDescent="0.2">
      <c r="A48" s="11" t="s">
        <v>45</v>
      </c>
      <c r="B48" s="82"/>
      <c r="C48" s="12">
        <f>July!C48+B48</f>
        <v>161815</v>
      </c>
      <c r="D48" s="84"/>
      <c r="E48" s="12">
        <f>July!E48+D48</f>
        <v>0</v>
      </c>
      <c r="F48" s="61"/>
      <c r="G48" s="12">
        <f>July!G48+F48</f>
        <v>0</v>
      </c>
    </row>
    <row r="49" spans="1:256" x14ac:dyDescent="0.2">
      <c r="A49" s="11" t="s">
        <v>46</v>
      </c>
      <c r="B49" s="82"/>
      <c r="C49" s="12">
        <f>July!C49+B49</f>
        <v>0</v>
      </c>
      <c r="D49" s="84"/>
      <c r="E49" s="12">
        <f>July!E49+D49</f>
        <v>0</v>
      </c>
      <c r="F49" s="61"/>
      <c r="G49" s="12">
        <f>July!G49+F49</f>
        <v>0</v>
      </c>
    </row>
    <row r="50" spans="1:256" x14ac:dyDescent="0.2">
      <c r="A50" s="11" t="s">
        <v>47</v>
      </c>
      <c r="B50" s="82"/>
      <c r="C50" s="12">
        <f>July!C50+B50</f>
        <v>0</v>
      </c>
      <c r="D50" s="84"/>
      <c r="E50" s="12">
        <f>July!E50+D50</f>
        <v>0</v>
      </c>
      <c r="F50" s="61"/>
      <c r="G50" s="12">
        <f>July!G50+F50</f>
        <v>0</v>
      </c>
    </row>
    <row r="51" spans="1:256" x14ac:dyDescent="0.2">
      <c r="A51" s="11" t="s">
        <v>48</v>
      </c>
      <c r="B51" s="82"/>
      <c r="C51" s="12">
        <f>July!C51+B51</f>
        <v>0</v>
      </c>
      <c r="D51" s="84"/>
      <c r="E51" s="12">
        <f>July!E51+D51</f>
        <v>0</v>
      </c>
      <c r="F51" s="61"/>
      <c r="G51" s="12">
        <f>July!G51+F51</f>
        <v>0</v>
      </c>
    </row>
    <row r="52" spans="1:256" x14ac:dyDescent="0.2">
      <c r="A52" s="11" t="s">
        <v>49</v>
      </c>
      <c r="B52" s="82"/>
      <c r="C52" s="12">
        <f>July!C52+B52</f>
        <v>0</v>
      </c>
      <c r="D52" s="84"/>
      <c r="E52" s="12">
        <f>July!E52+D52</f>
        <v>0</v>
      </c>
      <c r="F52" s="61"/>
      <c r="G52" s="12">
        <f>July!G52+F52</f>
        <v>0</v>
      </c>
    </row>
    <row r="53" spans="1:256" x14ac:dyDescent="0.2">
      <c r="A53" s="11" t="s">
        <v>50</v>
      </c>
      <c r="B53" s="82"/>
      <c r="C53" s="12">
        <f>July!C53+B53</f>
        <v>70814</v>
      </c>
      <c r="D53" s="84"/>
      <c r="E53" s="12">
        <f>July!E53+D53</f>
        <v>55</v>
      </c>
      <c r="F53" s="61"/>
      <c r="G53" s="12">
        <f>July!G53+F53</f>
        <v>0</v>
      </c>
    </row>
    <row r="54" spans="1:256" ht="15.75" thickBot="1" x14ac:dyDescent="0.25">
      <c r="A54" s="11" t="s">
        <v>51</v>
      </c>
      <c r="B54" s="82"/>
      <c r="C54" s="12">
        <f>July!C54+B54</f>
        <v>145456</v>
      </c>
      <c r="D54" s="84"/>
      <c r="E54" s="12">
        <f>July!E54+D54</f>
        <v>0</v>
      </c>
      <c r="F54" s="61"/>
      <c r="G54" s="12">
        <f>July!G54+F54</f>
        <v>0</v>
      </c>
    </row>
    <row r="55" spans="1:256" ht="26.1" customHeight="1" thickBot="1" x14ac:dyDescent="0.25">
      <c r="A55" s="14" t="s">
        <v>53</v>
      </c>
      <c r="B55" s="15">
        <f>SUM(B7:B54)</f>
        <v>0</v>
      </c>
      <c r="C55" s="15">
        <f>July!C55+B55</f>
        <v>10908220</v>
      </c>
      <c r="D55" s="15">
        <f>SUM(D7:D54)</f>
        <v>0</v>
      </c>
      <c r="E55" s="15">
        <f>July!E55+D55</f>
        <v>103051</v>
      </c>
      <c r="F55" s="15">
        <f>SUM(F7:F54)</f>
        <v>0</v>
      </c>
      <c r="G55" s="15">
        <f>July!G55+F55</f>
        <v>54277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July!D58+C58</f>
        <v>1300</v>
      </c>
      <c r="E58" s="18"/>
    </row>
    <row r="59" spans="1:256" x14ac:dyDescent="0.2">
      <c r="A59" s="1" t="s">
        <v>56</v>
      </c>
      <c r="B59" s="23"/>
      <c r="C59" s="23"/>
      <c r="D59" s="24">
        <f>July!D59+C59</f>
        <v>12885</v>
      </c>
    </row>
    <row r="60" spans="1:256" x14ac:dyDescent="0.2">
      <c r="A60" s="1" t="s">
        <v>57</v>
      </c>
      <c r="B60" s="23"/>
      <c r="C60" s="23"/>
      <c r="D60" s="24">
        <f>July!D60+C60</f>
        <v>2490</v>
      </c>
    </row>
    <row r="61" spans="1:256" x14ac:dyDescent="0.2">
      <c r="A61" s="1" t="s">
        <v>58</v>
      </c>
      <c r="B61" s="23"/>
      <c r="C61" s="23"/>
      <c r="D61" s="24">
        <f>July!D61+C61</f>
        <v>0</v>
      </c>
    </row>
    <row r="62" spans="1:256" x14ac:dyDescent="0.2">
      <c r="A62" s="1" t="s">
        <v>59</v>
      </c>
      <c r="B62" s="23"/>
      <c r="C62" s="23"/>
      <c r="D62" s="24">
        <f>July!D62+C62</f>
        <v>133245</v>
      </c>
    </row>
    <row r="63" spans="1:256" x14ac:dyDescent="0.2">
      <c r="A63" s="1" t="s">
        <v>65</v>
      </c>
      <c r="B63" s="23"/>
      <c r="C63" s="23"/>
      <c r="D63" s="24">
        <f>July!D63+C63</f>
        <v>75771</v>
      </c>
    </row>
    <row r="64" spans="1:256" x14ac:dyDescent="0.2">
      <c r="A64" s="1" t="s">
        <v>63</v>
      </c>
      <c r="B64" s="23"/>
      <c r="C64" s="23"/>
      <c r="D64" s="24">
        <f>July!D64+C64</f>
        <v>86209</v>
      </c>
    </row>
    <row r="65" spans="1:4" x14ac:dyDescent="0.2">
      <c r="A65" s="1" t="s">
        <v>60</v>
      </c>
      <c r="C65" s="23"/>
      <c r="D65" s="24">
        <f>July!D65+C65</f>
        <v>0</v>
      </c>
    </row>
    <row r="66" spans="1:4" x14ac:dyDescent="0.2">
      <c r="A66" s="1" t="s">
        <v>61</v>
      </c>
      <c r="C66" s="23"/>
      <c r="D66" s="24">
        <f>July!D66+C66</f>
        <v>36422</v>
      </c>
    </row>
    <row r="67" spans="1:4" x14ac:dyDescent="0.2">
      <c r="A67" s="1" t="s">
        <v>62</v>
      </c>
      <c r="C67" s="23"/>
      <c r="D67" s="24">
        <f>July!D67+C67</f>
        <v>2450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zoomScaleSheetLayoutView="75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" customWidth="1"/>
  </cols>
  <sheetData>
    <row r="1" spans="1:256" ht="1.1499999999999999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73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.2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15" customHeight="1" x14ac:dyDescent="0.2">
      <c r="A7" s="11" t="s">
        <v>6</v>
      </c>
      <c r="B7" s="82"/>
      <c r="C7" s="12">
        <f>August!C7+B7</f>
        <v>14074</v>
      </c>
      <c r="D7" s="84"/>
      <c r="E7" s="12">
        <f>August!E7+D7</f>
        <v>0</v>
      </c>
      <c r="F7" s="61"/>
      <c r="G7" s="12">
        <f>August!G7+F7</f>
        <v>0</v>
      </c>
    </row>
    <row r="8" spans="1:256" ht="15" customHeight="1" x14ac:dyDescent="0.2">
      <c r="A8" s="11" t="s">
        <v>64</v>
      </c>
      <c r="B8" s="82"/>
      <c r="C8" s="12">
        <f>August!C8+B8</f>
        <v>0</v>
      </c>
      <c r="D8" s="84"/>
      <c r="E8" s="12">
        <f>August!E8+D8</f>
        <v>2</v>
      </c>
      <c r="F8" s="61"/>
      <c r="G8" s="12">
        <f>August!G8+F8</f>
        <v>0</v>
      </c>
    </row>
    <row r="9" spans="1:256" ht="15" customHeight="1" x14ac:dyDescent="0.2">
      <c r="A9" s="11" t="s">
        <v>7</v>
      </c>
      <c r="B9" s="82"/>
      <c r="C9" s="12">
        <f>August!C9+B9</f>
        <v>92566</v>
      </c>
      <c r="D9" s="84"/>
      <c r="E9" s="12">
        <f>August!E9+D9</f>
        <v>13</v>
      </c>
      <c r="F9" s="61"/>
      <c r="G9" s="12">
        <f>August!G9+F9</f>
        <v>0</v>
      </c>
    </row>
    <row r="10" spans="1:256" ht="15" customHeight="1" x14ac:dyDescent="0.2">
      <c r="A10" s="11" t="s">
        <v>8</v>
      </c>
      <c r="B10" s="82"/>
      <c r="C10" s="12">
        <f>August!C10+B10</f>
        <v>0</v>
      </c>
      <c r="D10" s="84"/>
      <c r="E10" s="12">
        <f>August!E10+D10</f>
        <v>1</v>
      </c>
      <c r="F10" s="61"/>
      <c r="G10" s="12">
        <f>August!G10+F10</f>
        <v>0</v>
      </c>
    </row>
    <row r="11" spans="1:256" ht="15" customHeight="1" x14ac:dyDescent="0.2">
      <c r="A11" s="99" t="s">
        <v>52</v>
      </c>
      <c r="B11" s="79"/>
      <c r="C11" s="12">
        <f>August!C11+B11</f>
        <v>1149105</v>
      </c>
      <c r="D11" s="81"/>
      <c r="E11" s="12">
        <f>August!E11+D11</f>
        <v>3579</v>
      </c>
      <c r="F11" s="61"/>
      <c r="G11" s="12">
        <f>August!G11+F11</f>
        <v>54152</v>
      </c>
    </row>
    <row r="12" spans="1:256" ht="15" customHeight="1" x14ac:dyDescent="0.2">
      <c r="A12" s="11" t="s">
        <v>9</v>
      </c>
      <c r="B12" s="82"/>
      <c r="C12" s="12">
        <f>August!C12+B12</f>
        <v>583390</v>
      </c>
      <c r="D12" s="84"/>
      <c r="E12" s="12">
        <f>August!E12+D12</f>
        <v>878</v>
      </c>
      <c r="F12" s="61"/>
      <c r="G12" s="12">
        <f>August!G12+F12</f>
        <v>0</v>
      </c>
    </row>
    <row r="13" spans="1:256" ht="15" customHeight="1" x14ac:dyDescent="0.2">
      <c r="A13" s="11" t="s">
        <v>10</v>
      </c>
      <c r="B13" s="82"/>
      <c r="C13" s="12">
        <f>August!C13+B13</f>
        <v>0</v>
      </c>
      <c r="D13" s="84"/>
      <c r="E13" s="12">
        <f>August!E13+D13</f>
        <v>0</v>
      </c>
      <c r="F13" s="61"/>
      <c r="G13" s="12">
        <f>August!G13+F13</f>
        <v>0</v>
      </c>
    </row>
    <row r="14" spans="1:256" ht="15" customHeight="1" x14ac:dyDescent="0.2">
      <c r="A14" s="11" t="s">
        <v>11</v>
      </c>
      <c r="B14" s="82"/>
      <c r="C14" s="12">
        <f>August!C14+B14</f>
        <v>0</v>
      </c>
      <c r="D14" s="84"/>
      <c r="E14" s="12">
        <f>August!E14+D14</f>
        <v>0</v>
      </c>
      <c r="F14" s="61"/>
      <c r="G14" s="12">
        <f>August!G14+F14</f>
        <v>0</v>
      </c>
    </row>
    <row r="15" spans="1:256" ht="15" customHeight="1" x14ac:dyDescent="0.2">
      <c r="A15" s="11" t="s">
        <v>12</v>
      </c>
      <c r="B15" s="82"/>
      <c r="C15" s="12">
        <f>August!C15+B15</f>
        <v>0</v>
      </c>
      <c r="D15" s="84"/>
      <c r="E15" s="12">
        <f>August!E15+D15</f>
        <v>1</v>
      </c>
      <c r="F15" s="61"/>
      <c r="G15" s="12">
        <f>August!G15+F15</f>
        <v>0</v>
      </c>
    </row>
    <row r="16" spans="1:256" ht="15" customHeight="1" x14ac:dyDescent="0.2">
      <c r="A16" s="11" t="s">
        <v>13</v>
      </c>
      <c r="B16" s="82"/>
      <c r="C16" s="12">
        <f>August!C16+B16</f>
        <v>13550</v>
      </c>
      <c r="D16" s="84"/>
      <c r="E16" s="12">
        <f>August!E16+D16</f>
        <v>2</v>
      </c>
      <c r="F16" s="61"/>
      <c r="G16" s="12">
        <f>August!G16+F16</f>
        <v>0</v>
      </c>
    </row>
    <row r="17" spans="1:7" ht="15" customHeight="1" x14ac:dyDescent="0.2">
      <c r="A17" s="11" t="s">
        <v>14</v>
      </c>
      <c r="B17" s="82"/>
      <c r="C17" s="12">
        <f>August!C17+B17</f>
        <v>1</v>
      </c>
      <c r="D17" s="84"/>
      <c r="E17" s="12">
        <f>August!E17+D17</f>
        <v>0</v>
      </c>
      <c r="F17" s="61"/>
      <c r="G17" s="12">
        <f>August!G17+F17</f>
        <v>0</v>
      </c>
    </row>
    <row r="18" spans="1:7" ht="15" customHeight="1" x14ac:dyDescent="0.2">
      <c r="A18" s="11" t="s">
        <v>15</v>
      </c>
      <c r="B18" s="82"/>
      <c r="C18" s="12">
        <f>August!C18+B18</f>
        <v>2128254</v>
      </c>
      <c r="D18" s="84"/>
      <c r="E18" s="12">
        <f>August!E18+D18</f>
        <v>11486</v>
      </c>
      <c r="F18" s="61"/>
      <c r="G18" s="12">
        <f>August!G18+F18</f>
        <v>0</v>
      </c>
    </row>
    <row r="19" spans="1:7" ht="15" customHeight="1" x14ac:dyDescent="0.2">
      <c r="A19" s="11" t="s">
        <v>16</v>
      </c>
      <c r="B19" s="82"/>
      <c r="C19" s="12">
        <f>August!C19+B19</f>
        <v>139935</v>
      </c>
      <c r="D19" s="84"/>
      <c r="E19" s="12">
        <f>August!E19+D19</f>
        <v>380</v>
      </c>
      <c r="F19" s="61"/>
      <c r="G19" s="12">
        <f>August!G19+F19</f>
        <v>0</v>
      </c>
    </row>
    <row r="20" spans="1:7" ht="15" customHeight="1" x14ac:dyDescent="0.2">
      <c r="A20" s="11" t="s">
        <v>17</v>
      </c>
      <c r="B20" s="82"/>
      <c r="C20" s="12">
        <f>August!C20+B20</f>
        <v>106943</v>
      </c>
      <c r="D20" s="84"/>
      <c r="E20" s="12">
        <f>August!E20+D20</f>
        <v>2057</v>
      </c>
      <c r="F20" s="61"/>
      <c r="G20" s="12">
        <f>August!G20+F20</f>
        <v>0</v>
      </c>
    </row>
    <row r="21" spans="1:7" ht="15" customHeight="1" x14ac:dyDescent="0.2">
      <c r="A21" s="11" t="s">
        <v>18</v>
      </c>
      <c r="B21" s="82"/>
      <c r="C21" s="12">
        <f>August!C21+B21</f>
        <v>0</v>
      </c>
      <c r="D21" s="84"/>
      <c r="E21" s="12">
        <f>August!E21+D21</f>
        <v>1664</v>
      </c>
      <c r="F21" s="61"/>
      <c r="G21" s="12">
        <f>August!G21+F21</f>
        <v>0</v>
      </c>
    </row>
    <row r="22" spans="1:7" ht="15" customHeight="1" x14ac:dyDescent="0.2">
      <c r="A22" s="11" t="s">
        <v>19</v>
      </c>
      <c r="B22" s="82"/>
      <c r="C22" s="12">
        <f>August!C22+B22</f>
        <v>0</v>
      </c>
      <c r="D22" s="84"/>
      <c r="E22" s="12">
        <f>August!E22+D22</f>
        <v>32</v>
      </c>
      <c r="F22" s="61"/>
      <c r="G22" s="12">
        <f>August!G22+F22</f>
        <v>0</v>
      </c>
    </row>
    <row r="23" spans="1:7" ht="15" customHeight="1" x14ac:dyDescent="0.2">
      <c r="A23" s="11" t="s">
        <v>20</v>
      </c>
      <c r="B23" s="82"/>
      <c r="C23" s="12">
        <f>August!C23+B23</f>
        <v>0</v>
      </c>
      <c r="D23" s="84"/>
      <c r="E23" s="12">
        <f>August!E23+D23</f>
        <v>0</v>
      </c>
      <c r="F23" s="61"/>
      <c r="G23" s="12">
        <f>August!G23+F23</f>
        <v>0</v>
      </c>
    </row>
    <row r="24" spans="1:7" ht="15" customHeight="1" x14ac:dyDescent="0.2">
      <c r="A24" s="11" t="s">
        <v>21</v>
      </c>
      <c r="B24" s="82"/>
      <c r="C24" s="12">
        <f>August!C24+B24</f>
        <v>0</v>
      </c>
      <c r="D24" s="84"/>
      <c r="E24" s="12">
        <f>August!E24+D24</f>
        <v>0</v>
      </c>
      <c r="F24" s="61"/>
      <c r="G24" s="12">
        <f>August!G24+F24</f>
        <v>0</v>
      </c>
    </row>
    <row r="25" spans="1:7" ht="15" customHeight="1" x14ac:dyDescent="0.2">
      <c r="A25" s="11" t="s">
        <v>22</v>
      </c>
      <c r="B25" s="82"/>
      <c r="C25" s="12">
        <f>August!C25+B25</f>
        <v>0</v>
      </c>
      <c r="D25" s="84"/>
      <c r="E25" s="12">
        <f>August!E25+D25</f>
        <v>0</v>
      </c>
      <c r="F25" s="61"/>
      <c r="G25" s="12">
        <f>August!G25+F25</f>
        <v>0</v>
      </c>
    </row>
    <row r="26" spans="1:7" ht="15" customHeight="1" x14ac:dyDescent="0.2">
      <c r="A26" s="11" t="s">
        <v>23</v>
      </c>
      <c r="B26" s="82"/>
      <c r="C26" s="12">
        <f>August!C26+B26</f>
        <v>4465</v>
      </c>
      <c r="D26" s="84"/>
      <c r="E26" s="12">
        <f>August!E26+D26</f>
        <v>6167</v>
      </c>
      <c r="F26" s="61"/>
      <c r="G26" s="12">
        <f>August!G26+F26</f>
        <v>0</v>
      </c>
    </row>
    <row r="27" spans="1:7" ht="15" customHeight="1" x14ac:dyDescent="0.2">
      <c r="A27" s="11" t="s">
        <v>24</v>
      </c>
      <c r="B27" s="82"/>
      <c r="C27" s="12">
        <f>August!C27+B27</f>
        <v>1062881</v>
      </c>
      <c r="D27" s="84"/>
      <c r="E27" s="12">
        <f>August!E27+D27</f>
        <v>6787</v>
      </c>
      <c r="F27" s="61"/>
      <c r="G27" s="12">
        <f>August!G27+F27</f>
        <v>56</v>
      </c>
    </row>
    <row r="28" spans="1:7" ht="15" customHeight="1" x14ac:dyDescent="0.2">
      <c r="A28" s="11" t="s">
        <v>25</v>
      </c>
      <c r="B28" s="82"/>
      <c r="C28" s="12">
        <f>August!C28+B28</f>
        <v>316445</v>
      </c>
      <c r="D28" s="84"/>
      <c r="E28" s="12">
        <f>August!E28+D28</f>
        <v>0</v>
      </c>
      <c r="F28" s="61"/>
      <c r="G28" s="12">
        <f>August!G28+F28</f>
        <v>0</v>
      </c>
    </row>
    <row r="29" spans="1:7" ht="15" customHeight="1" x14ac:dyDescent="0.2">
      <c r="A29" s="11" t="s">
        <v>26</v>
      </c>
      <c r="B29" s="82"/>
      <c r="C29" s="12">
        <f>August!C29+B29</f>
        <v>1718175</v>
      </c>
      <c r="D29" s="84"/>
      <c r="E29" s="12">
        <f>August!E29+D29</f>
        <v>471</v>
      </c>
      <c r="F29" s="61"/>
      <c r="G29" s="12">
        <f>August!G29+F29</f>
        <v>69</v>
      </c>
    </row>
    <row r="30" spans="1:7" ht="15" customHeight="1" x14ac:dyDescent="0.2">
      <c r="A30" s="11" t="s">
        <v>27</v>
      </c>
      <c r="B30" s="82"/>
      <c r="C30" s="12">
        <f>August!C30+B30</f>
        <v>25560</v>
      </c>
      <c r="D30" s="84"/>
      <c r="E30" s="12">
        <f>August!E30+D30</f>
        <v>0</v>
      </c>
      <c r="F30" s="61"/>
      <c r="G30" s="12">
        <f>August!G30+F30</f>
        <v>0</v>
      </c>
    </row>
    <row r="31" spans="1:7" ht="15" customHeight="1" x14ac:dyDescent="0.2">
      <c r="A31" s="11" t="s">
        <v>28</v>
      </c>
      <c r="B31" s="82"/>
      <c r="C31" s="12">
        <f>August!C31+B31</f>
        <v>830253</v>
      </c>
      <c r="D31" s="84"/>
      <c r="E31" s="12">
        <f>August!E31+D31</f>
        <v>37619</v>
      </c>
      <c r="F31" s="61"/>
      <c r="G31" s="12">
        <f>August!G31+F31</f>
        <v>0</v>
      </c>
    </row>
    <row r="32" spans="1:7" ht="15" customHeight="1" x14ac:dyDescent="0.2">
      <c r="A32" s="11" t="s">
        <v>29</v>
      </c>
      <c r="B32" s="82"/>
      <c r="C32" s="12">
        <f>August!C32+B32</f>
        <v>0</v>
      </c>
      <c r="D32" s="84"/>
      <c r="E32" s="12">
        <f>August!E32+D32</f>
        <v>0</v>
      </c>
      <c r="F32" s="61"/>
      <c r="G32" s="12">
        <f>August!G32+F32</f>
        <v>0</v>
      </c>
    </row>
    <row r="33" spans="1:7" ht="15" customHeight="1" x14ac:dyDescent="0.2">
      <c r="A33" s="11" t="s">
        <v>30</v>
      </c>
      <c r="B33" s="82"/>
      <c r="C33" s="12">
        <f>August!C33+B33</f>
        <v>0</v>
      </c>
      <c r="D33" s="84"/>
      <c r="E33" s="12">
        <f>August!E33+D33</f>
        <v>0</v>
      </c>
      <c r="F33" s="61"/>
      <c r="G33" s="12">
        <f>August!G33+F33</f>
        <v>0</v>
      </c>
    </row>
    <row r="34" spans="1:7" ht="15" customHeight="1" x14ac:dyDescent="0.2">
      <c r="A34" s="11" t="s">
        <v>31</v>
      </c>
      <c r="B34" s="82"/>
      <c r="C34" s="12">
        <f>August!C34+B34</f>
        <v>0</v>
      </c>
      <c r="D34" s="84"/>
      <c r="E34" s="12">
        <f>August!E34+D34</f>
        <v>0</v>
      </c>
      <c r="F34" s="61"/>
      <c r="G34" s="12">
        <f>August!G34+F34</f>
        <v>0</v>
      </c>
    </row>
    <row r="35" spans="1:7" ht="15" customHeight="1" x14ac:dyDescent="0.2">
      <c r="A35" s="11" t="s">
        <v>32</v>
      </c>
      <c r="B35" s="82"/>
      <c r="C35" s="12">
        <f>August!C35+B35</f>
        <v>0</v>
      </c>
      <c r="D35" s="84"/>
      <c r="E35" s="12">
        <f>August!E35+D35</f>
        <v>0</v>
      </c>
      <c r="F35" s="61"/>
      <c r="G35" s="12">
        <f>August!G35+F35</f>
        <v>0</v>
      </c>
    </row>
    <row r="36" spans="1:7" ht="15" customHeight="1" x14ac:dyDescent="0.2">
      <c r="A36" s="11" t="s">
        <v>33</v>
      </c>
      <c r="B36" s="82"/>
      <c r="C36" s="12">
        <f>August!C36+B36</f>
        <v>0</v>
      </c>
      <c r="D36" s="84"/>
      <c r="E36" s="12">
        <f>August!E36+D36</f>
        <v>0</v>
      </c>
      <c r="F36" s="61"/>
      <c r="G36" s="12">
        <f>August!G36+F36</f>
        <v>0</v>
      </c>
    </row>
    <row r="37" spans="1:7" ht="15" customHeight="1" x14ac:dyDescent="0.2">
      <c r="A37" s="11" t="s">
        <v>34</v>
      </c>
      <c r="B37" s="82"/>
      <c r="C37" s="12">
        <f>August!C37+B37</f>
        <v>566902</v>
      </c>
      <c r="D37" s="84"/>
      <c r="E37" s="12">
        <f>August!E37+D37</f>
        <v>0</v>
      </c>
      <c r="F37" s="61"/>
      <c r="G37" s="12">
        <f>August!G37+F37</f>
        <v>0</v>
      </c>
    </row>
    <row r="38" spans="1:7" ht="15" customHeight="1" x14ac:dyDescent="0.2">
      <c r="A38" s="11" t="s">
        <v>35</v>
      </c>
      <c r="B38" s="82"/>
      <c r="C38" s="12">
        <f>August!C38+B38</f>
        <v>174523</v>
      </c>
      <c r="D38" s="84"/>
      <c r="E38" s="12">
        <f>August!E38+D38</f>
        <v>3959</v>
      </c>
      <c r="F38" s="61"/>
      <c r="G38" s="12">
        <f>August!G38+F38</f>
        <v>0</v>
      </c>
    </row>
    <row r="39" spans="1:7" ht="15" customHeight="1" x14ac:dyDescent="0.2">
      <c r="A39" s="11" t="s">
        <v>36</v>
      </c>
      <c r="B39" s="82"/>
      <c r="C39" s="12">
        <f>August!C39+B39</f>
        <v>75162</v>
      </c>
      <c r="D39" s="84"/>
      <c r="E39" s="12">
        <f>August!E39+D39</f>
        <v>7946</v>
      </c>
      <c r="F39" s="61"/>
      <c r="G39" s="12">
        <f>August!G39+F39</f>
        <v>0</v>
      </c>
    </row>
    <row r="40" spans="1:7" ht="15" customHeight="1" x14ac:dyDescent="0.2">
      <c r="A40" s="11" t="s">
        <v>37</v>
      </c>
      <c r="B40" s="82"/>
      <c r="C40" s="12">
        <f>August!C40+B40</f>
        <v>885363</v>
      </c>
      <c r="D40" s="84"/>
      <c r="E40" s="12">
        <f>August!E40+D40</f>
        <v>8111</v>
      </c>
      <c r="F40" s="61"/>
      <c r="G40" s="12">
        <f>August!G40+F40</f>
        <v>0</v>
      </c>
    </row>
    <row r="41" spans="1:7" ht="15" customHeight="1" x14ac:dyDescent="0.2">
      <c r="A41" s="11" t="s">
        <v>38</v>
      </c>
      <c r="B41" s="82"/>
      <c r="C41" s="12">
        <f>August!C41+B41</f>
        <v>0</v>
      </c>
      <c r="D41" s="84"/>
      <c r="E41" s="12">
        <f>August!E41+D41</f>
        <v>0</v>
      </c>
      <c r="F41" s="61"/>
      <c r="G41" s="12">
        <f>August!G41+F41</f>
        <v>0</v>
      </c>
    </row>
    <row r="42" spans="1:7" ht="15" customHeight="1" x14ac:dyDescent="0.2">
      <c r="A42" s="11" t="s">
        <v>39</v>
      </c>
      <c r="B42" s="82"/>
      <c r="C42" s="12">
        <f>August!C42+B42</f>
        <v>0</v>
      </c>
      <c r="D42" s="84"/>
      <c r="E42" s="12">
        <f>August!E42+D42</f>
        <v>3071</v>
      </c>
      <c r="F42" s="61"/>
      <c r="G42" s="12">
        <f>August!G42+F42</f>
        <v>0</v>
      </c>
    </row>
    <row r="43" spans="1:7" ht="15" customHeight="1" x14ac:dyDescent="0.2">
      <c r="A43" s="11" t="s">
        <v>40</v>
      </c>
      <c r="B43" s="82"/>
      <c r="C43" s="12">
        <f>August!C43+B43</f>
        <v>0</v>
      </c>
      <c r="D43" s="84"/>
      <c r="E43" s="12">
        <f>August!E43+D43</f>
        <v>0</v>
      </c>
      <c r="F43" s="61"/>
      <c r="G43" s="12">
        <f>August!G43+F43</f>
        <v>0</v>
      </c>
    </row>
    <row r="44" spans="1:7" ht="15" customHeight="1" x14ac:dyDescent="0.2">
      <c r="A44" s="11" t="s">
        <v>41</v>
      </c>
      <c r="B44" s="82"/>
      <c r="C44" s="12">
        <f>August!C44+B44</f>
        <v>5800</v>
      </c>
      <c r="D44" s="84"/>
      <c r="E44" s="12">
        <f>August!E44+D44</f>
        <v>0</v>
      </c>
      <c r="F44" s="61"/>
      <c r="G44" s="12">
        <f>August!G44+F44</f>
        <v>0</v>
      </c>
    </row>
    <row r="45" spans="1:7" ht="15" customHeight="1" x14ac:dyDescent="0.2">
      <c r="A45" s="11" t="s">
        <v>42</v>
      </c>
      <c r="B45" s="82"/>
      <c r="C45" s="12">
        <f>August!C45+B45</f>
        <v>247204</v>
      </c>
      <c r="D45" s="84"/>
      <c r="E45" s="12">
        <f>August!E45+D45</f>
        <v>8664</v>
      </c>
      <c r="F45" s="61"/>
      <c r="G45" s="12">
        <f>August!G45+F45</f>
        <v>0</v>
      </c>
    </row>
    <row r="46" spans="1:7" ht="15" customHeight="1" x14ac:dyDescent="0.2">
      <c r="A46" s="11" t="s">
        <v>43</v>
      </c>
      <c r="B46" s="82"/>
      <c r="C46" s="12">
        <f>August!C46+B46</f>
        <v>21</v>
      </c>
      <c r="D46" s="84"/>
      <c r="E46" s="12">
        <f>August!E46+D46</f>
        <v>0</v>
      </c>
      <c r="F46" s="61"/>
      <c r="G46" s="12">
        <f>August!G46+F46</f>
        <v>0</v>
      </c>
    </row>
    <row r="47" spans="1:7" ht="15" customHeight="1" x14ac:dyDescent="0.2">
      <c r="A47" s="11" t="s">
        <v>44</v>
      </c>
      <c r="B47" s="82"/>
      <c r="C47" s="12">
        <f>August!C47+B47</f>
        <v>389563</v>
      </c>
      <c r="D47" s="84"/>
      <c r="E47" s="12">
        <f>August!E47+D47</f>
        <v>106</v>
      </c>
      <c r="F47" s="61"/>
      <c r="G47" s="12">
        <f>August!G47+F47</f>
        <v>0</v>
      </c>
    </row>
    <row r="48" spans="1:7" ht="15" customHeight="1" x14ac:dyDescent="0.2">
      <c r="A48" s="11" t="s">
        <v>45</v>
      </c>
      <c r="B48" s="82"/>
      <c r="C48" s="12">
        <f>August!C48+B48</f>
        <v>161815</v>
      </c>
      <c r="D48" s="84"/>
      <c r="E48" s="12">
        <f>August!E48+D48</f>
        <v>0</v>
      </c>
      <c r="F48" s="61"/>
      <c r="G48" s="12">
        <f>August!G48+F48</f>
        <v>0</v>
      </c>
    </row>
    <row r="49" spans="1:256" ht="15" customHeight="1" x14ac:dyDescent="0.2">
      <c r="A49" s="11" t="s">
        <v>46</v>
      </c>
      <c r="B49" s="82"/>
      <c r="C49" s="12">
        <f>August!C49+B49</f>
        <v>0</v>
      </c>
      <c r="D49" s="84"/>
      <c r="E49" s="12">
        <f>August!E49+D49</f>
        <v>0</v>
      </c>
      <c r="F49" s="61"/>
      <c r="G49" s="12">
        <f>August!G49+F49</f>
        <v>0</v>
      </c>
    </row>
    <row r="50" spans="1:256" ht="15" customHeight="1" x14ac:dyDescent="0.2">
      <c r="A50" s="11" t="s">
        <v>47</v>
      </c>
      <c r="B50" s="82"/>
      <c r="C50" s="12">
        <f>August!C50+B50</f>
        <v>0</v>
      </c>
      <c r="D50" s="84"/>
      <c r="E50" s="12">
        <f>August!E50+D50</f>
        <v>0</v>
      </c>
      <c r="F50" s="61"/>
      <c r="G50" s="12">
        <f>August!G50+F50</f>
        <v>0</v>
      </c>
    </row>
    <row r="51" spans="1:256" ht="15" customHeight="1" x14ac:dyDescent="0.2">
      <c r="A51" s="11" t="s">
        <v>48</v>
      </c>
      <c r="B51" s="82"/>
      <c r="C51" s="12">
        <f>August!C51+B51</f>
        <v>0</v>
      </c>
      <c r="D51" s="84"/>
      <c r="E51" s="12">
        <f>August!E51+D51</f>
        <v>0</v>
      </c>
      <c r="F51" s="61"/>
      <c r="G51" s="12">
        <f>August!G51+F51</f>
        <v>0</v>
      </c>
    </row>
    <row r="52" spans="1:256" ht="15" customHeight="1" x14ac:dyDescent="0.2">
      <c r="A52" s="11" t="s">
        <v>49</v>
      </c>
      <c r="B52" s="82"/>
      <c r="C52" s="12">
        <f>August!C52+B52</f>
        <v>0</v>
      </c>
      <c r="D52" s="84"/>
      <c r="E52" s="12">
        <f>August!E52+D52</f>
        <v>0</v>
      </c>
      <c r="F52" s="61"/>
      <c r="G52" s="12">
        <f>August!G52+F52</f>
        <v>0</v>
      </c>
    </row>
    <row r="53" spans="1:256" ht="15" customHeight="1" x14ac:dyDescent="0.2">
      <c r="A53" s="11" t="s">
        <v>50</v>
      </c>
      <c r="B53" s="82"/>
      <c r="C53" s="12">
        <f>August!C53+B53</f>
        <v>70814</v>
      </c>
      <c r="D53" s="84"/>
      <c r="E53" s="12">
        <f>August!E53+D53</f>
        <v>55</v>
      </c>
      <c r="F53" s="61"/>
      <c r="G53" s="12">
        <f>August!G53+F53</f>
        <v>0</v>
      </c>
    </row>
    <row r="54" spans="1:256" ht="15" customHeight="1" thickBot="1" x14ac:dyDescent="0.25">
      <c r="A54" s="11" t="s">
        <v>51</v>
      </c>
      <c r="B54" s="82"/>
      <c r="C54" s="12">
        <f>August!C54+B54</f>
        <v>145456</v>
      </c>
      <c r="D54" s="84"/>
      <c r="E54" s="12">
        <f>August!E54+D54</f>
        <v>0</v>
      </c>
      <c r="F54" s="61"/>
      <c r="G54" s="12">
        <f>August!G54+F54</f>
        <v>0</v>
      </c>
    </row>
    <row r="55" spans="1:256" ht="15" customHeight="1" thickBot="1" x14ac:dyDescent="0.25">
      <c r="A55" s="14" t="s">
        <v>53</v>
      </c>
      <c r="B55" s="15">
        <f>SUM(B7:B54)</f>
        <v>0</v>
      </c>
      <c r="C55" s="15">
        <f>August!C55+B55</f>
        <v>10908220</v>
      </c>
      <c r="D55" s="15">
        <f>SUM(D7:D54)</f>
        <v>0</v>
      </c>
      <c r="E55" s="15">
        <f>August!E55+D55</f>
        <v>103051</v>
      </c>
      <c r="F55" s="15">
        <f>SUM(F7:F54)</f>
        <v>0</v>
      </c>
      <c r="G55" s="15">
        <f>August!G55+F55</f>
        <v>54277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5" customHeight="1" x14ac:dyDescent="0.25">
      <c r="A56" s="17"/>
      <c r="B56" s="18"/>
      <c r="C56" s="18"/>
      <c r="D56" s="18"/>
      <c r="E56" s="18"/>
    </row>
    <row r="57" spans="1:256" ht="15" customHeight="1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ht="15" customHeight="1" x14ac:dyDescent="0.35">
      <c r="A58" s="1" t="s">
        <v>55</v>
      </c>
      <c r="B58" s="22"/>
      <c r="C58" s="23"/>
      <c r="D58" s="24">
        <f>August!D58+C58</f>
        <v>1300</v>
      </c>
      <c r="E58" s="18"/>
      <c r="F58" s="37"/>
      <c r="G58" s="37"/>
    </row>
    <row r="59" spans="1:256" ht="15" customHeight="1" x14ac:dyDescent="0.35">
      <c r="A59" s="1" t="s">
        <v>56</v>
      </c>
      <c r="B59" s="23"/>
      <c r="C59" s="23"/>
      <c r="D59" s="24">
        <f>August!D59+C59</f>
        <v>12885</v>
      </c>
      <c r="F59" s="37"/>
      <c r="G59" s="37"/>
    </row>
    <row r="60" spans="1:256" ht="15" customHeight="1" x14ac:dyDescent="0.2">
      <c r="A60" s="1" t="s">
        <v>57</v>
      </c>
      <c r="B60" s="23"/>
      <c r="C60" s="23"/>
      <c r="D60" s="24">
        <f>August!D60+C60</f>
        <v>2490</v>
      </c>
    </row>
    <row r="61" spans="1:256" ht="15" customHeight="1" x14ac:dyDescent="0.2">
      <c r="A61" s="1" t="s">
        <v>58</v>
      </c>
      <c r="B61" s="23"/>
      <c r="C61" s="23"/>
      <c r="D61" s="24">
        <f>August!D61+C61</f>
        <v>0</v>
      </c>
    </row>
    <row r="62" spans="1:256" ht="15" customHeight="1" x14ac:dyDescent="0.2">
      <c r="A62" s="1" t="s">
        <v>59</v>
      </c>
      <c r="B62" s="23"/>
      <c r="C62" s="23"/>
      <c r="D62" s="24">
        <f>August!D62+C62</f>
        <v>133245</v>
      </c>
    </row>
    <row r="63" spans="1:256" ht="15" customHeight="1" x14ac:dyDescent="0.2">
      <c r="A63" s="1" t="s">
        <v>65</v>
      </c>
      <c r="B63" s="23"/>
      <c r="C63" s="23"/>
      <c r="D63" s="24">
        <f>August!D63+C63</f>
        <v>75771</v>
      </c>
    </row>
    <row r="64" spans="1:256" ht="15" customHeight="1" x14ac:dyDescent="0.2">
      <c r="A64" s="1" t="s">
        <v>63</v>
      </c>
      <c r="B64" s="23"/>
      <c r="C64" s="23"/>
      <c r="D64" s="24">
        <f>August!D64+C64</f>
        <v>86209</v>
      </c>
    </row>
    <row r="65" spans="1:4" ht="15" customHeight="1" x14ac:dyDescent="0.2">
      <c r="A65" s="1" t="s">
        <v>60</v>
      </c>
      <c r="C65" s="23"/>
      <c r="D65" s="24">
        <f>August!D65+C65</f>
        <v>0</v>
      </c>
    </row>
    <row r="66" spans="1:4" ht="15" customHeight="1" x14ac:dyDescent="0.2">
      <c r="A66" s="1" t="s">
        <v>61</v>
      </c>
      <c r="C66" s="23"/>
      <c r="D66" s="24">
        <f>August!D66+C66</f>
        <v>36422</v>
      </c>
    </row>
    <row r="67" spans="1:4" ht="15" customHeight="1" x14ac:dyDescent="0.2">
      <c r="A67" s="1" t="s">
        <v>62</v>
      </c>
      <c r="C67" s="23"/>
      <c r="D67" s="24">
        <f>August!D67+C67</f>
        <v>2450</v>
      </c>
    </row>
  </sheetData>
  <phoneticPr fontId="0" type="noConversion"/>
  <pageMargins left="0.5" right="0.5" top="0.5" bottom="0.5" header="0.5" footer="0.5"/>
  <pageSetup scale="7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Karla</dc:creator>
  <cp:lastModifiedBy>Iowa Library Services</cp:lastModifiedBy>
  <cp:lastPrinted>2011-09-14T17:22:45Z</cp:lastPrinted>
  <dcterms:created xsi:type="dcterms:W3CDTF">2001-01-18T13:50:08Z</dcterms:created>
  <dcterms:modified xsi:type="dcterms:W3CDTF">2013-06-17T11:36:42Z</dcterms:modified>
</cp:coreProperties>
</file>