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6" windowWidth="14400" windowHeight="7580" tabRatio="768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<sst xmlns="http://schemas.openxmlformats.org/spreadsheetml/2006/main" count="1030" uniqueCount="82">
  <si>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</si>
  <si>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</si>
  <si>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</si>
  <si>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</si>
  <si>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</si>
  <si>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</si>
  <si>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</si>
  <si>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</si>
  <si>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</si>
  <si>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</si>
  <si>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</si>
  <si>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</si>
  <si>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</si>
  <si>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</si>
  <si>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</si>
  <si>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</si>
  <si>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</si>
  <si>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</si>
  <si>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</si>
  <si>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</si>
  <si>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</si>
  <si>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</si>
  <si>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</si>
  <si>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</si>
  <si>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</si>
  <si>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</si>
  <si>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</si>
  <si>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</si>
  <si>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</si>
  <si>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</si>
  <si>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</si>
  <si>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</si>
  <si>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</si>
  <si>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</si>
  <si>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</si>
  <si>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</si>
  <si>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</si>
  <si>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</si>
  <si>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</si>
  <si>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</si>
  <si>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</si>
  <si>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</si>
  <si>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</si>
  <si>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</si>
  <si>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</si>
  <si>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</si>
  <si>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</si>
  <si>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</si>
  <si>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</si>
  <si>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</si>
  <si>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</si>
  <si>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</si>
  <si>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</si>
  <si>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</si>
  <si>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</si>
  <si>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</si>
  <si>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</si>
  <si>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</si>
  <si>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</si>
  <si>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</si>
  <si>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</si>
  <si>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</si>
  <si>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</si>
  <si>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</si>
  <si>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</si>
  <si>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</si>
  <si>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</si>
  <si>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</si>
  <si>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</si>
  <si>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</si>
  <si>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</si>
  <si>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</si>
  <si>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</si>
  <si>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</si>
  <si>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</si>
  <si>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</si>
  <si>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</si>
  <si>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</si>
  <si>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</si>
  <si>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2012 Other Livestock Imported to Iowa</t>
  </si>
  <si>
    <t>X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</si>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</sst>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05815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49" activePane="bottomLeft" state="frozen"/>
      <selection pane="topLeft" activeCell="A1" sqref="A1"/>
      <selection pane="bottomLeft" activeCell="A49" sqref="A49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>
        <f>1+2</f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>
        <f>2</f>
        <v>2</v>
      </c>
      <c r="E8" s="9">
        <f t="shared" si="1"/>
        <v>2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f>2</f>
        <v>2</v>
      </c>
      <c r="E10" s="9">
        <f t="shared" si="1"/>
        <v>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1+1+2</f>
        <v>4</v>
      </c>
      <c r="E11" s="9">
        <f t="shared" si="1"/>
        <v>4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1</f>
        <v>1</v>
      </c>
      <c r="E14" s="9">
        <f t="shared" si="1"/>
        <v>1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/>
    </row>
    <row r="19" spans="1:16" ht="18" customHeight="1">
      <c r="A19" s="9" t="s">
        <v>23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>
        <f>227</f>
        <v>227</v>
      </c>
      <c r="G20" s="9">
        <f t="shared" si="2"/>
        <v>227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f>3+1+1+1+1</f>
        <v>7</v>
      </c>
      <c r="E21" s="9">
        <f t="shared" si="1"/>
        <v>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</f>
        <v>1</v>
      </c>
      <c r="C27" s="9">
        <f t="shared" si="0"/>
        <v>1</v>
      </c>
      <c r="D27" s="15">
        <f>1+1+2+1+3</f>
        <v>8</v>
      </c>
      <c r="E27" s="9">
        <f t="shared" si="1"/>
        <v>8</v>
      </c>
      <c r="F27" s="16">
        <f>26+8+1</f>
        <v>35</v>
      </c>
      <c r="G27" s="9">
        <f t="shared" si="2"/>
        <v>35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 t="s">
        <v>80</v>
      </c>
    </row>
    <row r="29" spans="1:16" ht="18" customHeight="1">
      <c r="A29" s="9" t="s">
        <v>33</v>
      </c>
      <c r="B29" s="14">
        <f>1+2+3</f>
        <v>6</v>
      </c>
      <c r="C29" s="9">
        <f t="shared" si="0"/>
        <v>6</v>
      </c>
      <c r="D29" s="15">
        <f>1+1+1+1+1</f>
        <v>5</v>
      </c>
      <c r="E29" s="9">
        <f t="shared" si="1"/>
        <v>5</v>
      </c>
      <c r="F29" s="16"/>
      <c r="G29" s="9">
        <f t="shared" si="2"/>
        <v>0</v>
      </c>
      <c r="H29" s="17"/>
      <c r="I29" s="9">
        <f t="shared" si="3"/>
        <v>0</v>
      </c>
      <c r="J29" s="18">
        <f>16+12</f>
        <v>28</v>
      </c>
      <c r="K29" s="9">
        <f t="shared" si="4"/>
        <v>28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114+280+60</f>
        <v>454</v>
      </c>
      <c r="G30" s="9">
        <f t="shared" si="2"/>
        <v>454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4+1</f>
        <v>5</v>
      </c>
      <c r="E31" s="9">
        <f t="shared" si="1"/>
        <v>5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>
        <f>4</f>
        <v>4</v>
      </c>
      <c r="E36" s="9">
        <f t="shared" si="1"/>
        <v>4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1</f>
        <v>1</v>
      </c>
      <c r="E37" s="9">
        <f aca="true" t="shared" si="8" ref="E37:E54">D37</f>
        <v>1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>
        <f>11+5+40+23+1</f>
        <v>80</v>
      </c>
      <c r="E38" s="9">
        <f t="shared" si="8"/>
        <v>80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10+1+1</f>
        <v>12</v>
      </c>
      <c r="C39" s="9">
        <f t="shared" si="7"/>
        <v>12</v>
      </c>
      <c r="D39" s="15">
        <v>1</v>
      </c>
      <c r="E39" s="9">
        <f t="shared" si="8"/>
        <v>1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>
        <v>3</v>
      </c>
      <c r="C40" s="9">
        <f t="shared" si="7"/>
        <v>3</v>
      </c>
      <c r="D40" s="15">
        <f>1+1</f>
        <v>2</v>
      </c>
      <c r="E40" s="9">
        <f t="shared" si="8"/>
        <v>2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 t="s">
        <v>80</v>
      </c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f>26+19+3+35+93+7+79+12+29+43+38+43+27+55+64+91+5+32+19+9</f>
        <v>729</v>
      </c>
      <c r="G45" s="9">
        <f t="shared" si="9"/>
        <v>729</v>
      </c>
      <c r="H45" s="17"/>
      <c r="I45" s="9">
        <f t="shared" si="10"/>
        <v>0</v>
      </c>
      <c r="J45" s="18">
        <f>11+17+17+18+9+9+23</f>
        <v>104</v>
      </c>
      <c r="K45" s="9">
        <f t="shared" si="11"/>
        <v>104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>
        <f>1</f>
        <v>1</v>
      </c>
      <c r="E46" s="9">
        <f t="shared" si="8"/>
        <v>1</v>
      </c>
      <c r="F46" s="16">
        <f>74</f>
        <v>74</v>
      </c>
      <c r="G46" s="9">
        <f t="shared" si="9"/>
        <v>74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f>3+9+10+1+1</f>
        <v>24</v>
      </c>
      <c r="E47" s="9">
        <f t="shared" si="8"/>
        <v>24</v>
      </c>
      <c r="F47" s="16"/>
      <c r="G47" s="9">
        <f t="shared" si="9"/>
        <v>0</v>
      </c>
      <c r="H47" s="17"/>
      <c r="I47" s="9">
        <f t="shared" si="10"/>
        <v>0</v>
      </c>
      <c r="J47" s="18">
        <f>85</f>
        <v>85</v>
      </c>
      <c r="K47" s="9">
        <f t="shared" si="11"/>
        <v>85</v>
      </c>
      <c r="L47" s="19"/>
      <c r="M47" s="9">
        <f t="shared" si="12"/>
        <v>0</v>
      </c>
      <c r="N47" s="19"/>
      <c r="O47" s="9">
        <f t="shared" si="13"/>
        <v>0</v>
      </c>
      <c r="P47" s="20" t="s">
        <v>80</v>
      </c>
    </row>
    <row r="48" spans="1:16" ht="18" customHeight="1">
      <c r="A48" s="9" t="s">
        <v>52</v>
      </c>
      <c r="B48" s="14"/>
      <c r="C48" s="9">
        <f t="shared" si="7"/>
        <v>0</v>
      </c>
      <c r="D48" s="15">
        <f>2+1</f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f>1</f>
        <v>1</v>
      </c>
      <c r="E51" s="9">
        <f t="shared" si="8"/>
        <v>1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f>11+3+10+2</f>
        <v>26</v>
      </c>
      <c r="E53" s="9">
        <f t="shared" si="8"/>
        <v>26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f>2</f>
        <v>2</v>
      </c>
      <c r="E54" s="9">
        <f t="shared" si="8"/>
        <v>2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22</v>
      </c>
      <c r="C55" s="11"/>
      <c r="D55" s="11">
        <f>SUM(D5:D54)</f>
        <v>186</v>
      </c>
      <c r="E55" s="11"/>
      <c r="F55" s="11">
        <f>SUM(F5:F54)</f>
        <v>1519</v>
      </c>
      <c r="G55" s="11"/>
      <c r="H55" s="11">
        <f>SUM(H5:H54)</f>
        <v>0</v>
      </c>
      <c r="I55" s="11"/>
      <c r="J55" s="11">
        <f>SUM(J5:J54)</f>
        <v>217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22</v>
      </c>
      <c r="D57" s="11"/>
      <c r="E57" s="11">
        <f>D55</f>
        <v>186</v>
      </c>
      <c r="F57" s="11"/>
      <c r="G57" s="11">
        <f>F55</f>
        <v>1519</v>
      </c>
      <c r="H57" s="11"/>
      <c r="I57" s="11">
        <f>H55</f>
        <v>0</v>
      </c>
      <c r="J57" s="11"/>
      <c r="K57" s="11">
        <f>J55</f>
        <v>217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44" activePane="bottomLeft" state="frozen"/>
      <selection pane="topLeft" activeCell="A1" sqref="A1"/>
      <selection pane="bottomLeft" activeCell="F61" sqref="F6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>
        <f>5+3</f>
        <v>8</v>
      </c>
      <c r="E5" s="9">
        <f>September!E5+D5</f>
        <v>9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>
        <f>2+1</f>
        <v>3</v>
      </c>
      <c r="E7" s="9">
        <f>September!E7+D7</f>
        <v>85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>
        <f>4</f>
        <v>4</v>
      </c>
      <c r="E8" s="9">
        <f>September!E8+D8</f>
        <v>112</v>
      </c>
      <c r="F8" s="16">
        <f>1</f>
        <v>1</v>
      </c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3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>
        <f>7</f>
        <v>7</v>
      </c>
      <c r="E9" s="9">
        <f>September!E9+D9</f>
        <v>21</v>
      </c>
      <c r="F9" s="16"/>
      <c r="G9" s="9">
        <f>September!G9+F9</f>
        <v>15</v>
      </c>
      <c r="H9" s="17"/>
      <c r="I9" s="9">
        <f>September!I9+H9</f>
        <v>0</v>
      </c>
      <c r="J9" s="18">
        <f>1</f>
        <v>1</v>
      </c>
      <c r="K9" s="9">
        <f>September!K9+J9</f>
        <v>41</v>
      </c>
      <c r="L9" s="19"/>
      <c r="M9" s="9">
        <f>September!M9+L9</f>
        <v>0</v>
      </c>
      <c r="N9" s="19"/>
      <c r="O9" s="9">
        <f>September!O9+N9</f>
        <v>1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27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>
        <f>2+1+2+1+2+2+2+1+2+2</f>
        <v>17</v>
      </c>
      <c r="E11" s="9">
        <f>September!E11+D11</f>
        <v>141</v>
      </c>
      <c r="F11" s="16"/>
      <c r="G11" s="9">
        <f>September!G11+F11</f>
        <v>710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19"/>
      <c r="O11" s="9">
        <f>September!O11+N11</f>
        <v>4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>
        <f>2+1+9</f>
        <v>12</v>
      </c>
      <c r="E14" s="9">
        <f>September!E14+D14</f>
        <v>105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>
        <f>3</f>
        <v>3</v>
      </c>
      <c r="E15" s="9">
        <f>September!E15+D15</f>
        <v>13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>
        <f>2+12</f>
        <v>14</v>
      </c>
      <c r="E17" s="9">
        <f>September!E17+D17</f>
        <v>21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</v>
      </c>
      <c r="P17" s="20"/>
    </row>
    <row r="18" spans="1:16" ht="18" customHeight="1">
      <c r="A18" s="9" t="s">
        <v>22</v>
      </c>
      <c r="B18" s="14">
        <f>1</f>
        <v>1</v>
      </c>
      <c r="C18" s="9">
        <f>September!C18+B18</f>
        <v>4</v>
      </c>
      <c r="D18" s="15">
        <f>3+7+1+2+1+1+6+1+5+2+15+5</f>
        <v>49</v>
      </c>
      <c r="E18" s="9">
        <f>September!E18+D18</f>
        <v>491</v>
      </c>
      <c r="F18" s="16">
        <f>7+45+3+7</f>
        <v>62</v>
      </c>
      <c r="G18" s="9">
        <f>September!G18+F18</f>
        <v>412</v>
      </c>
      <c r="H18" s="17"/>
      <c r="I18" s="9">
        <f>September!I18+H18</f>
        <v>0</v>
      </c>
      <c r="J18" s="18">
        <f>5+1</f>
        <v>6</v>
      </c>
      <c r="K18" s="9">
        <f>September!K18+J18</f>
        <v>255</v>
      </c>
      <c r="L18" s="19"/>
      <c r="M18" s="9">
        <f>September!M18+L18</f>
        <v>0</v>
      </c>
      <c r="N18" s="19"/>
      <c r="O18" s="9">
        <f>September!O18+N18</f>
        <v>2</v>
      </c>
      <c r="P18" s="20"/>
    </row>
    <row r="19" spans="1:16" ht="18" customHeight="1">
      <c r="A19" s="9" t="s">
        <v>23</v>
      </c>
      <c r="B19" s="14">
        <f>1+3+1+1+2</f>
        <v>8</v>
      </c>
      <c r="C19" s="9">
        <f>September!C19+B19</f>
        <v>15</v>
      </c>
      <c r="D19" s="15">
        <f>1+2+2+3+1+6</f>
        <v>15</v>
      </c>
      <c r="E19" s="9">
        <f>September!E19+D19</f>
        <v>108</v>
      </c>
      <c r="F19" s="16"/>
      <c r="G19" s="9">
        <f>September!G19+F19</f>
        <v>220</v>
      </c>
      <c r="H19" s="17"/>
      <c r="I19" s="9">
        <f>September!I19+H19</f>
        <v>0</v>
      </c>
      <c r="J19" s="18"/>
      <c r="K19" s="9">
        <f>September!K19+J19</f>
        <v>40</v>
      </c>
      <c r="L19" s="19"/>
      <c r="M19" s="9">
        <f>September!M19+L19</f>
        <v>0</v>
      </c>
      <c r="N19" s="19"/>
      <c r="O19" s="9">
        <f>September!O19+N19</f>
        <v>66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>
        <f>15+3+18+2+17+7+9+1</f>
        <v>72</v>
      </c>
      <c r="E20" s="9">
        <f>September!E20+D20</f>
        <v>201</v>
      </c>
      <c r="F20" s="16">
        <f>30</f>
        <v>30</v>
      </c>
      <c r="G20" s="9">
        <f>September!G20+F20</f>
        <v>352</v>
      </c>
      <c r="H20" s="17"/>
      <c r="I20" s="9">
        <f>September!I20+H20</f>
        <v>0</v>
      </c>
      <c r="J20" s="18">
        <f>12+16+5+3+1+1+9+1+1+6</f>
        <v>55</v>
      </c>
      <c r="K20" s="9">
        <f>September!K20+J20</f>
        <v>82</v>
      </c>
      <c r="L20" s="19"/>
      <c r="M20" s="9">
        <f>September!M20+L20</f>
        <v>0</v>
      </c>
      <c r="N20" s="19"/>
      <c r="O20" s="9">
        <f>September!O20+N20</f>
        <v>10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>
        <f>1+1+1+1</f>
        <v>4</v>
      </c>
      <c r="E21" s="9">
        <f>September!E21+D21</f>
        <v>118</v>
      </c>
      <c r="F21" s="16"/>
      <c r="G21" s="9">
        <f>September!G21+F21</f>
        <v>17</v>
      </c>
      <c r="H21" s="17"/>
      <c r="I21" s="9">
        <f>September!I21+H21</f>
        <v>0</v>
      </c>
      <c r="J21" s="18">
        <f>4+7+9</f>
        <v>20</v>
      </c>
      <c r="K21" s="9">
        <f>September!K21+J21</f>
        <v>20</v>
      </c>
      <c r="L21" s="19"/>
      <c r="M21" s="9">
        <f>September!M21+L21</f>
        <v>0</v>
      </c>
      <c r="N21" s="19"/>
      <c r="O21" s="9">
        <f>September!O21+N21</f>
        <v>6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1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7</v>
      </c>
      <c r="F24" s="16"/>
      <c r="G24" s="9">
        <f>September!G24+F24</f>
        <v>12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1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0</v>
      </c>
      <c r="F25" s="16">
        <f>6</f>
        <v>6</v>
      </c>
      <c r="G25" s="9">
        <f>September!G25+F25</f>
        <v>8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>
        <f>2</f>
        <v>2</v>
      </c>
      <c r="C26" s="9">
        <f>September!C26+B26</f>
        <v>2</v>
      </c>
      <c r="D26" s="15">
        <f>1+1+3+3+4+1+2+1+2+1+1+1+1+1</f>
        <v>23</v>
      </c>
      <c r="E26" s="9">
        <f>September!E26+D26</f>
        <v>104</v>
      </c>
      <c r="F26" s="16"/>
      <c r="G26" s="9">
        <f>September!G26+F26</f>
        <v>35</v>
      </c>
      <c r="H26" s="17"/>
      <c r="I26" s="9">
        <f>September!I26+H26</f>
        <v>0</v>
      </c>
      <c r="J26" s="18">
        <f>10</f>
        <v>10</v>
      </c>
      <c r="K26" s="9">
        <f>September!K26+J26</f>
        <v>10</v>
      </c>
      <c r="L26" s="19"/>
      <c r="M26" s="9">
        <f>September!M26+L26</f>
        <v>0</v>
      </c>
      <c r="N26" s="19"/>
      <c r="O26" s="9">
        <f>September!O26+N26</f>
        <v>32</v>
      </c>
      <c r="P26" s="20"/>
    </row>
    <row r="27" spans="1:16" ht="18" customHeight="1">
      <c r="A27" s="9" t="s">
        <v>31</v>
      </c>
      <c r="B27" s="14">
        <f>8+5+15</f>
        <v>28</v>
      </c>
      <c r="C27" s="9">
        <f>September!C27+B27</f>
        <v>45</v>
      </c>
      <c r="D27" s="15">
        <f>2+10+1+1+21+7+11+28+3+16+11+7+7+6+2+14+4+19+6+9+2+10+1</f>
        <v>198</v>
      </c>
      <c r="E27" s="9">
        <f>September!E27+D27</f>
        <v>1211</v>
      </c>
      <c r="F27" s="16">
        <f>7+2+57+17+1+36</f>
        <v>120</v>
      </c>
      <c r="G27" s="9">
        <f>September!G27+F27</f>
        <v>5891</v>
      </c>
      <c r="H27" s="17"/>
      <c r="I27" s="9">
        <f>September!I27+H27</f>
        <v>0</v>
      </c>
      <c r="J27" s="18">
        <f>9+5+1+1+4+5+62+3</f>
        <v>90</v>
      </c>
      <c r="K27" s="9">
        <f>September!K27+J27</f>
        <v>390</v>
      </c>
      <c r="L27" s="19"/>
      <c r="M27" s="9">
        <f>September!M27+L27</f>
        <v>0</v>
      </c>
      <c r="N27" s="19"/>
      <c r="O27" s="9">
        <f>September!O27+N27</f>
        <v>37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>
        <f>1+1+1+15+3+3</f>
        <v>24</v>
      </c>
      <c r="E28" s="9">
        <f>September!E28+D28</f>
        <v>33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13</v>
      </c>
      <c r="D29" s="15">
        <f>4+2+3+4+1+1+2+1+6+10+1+7+1+10+8+2</f>
        <v>63</v>
      </c>
      <c r="E29" s="9">
        <f>September!E29+D29</f>
        <v>410</v>
      </c>
      <c r="F29" s="16"/>
      <c r="G29" s="9">
        <f>September!G29+F29</f>
        <v>36</v>
      </c>
      <c r="H29" s="17"/>
      <c r="I29" s="9">
        <f>September!I29+H29</f>
        <v>0</v>
      </c>
      <c r="J29" s="18">
        <f>3+7</f>
        <v>10</v>
      </c>
      <c r="K29" s="9">
        <f>September!K29+J29</f>
        <v>54</v>
      </c>
      <c r="L29" s="19"/>
      <c r="M29" s="9">
        <f>September!M29+L29</f>
        <v>0</v>
      </c>
      <c r="N29" s="19">
        <f>1</f>
        <v>1</v>
      </c>
      <c r="O29" s="9">
        <f>September!O29+N29</f>
        <v>33</v>
      </c>
      <c r="P29" s="20" t="s">
        <v>80</v>
      </c>
    </row>
    <row r="30" spans="1:16" ht="18" customHeight="1">
      <c r="A30" s="9" t="s">
        <v>34</v>
      </c>
      <c r="B30" s="14"/>
      <c r="C30" s="9">
        <f>September!C30+B30</f>
        <v>0</v>
      </c>
      <c r="D30" s="15">
        <f>1</f>
        <v>1</v>
      </c>
      <c r="E30" s="9">
        <f>September!E30+D30</f>
        <v>87</v>
      </c>
      <c r="F30" s="16"/>
      <c r="G30" s="9">
        <f>September!G30+F30</f>
        <v>3616</v>
      </c>
      <c r="H30" s="17"/>
      <c r="I30" s="9">
        <f>September!I30+H30</f>
        <v>0</v>
      </c>
      <c r="J30" s="18"/>
      <c r="K30" s="9">
        <f>September!K30+J30</f>
        <v>352</v>
      </c>
      <c r="L30" s="19">
        <f>62+32</f>
        <v>94</v>
      </c>
      <c r="M30" s="9">
        <f>September!M30+L30</f>
        <v>94</v>
      </c>
      <c r="N30" s="19"/>
      <c r="O30" s="9">
        <f>September!O30+N30</f>
        <v>4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>
        <f>2+1+2+3+2+10+3+2+3+1+43+6+4+1+1+2+3+4+2+10+3+3+1+2+1+1+1</f>
        <v>117</v>
      </c>
      <c r="E31" s="9">
        <f>September!E31+D31</f>
        <v>570</v>
      </c>
      <c r="F31" s="16">
        <f>2+1+26+7+2</f>
        <v>38</v>
      </c>
      <c r="G31" s="9">
        <f>September!G31+F31</f>
        <v>393</v>
      </c>
      <c r="H31" s="17">
        <f>8</f>
        <v>8</v>
      </c>
      <c r="I31" s="9">
        <f>September!I31+H31</f>
        <v>143</v>
      </c>
      <c r="J31" s="18">
        <f>11+2</f>
        <v>13</v>
      </c>
      <c r="K31" s="9">
        <f>September!K31+J31</f>
        <v>135</v>
      </c>
      <c r="L31" s="19">
        <f>7+4</f>
        <v>11</v>
      </c>
      <c r="M31" s="9">
        <f>September!M31+L31</f>
        <v>11</v>
      </c>
      <c r="N31" s="19"/>
      <c r="O31" s="9">
        <f>September!O31+N31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September!C32+B32</f>
        <v>0</v>
      </c>
      <c r="D32" s="15">
        <f>1</f>
        <v>1</v>
      </c>
      <c r="E32" s="9">
        <f>September!E32+D32</f>
        <v>7</v>
      </c>
      <c r="F32" s="16"/>
      <c r="G32" s="9">
        <f>September!G32+F32</f>
        <v>18</v>
      </c>
      <c r="H32" s="17"/>
      <c r="I32" s="9">
        <f>September!I32+H32</f>
        <v>0</v>
      </c>
      <c r="J32" s="18">
        <f>8</f>
        <v>8</v>
      </c>
      <c r="K32" s="9">
        <f>September!K32+J32</f>
        <v>8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4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11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39</v>
      </c>
      <c r="F35" s="16"/>
      <c r="G35" s="9">
        <f>September!G35+F35</f>
        <v>1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9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6</v>
      </c>
      <c r="P36" s="20" t="s">
        <v>80</v>
      </c>
    </row>
    <row r="37" spans="1:16" ht="18" customHeight="1">
      <c r="A37" s="9" t="s">
        <v>41</v>
      </c>
      <c r="B37" s="14"/>
      <c r="C37" s="9">
        <f>September!C37+B37</f>
        <v>0</v>
      </c>
      <c r="D37" s="15">
        <f>3</f>
        <v>3</v>
      </c>
      <c r="E37" s="9">
        <f>September!E37+D37</f>
        <v>27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1</v>
      </c>
      <c r="L37" s="19"/>
      <c r="M37" s="9">
        <f>September!M37+L37</f>
        <v>0</v>
      </c>
      <c r="N37" s="19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>
        <f>1+1+1+9+1+15+15</f>
        <v>43</v>
      </c>
      <c r="E38" s="9">
        <f>September!E38+D38</f>
        <v>196</v>
      </c>
      <c r="F38" s="16"/>
      <c r="G38" s="9">
        <f>September!G38+F38</f>
        <v>60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0"/>
    </row>
    <row r="39" spans="1:16" ht="18" customHeight="1">
      <c r="A39" s="9" t="s">
        <v>43</v>
      </c>
      <c r="B39" s="14">
        <f>3+4+5+1+1+3</f>
        <v>17</v>
      </c>
      <c r="C39" s="9">
        <f>September!C39+B39</f>
        <v>40</v>
      </c>
      <c r="D39" s="15"/>
      <c r="E39" s="9">
        <f>September!E39+D39</f>
        <v>26</v>
      </c>
      <c r="F39" s="16"/>
      <c r="G39" s="9">
        <f>September!G39+F39</f>
        <v>107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34</v>
      </c>
      <c r="P39" s="20" t="s">
        <v>80</v>
      </c>
    </row>
    <row r="40" spans="1:16" ht="18" customHeight="1">
      <c r="A40" s="9" t="s">
        <v>44</v>
      </c>
      <c r="B40" s="14"/>
      <c r="C40" s="9">
        <f>September!C40+B40</f>
        <v>3</v>
      </c>
      <c r="D40" s="15">
        <f>1+6+4+4+2+7+8+2</f>
        <v>34</v>
      </c>
      <c r="E40" s="9">
        <f>September!E40+D40</f>
        <v>335</v>
      </c>
      <c r="F40" s="16">
        <f>1</f>
        <v>1</v>
      </c>
      <c r="G40" s="9">
        <f>September!G40+F40</f>
        <v>155</v>
      </c>
      <c r="H40" s="17"/>
      <c r="I40" s="9">
        <f>September!I40+H40</f>
        <v>0</v>
      </c>
      <c r="J40" s="18">
        <f>7</f>
        <v>7</v>
      </c>
      <c r="K40" s="9">
        <f>September!K40+J40</f>
        <v>7</v>
      </c>
      <c r="L40" s="19"/>
      <c r="M40" s="9">
        <f>September!M40+L40</f>
        <v>0</v>
      </c>
      <c r="N40" s="19"/>
      <c r="O40" s="9">
        <f>September!O40+N40</f>
        <v>14</v>
      </c>
      <c r="P40" s="20" t="s">
        <v>80</v>
      </c>
    </row>
    <row r="41" spans="1:16" ht="18" customHeight="1">
      <c r="A41" s="9" t="s">
        <v>45</v>
      </c>
      <c r="B41" s="14"/>
      <c r="C41" s="9">
        <f>September!C41+B41</f>
        <v>1</v>
      </c>
      <c r="D41" s="15">
        <f>1+4+1</f>
        <v>6</v>
      </c>
      <c r="E41" s="9">
        <f>September!E41+D41</f>
        <v>8</v>
      </c>
      <c r="F41" s="16"/>
      <c r="G41" s="9">
        <f>September!G41+F41</f>
        <v>37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20</v>
      </c>
      <c r="P41" s="20"/>
    </row>
    <row r="42" spans="1:16" ht="18" customHeight="1">
      <c r="A42" s="9" t="s">
        <v>46</v>
      </c>
      <c r="B42" s="14"/>
      <c r="C42" s="9">
        <f>September!C42+B42</f>
        <v>2</v>
      </c>
      <c r="D42" s="15"/>
      <c r="E42" s="9">
        <f>September!E42+D42</f>
        <v>24</v>
      </c>
      <c r="F42" s="16"/>
      <c r="G42" s="9">
        <f>September!G42+F42</f>
        <v>131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11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>
        <f>2+1+2+4+1+15+6+1+11+40+40+7+3+13+11+5</f>
        <v>162</v>
      </c>
      <c r="E45" s="9">
        <f>September!E45+D45</f>
        <v>400</v>
      </c>
      <c r="F45" s="16">
        <f>490+263+4+8+9+5+6+147+8+10</f>
        <v>950</v>
      </c>
      <c r="G45" s="9">
        <f>September!G45+F45</f>
        <v>8080</v>
      </c>
      <c r="H45" s="17">
        <f>66</f>
        <v>66</v>
      </c>
      <c r="I45" s="9">
        <f>September!I45+H45</f>
        <v>123</v>
      </c>
      <c r="J45" s="18">
        <f>314+9</f>
        <v>323</v>
      </c>
      <c r="K45" s="9">
        <f>September!K45+J45</f>
        <v>2691</v>
      </c>
      <c r="L45" s="19">
        <f>96</f>
        <v>96</v>
      </c>
      <c r="M45" s="9">
        <f>September!M45+L45</f>
        <v>103</v>
      </c>
      <c r="N45" s="19"/>
      <c r="O45" s="9">
        <f>September!O45+N45</f>
        <v>1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>
        <f>1+1</f>
        <v>2</v>
      </c>
      <c r="E46" s="9">
        <f>September!E46+D46</f>
        <v>11</v>
      </c>
      <c r="F46" s="16"/>
      <c r="G46" s="9">
        <f>September!G46+F46</f>
        <v>97</v>
      </c>
      <c r="H46" s="17"/>
      <c r="I46" s="9">
        <f>September!I46+H46</f>
        <v>0</v>
      </c>
      <c r="J46" s="18"/>
      <c r="K46" s="9">
        <f>September!K46+J46</f>
        <v>1</v>
      </c>
      <c r="L46" s="19"/>
      <c r="M46" s="9">
        <f>September!M46+L46</f>
        <v>0</v>
      </c>
      <c r="N46" s="19"/>
      <c r="O46" s="9">
        <f>September!O46+N46</f>
        <v>0</v>
      </c>
      <c r="P46" s="20" t="s">
        <v>80</v>
      </c>
    </row>
    <row r="47" spans="1:16" ht="18" customHeight="1">
      <c r="A47" s="9" t="s">
        <v>51</v>
      </c>
      <c r="B47" s="14"/>
      <c r="C47" s="9">
        <f>September!C47+B47</f>
        <v>0</v>
      </c>
      <c r="D47" s="15">
        <f>1+1+1+2+2+4+1+5+4+11+1+2+6+8+1+3+3+2+3+10+1</f>
        <v>72</v>
      </c>
      <c r="E47" s="9">
        <f>September!E47+D47</f>
        <v>292</v>
      </c>
      <c r="F47" s="16">
        <f>53+55+56</f>
        <v>164</v>
      </c>
      <c r="G47" s="9">
        <f>September!G47+F47</f>
        <v>182</v>
      </c>
      <c r="H47" s="17"/>
      <c r="I47" s="9">
        <f>September!I47+H47</f>
        <v>0</v>
      </c>
      <c r="J47" s="18">
        <f>8+5+11</f>
        <v>24</v>
      </c>
      <c r="K47" s="9">
        <f>September!K47+J47</f>
        <v>132</v>
      </c>
      <c r="L47" s="19"/>
      <c r="M47" s="9">
        <f>September!M47+L47</f>
        <v>0</v>
      </c>
      <c r="N47" s="19"/>
      <c r="O47" s="9">
        <f>September!O47+N47</f>
        <v>0</v>
      </c>
      <c r="P47" s="20" t="s">
        <v>81</v>
      </c>
    </row>
    <row r="48" spans="1:16" ht="18" customHeight="1">
      <c r="A48" s="9" t="s">
        <v>52</v>
      </c>
      <c r="B48" s="14"/>
      <c r="C48" s="9">
        <f>September!C48+B48</f>
        <v>0</v>
      </c>
      <c r="D48" s="15">
        <f>7+4</f>
        <v>11</v>
      </c>
      <c r="E48" s="9">
        <f>September!E48+D48</f>
        <v>20</v>
      </c>
      <c r="F48" s="16">
        <f>8</f>
        <v>8</v>
      </c>
      <c r="G48" s="9">
        <f>September!G48+F48</f>
        <v>16</v>
      </c>
      <c r="H48" s="17"/>
      <c r="I48" s="9">
        <f>September!I48+H48</f>
        <v>0</v>
      </c>
      <c r="J48" s="18">
        <f>10</f>
        <v>10</v>
      </c>
      <c r="K48" s="9">
        <f>September!K48+J48</f>
        <v>12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3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31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10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>
        <f>1</f>
        <v>1</v>
      </c>
      <c r="E51" s="9">
        <f>September!E51+D51</f>
        <v>4</v>
      </c>
      <c r="F51" s="16"/>
      <c r="G51" s="9">
        <f>September!G51+F51</f>
        <v>1</v>
      </c>
      <c r="H51" s="17"/>
      <c r="I51" s="9">
        <f>September!I51+H51</f>
        <v>0</v>
      </c>
      <c r="J51" s="18">
        <f>4</f>
        <v>4</v>
      </c>
      <c r="K51" s="9">
        <f>September!K51+J51</f>
        <v>5</v>
      </c>
      <c r="L51" s="19"/>
      <c r="M51" s="9">
        <f>September!M51+L51</f>
        <v>0</v>
      </c>
      <c r="N51" s="19">
        <f>1+2</f>
        <v>3</v>
      </c>
      <c r="O51" s="9">
        <f>September!O51+N51</f>
        <v>3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3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9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6</v>
      </c>
      <c r="D53" s="15">
        <f>1+3+2+4+14+1+2+5+2+4+2+1+2+2+1+5+4+12+5+3+8+1+10+5+8+5+4+35</f>
        <v>151</v>
      </c>
      <c r="E53" s="9">
        <f>September!E53+D53</f>
        <v>1347</v>
      </c>
      <c r="F53" s="16">
        <f>1+13</f>
        <v>14</v>
      </c>
      <c r="G53" s="9">
        <f>September!G53+F53</f>
        <v>408</v>
      </c>
      <c r="H53" s="17"/>
      <c r="I53" s="9">
        <f>September!I53+H53</f>
        <v>0</v>
      </c>
      <c r="J53" s="18">
        <f>8</f>
        <v>8</v>
      </c>
      <c r="K53" s="9">
        <f>September!K53+J53</f>
        <v>52</v>
      </c>
      <c r="L53" s="19"/>
      <c r="M53" s="9">
        <f>September!M53+L53</f>
        <v>0</v>
      </c>
      <c r="N53" s="19">
        <f>1</f>
        <v>1</v>
      </c>
      <c r="O53" s="9">
        <f>September!O53+N53</f>
        <v>148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>
        <f>3</f>
        <v>3</v>
      </c>
      <c r="E54" s="9">
        <f>September!E54+D54</f>
        <v>42</v>
      </c>
      <c r="F54" s="16">
        <f>325</f>
        <v>325</v>
      </c>
      <c r="G54" s="9">
        <f>September!G54+F54</f>
        <v>1669</v>
      </c>
      <c r="H54" s="17"/>
      <c r="I54" s="9">
        <f>September!I54+H54</f>
        <v>0</v>
      </c>
      <c r="J54" s="18"/>
      <c r="K54" s="9">
        <f>September!K54+J54</f>
        <v>9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56</v>
      </c>
      <c r="C55" s="11"/>
      <c r="D55" s="11">
        <f>SUM(D5:D54)</f>
        <v>1123</v>
      </c>
      <c r="E55" s="11"/>
      <c r="F55" s="11">
        <f>SUM(F5:F54)</f>
        <v>1719</v>
      </c>
      <c r="G55" s="11"/>
      <c r="H55" s="11">
        <f>SUM(H5:H54)</f>
        <v>74</v>
      </c>
      <c r="I55" s="11"/>
      <c r="J55" s="11">
        <f>SUM(J5:J54)</f>
        <v>589</v>
      </c>
      <c r="K55" s="11"/>
      <c r="L55" s="11">
        <f>SUM(L5:L54)</f>
        <v>201</v>
      </c>
      <c r="M55" s="11"/>
      <c r="N55" s="11">
        <f>SUM(N5:N54)</f>
        <v>5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131</v>
      </c>
      <c r="D57" s="11"/>
      <c r="E57" s="11">
        <f>September!E57+D55</f>
        <v>6696</v>
      </c>
      <c r="F57" s="11"/>
      <c r="G57" s="11">
        <f>September!G57+F55</f>
        <v>25911</v>
      </c>
      <c r="H57" s="11"/>
      <c r="I57" s="11">
        <f>September!I57+H55</f>
        <v>266</v>
      </c>
      <c r="J57" s="11"/>
      <c r="K57" s="11">
        <f>September!K57+J55</f>
        <v>4310</v>
      </c>
      <c r="L57" s="11"/>
      <c r="M57" s="11">
        <f>September!M57+L55</f>
        <v>208</v>
      </c>
      <c r="N57" s="11"/>
      <c r="O57" s="11">
        <f>September!O57+N55</f>
        <v>441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F35" sqref="F3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>
        <f>7</f>
        <v>7</v>
      </c>
      <c r="E5" s="9">
        <f>October!E5+D5</f>
        <v>16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>
        <f>4+1</f>
        <v>5</v>
      </c>
      <c r="E7" s="9">
        <f>October!E7+D7</f>
        <v>90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>
        <f>4</f>
        <v>4</v>
      </c>
      <c r="E8" s="9">
        <f>October!E8+D8</f>
        <v>116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3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>
        <f>2</f>
        <v>2</v>
      </c>
      <c r="E9" s="9">
        <f>October!E9+D9</f>
        <v>23</v>
      </c>
      <c r="F9" s="16"/>
      <c r="G9" s="9">
        <f>October!G9+F9</f>
        <v>15</v>
      </c>
      <c r="H9" s="17"/>
      <c r="I9" s="9">
        <f>October!I9+H9</f>
        <v>0</v>
      </c>
      <c r="J9" s="18"/>
      <c r="K9" s="9">
        <f>October!K9+J9</f>
        <v>41</v>
      </c>
      <c r="L9" s="19"/>
      <c r="M9" s="9">
        <f>October!M9+L9</f>
        <v>0</v>
      </c>
      <c r="N9" s="19"/>
      <c r="O9" s="9">
        <f>October!O9+N9</f>
        <v>1</v>
      </c>
      <c r="P9" s="20" t="s">
        <v>80</v>
      </c>
    </row>
    <row r="10" spans="1:16" ht="18" customHeight="1">
      <c r="A10" s="9" t="s">
        <v>14</v>
      </c>
      <c r="B10" s="14"/>
      <c r="C10" s="9">
        <f>October!C10+B10</f>
        <v>0</v>
      </c>
      <c r="D10" s="15">
        <v>1</v>
      </c>
      <c r="E10" s="9">
        <f>October!E10+D10</f>
        <v>28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>
        <f>2</f>
        <v>2</v>
      </c>
      <c r="E11" s="9">
        <f>October!E11+D11</f>
        <v>143</v>
      </c>
      <c r="F11" s="16"/>
      <c r="G11" s="9">
        <f>October!G11+F11</f>
        <v>710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19"/>
      <c r="O11" s="9">
        <f>October!O11+N11</f>
        <v>4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>
        <f>1+1+6+3</f>
        <v>11</v>
      </c>
      <c r="E14" s="9">
        <f>October!E14+D14</f>
        <v>116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13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>
        <f>2</f>
        <v>2</v>
      </c>
      <c r="E17" s="9">
        <f>October!E17+D17</f>
        <v>23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>
        <f>53</f>
        <v>53</v>
      </c>
      <c r="O17" s="9">
        <f>October!O17+N17</f>
        <v>59</v>
      </c>
      <c r="P17" s="20"/>
    </row>
    <row r="18" spans="1:16" ht="18" customHeight="1">
      <c r="A18" s="9" t="s">
        <v>22</v>
      </c>
      <c r="B18" s="14"/>
      <c r="C18" s="9">
        <f>October!C18+B18</f>
        <v>4</v>
      </c>
      <c r="D18" s="15">
        <f>11+2</f>
        <v>13</v>
      </c>
      <c r="E18" s="9">
        <f>October!E18+D18</f>
        <v>504</v>
      </c>
      <c r="F18" s="16"/>
      <c r="G18" s="9">
        <f>October!G18+F18</f>
        <v>412</v>
      </c>
      <c r="H18" s="17"/>
      <c r="I18" s="9">
        <f>October!I18+H18</f>
        <v>0</v>
      </c>
      <c r="J18" s="18">
        <f>14+18+19+5</f>
        <v>56</v>
      </c>
      <c r="K18" s="9">
        <f>October!K18+J18</f>
        <v>311</v>
      </c>
      <c r="L18" s="19"/>
      <c r="M18" s="9">
        <f>October!M18+L18</f>
        <v>0</v>
      </c>
      <c r="N18" s="19"/>
      <c r="O18" s="9">
        <f>October!O18+N18</f>
        <v>2</v>
      </c>
      <c r="P18" s="20"/>
    </row>
    <row r="19" spans="1:16" ht="18" customHeight="1">
      <c r="A19" s="9" t="s">
        <v>23</v>
      </c>
      <c r="B19" s="14">
        <f>2</f>
        <v>2</v>
      </c>
      <c r="C19" s="9">
        <f>October!C19+B19</f>
        <v>17</v>
      </c>
      <c r="D19" s="15">
        <f>4</f>
        <v>4</v>
      </c>
      <c r="E19" s="9">
        <f>October!E19+D19</f>
        <v>112</v>
      </c>
      <c r="F19" s="16"/>
      <c r="G19" s="9">
        <f>October!G19+F19</f>
        <v>220</v>
      </c>
      <c r="H19" s="17"/>
      <c r="I19" s="9">
        <f>October!I19+H19</f>
        <v>0</v>
      </c>
      <c r="J19" s="18"/>
      <c r="K19" s="9">
        <f>October!K19+J19</f>
        <v>40</v>
      </c>
      <c r="L19" s="19"/>
      <c r="M19" s="9">
        <f>October!M19+L19</f>
        <v>0</v>
      </c>
      <c r="N19" s="19"/>
      <c r="O19" s="9">
        <f>October!O19+N19</f>
        <v>66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>
        <f>1+3</f>
        <v>4</v>
      </c>
      <c r="E20" s="9">
        <f>October!E20+D20</f>
        <v>205</v>
      </c>
      <c r="F20" s="16"/>
      <c r="G20" s="9">
        <f>October!G20+F20</f>
        <v>352</v>
      </c>
      <c r="H20" s="17"/>
      <c r="I20" s="9">
        <f>October!I20+H20</f>
        <v>0</v>
      </c>
      <c r="J20" s="18"/>
      <c r="K20" s="9">
        <f>October!K20+J20</f>
        <v>82</v>
      </c>
      <c r="L20" s="19"/>
      <c r="M20" s="9">
        <f>October!M20+L20</f>
        <v>0</v>
      </c>
      <c r="N20" s="19"/>
      <c r="O20" s="9">
        <f>October!O20+N20</f>
        <v>10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>
        <f>1+2+4</f>
        <v>7</v>
      </c>
      <c r="E21" s="9">
        <f>October!E21+D21</f>
        <v>125</v>
      </c>
      <c r="F21" s="16"/>
      <c r="G21" s="9">
        <f>October!G21+F21</f>
        <v>17</v>
      </c>
      <c r="H21" s="17"/>
      <c r="I21" s="9">
        <f>October!I21+H21</f>
        <v>0</v>
      </c>
      <c r="J21" s="18"/>
      <c r="K21" s="9">
        <f>October!K21+J21</f>
        <v>20</v>
      </c>
      <c r="L21" s="19"/>
      <c r="M21" s="9">
        <f>October!M21+L21</f>
        <v>0</v>
      </c>
      <c r="N21" s="19"/>
      <c r="O21" s="9">
        <f>October!O21+N21</f>
        <v>6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1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>
        <f>1+1</f>
        <v>2</v>
      </c>
      <c r="E24" s="9">
        <f>October!E24+D24</f>
        <v>9</v>
      </c>
      <c r="F24" s="16"/>
      <c r="G24" s="9">
        <f>October!G24+F24</f>
        <v>12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1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8</v>
      </c>
      <c r="H25" s="17"/>
      <c r="I25" s="9">
        <f>October!I25+H25</f>
        <v>0</v>
      </c>
      <c r="J25" s="18">
        <f>12</f>
        <v>12</v>
      </c>
      <c r="K25" s="9">
        <f>October!K25+J25</f>
        <v>12</v>
      </c>
      <c r="L25" s="19"/>
      <c r="M25" s="9">
        <f>October!M25+L25</f>
        <v>0</v>
      </c>
      <c r="N25" s="19">
        <f>9</f>
        <v>9</v>
      </c>
      <c r="O25" s="9">
        <f>October!O25+N25</f>
        <v>9</v>
      </c>
      <c r="P25" s="20" t="s">
        <v>80</v>
      </c>
    </row>
    <row r="26" spans="1:16" ht="18" customHeight="1">
      <c r="A26" s="9" t="s">
        <v>30</v>
      </c>
      <c r="B26" s="14"/>
      <c r="C26" s="9">
        <f>October!C26+B26</f>
        <v>2</v>
      </c>
      <c r="D26" s="15">
        <f>4+2</f>
        <v>6</v>
      </c>
      <c r="E26" s="9">
        <f>October!E26+D26</f>
        <v>110</v>
      </c>
      <c r="F26" s="16"/>
      <c r="G26" s="9">
        <f>October!G26+F26</f>
        <v>35</v>
      </c>
      <c r="H26" s="17"/>
      <c r="I26" s="9">
        <f>October!I26+H26</f>
        <v>0</v>
      </c>
      <c r="J26" s="18"/>
      <c r="K26" s="9">
        <f>October!K26+J26</f>
        <v>10</v>
      </c>
      <c r="L26" s="19"/>
      <c r="M26" s="9">
        <f>October!M26+L26</f>
        <v>0</v>
      </c>
      <c r="N26" s="19"/>
      <c r="O26" s="9">
        <f>October!O26+N26</f>
        <v>32</v>
      </c>
      <c r="P26" s="20"/>
    </row>
    <row r="27" spans="1:16" ht="18" customHeight="1">
      <c r="A27" s="9" t="s">
        <v>31</v>
      </c>
      <c r="B27" s="14"/>
      <c r="C27" s="9">
        <f>October!C27+B27</f>
        <v>45</v>
      </c>
      <c r="D27" s="15">
        <f>15+1+3+5</f>
        <v>24</v>
      </c>
      <c r="E27" s="9">
        <f>October!E27+D27</f>
        <v>1235</v>
      </c>
      <c r="F27" s="16">
        <f>55+1+62+19</f>
        <v>137</v>
      </c>
      <c r="G27" s="9">
        <f>October!G27+F27</f>
        <v>6028</v>
      </c>
      <c r="H27" s="17"/>
      <c r="I27" s="9">
        <f>October!I27+H27</f>
        <v>0</v>
      </c>
      <c r="J27" s="18"/>
      <c r="K27" s="9">
        <f>October!K27+J27</f>
        <v>390</v>
      </c>
      <c r="L27" s="19"/>
      <c r="M27" s="9">
        <f>October!M27+L27</f>
        <v>0</v>
      </c>
      <c r="N27" s="19">
        <f>1</f>
        <v>1</v>
      </c>
      <c r="O27" s="9">
        <f>October!O27+N27</f>
        <v>38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33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13</v>
      </c>
      <c r="D29" s="15">
        <f>1+2+1+1+1+3+1</f>
        <v>10</v>
      </c>
      <c r="E29" s="9">
        <f>October!E29+D29</f>
        <v>420</v>
      </c>
      <c r="F29" s="16">
        <f>59</f>
        <v>59</v>
      </c>
      <c r="G29" s="9">
        <f>October!G29+F29</f>
        <v>95</v>
      </c>
      <c r="H29" s="17"/>
      <c r="I29" s="9">
        <f>October!I29+H29</f>
        <v>0</v>
      </c>
      <c r="J29" s="18">
        <f>14</f>
        <v>14</v>
      </c>
      <c r="K29" s="9">
        <f>October!K29+J29</f>
        <v>68</v>
      </c>
      <c r="L29" s="19"/>
      <c r="M29" s="9">
        <f>October!M29+L29</f>
        <v>0</v>
      </c>
      <c r="N29" s="19">
        <f>1+1</f>
        <v>2</v>
      </c>
      <c r="O29" s="9">
        <f>October!O29+N29</f>
        <v>35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>
        <f>2+9+1+8</f>
        <v>20</v>
      </c>
      <c r="E30" s="9">
        <f>October!E30+D30</f>
        <v>107</v>
      </c>
      <c r="F30" s="16">
        <f>303+141</f>
        <v>444</v>
      </c>
      <c r="G30" s="9">
        <f>October!G30+F30</f>
        <v>4060</v>
      </c>
      <c r="H30" s="17"/>
      <c r="I30" s="9">
        <f>October!I30+H30</f>
        <v>0</v>
      </c>
      <c r="J30" s="18">
        <f>5</f>
        <v>5</v>
      </c>
      <c r="K30" s="9">
        <f>October!K30+J30</f>
        <v>357</v>
      </c>
      <c r="L30" s="19"/>
      <c r="M30" s="9">
        <f>October!M30+L30</f>
        <v>94</v>
      </c>
      <c r="N30" s="19"/>
      <c r="O30" s="9">
        <f>October!O30+N30</f>
        <v>4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>
        <f>2+1+1+1+1+1+15+15+7+2+2+1+7</f>
        <v>56</v>
      </c>
      <c r="E31" s="9">
        <f>October!E31+D31</f>
        <v>626</v>
      </c>
      <c r="F31" s="16">
        <f>2+1</f>
        <v>3</v>
      </c>
      <c r="G31" s="9">
        <f>October!G31+F31</f>
        <v>396</v>
      </c>
      <c r="H31" s="17">
        <f>7+6+9+17</f>
        <v>39</v>
      </c>
      <c r="I31" s="9">
        <f>October!I31+H31</f>
        <v>182</v>
      </c>
      <c r="J31" s="18">
        <f>1</f>
        <v>1</v>
      </c>
      <c r="K31" s="9">
        <f>October!K31+J31</f>
        <v>136</v>
      </c>
      <c r="L31" s="19">
        <f>4</f>
        <v>4</v>
      </c>
      <c r="M31" s="9">
        <f>October!M31+L31</f>
        <v>15</v>
      </c>
      <c r="N31" s="19"/>
      <c r="O31" s="9">
        <f>October!O31+N31</f>
        <v>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7</v>
      </c>
      <c r="F32" s="16"/>
      <c r="G32" s="9">
        <f>October!G32+F32</f>
        <v>18</v>
      </c>
      <c r="H32" s="17"/>
      <c r="I32" s="9">
        <f>October!I32+H32</f>
        <v>0</v>
      </c>
      <c r="J32" s="18"/>
      <c r="K32" s="9">
        <f>October!K32+J32</f>
        <v>8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4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>
        <f>1</f>
        <v>1</v>
      </c>
      <c r="E34" s="9">
        <f>October!E34+D34</f>
        <v>3</v>
      </c>
      <c r="F34" s="16"/>
      <c r="G34" s="9">
        <f>October!G34+F34</f>
        <v>11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39</v>
      </c>
      <c r="F35" s="16"/>
      <c r="G35" s="9">
        <f>October!G35+F35</f>
        <v>1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9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6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>
        <f>4</f>
        <v>4</v>
      </c>
      <c r="E37" s="9">
        <f>October!E37+D37</f>
        <v>31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1</v>
      </c>
      <c r="L37" s="19"/>
      <c r="M37" s="9">
        <f>October!M37+L37</f>
        <v>0</v>
      </c>
      <c r="N37" s="19"/>
      <c r="O37" s="9">
        <f>October!O37+N37</f>
        <v>0</v>
      </c>
      <c r="P37" s="20"/>
    </row>
    <row r="38" spans="1:16" ht="18" customHeight="1">
      <c r="A38" s="9" t="s">
        <v>42</v>
      </c>
      <c r="B38" s="14">
        <f>7</f>
        <v>7</v>
      </c>
      <c r="C38" s="9">
        <f>October!C38+B38</f>
        <v>7</v>
      </c>
      <c r="D38" s="15">
        <f>15+6+33+12</f>
        <v>66</v>
      </c>
      <c r="E38" s="9">
        <f>October!E38+D38</f>
        <v>262</v>
      </c>
      <c r="F38" s="16"/>
      <c r="G38" s="9">
        <f>October!G38+F38</f>
        <v>60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0"/>
    </row>
    <row r="39" spans="1:16" ht="18" customHeight="1">
      <c r="A39" s="9" t="s">
        <v>43</v>
      </c>
      <c r="B39" s="14"/>
      <c r="C39" s="9">
        <f>October!C39+B39</f>
        <v>40</v>
      </c>
      <c r="D39" s="15">
        <f>1</f>
        <v>1</v>
      </c>
      <c r="E39" s="9">
        <f>October!E39+D39</f>
        <v>27</v>
      </c>
      <c r="F39" s="16"/>
      <c r="G39" s="9">
        <f>October!G39+F39</f>
        <v>107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>
        <f>1</f>
        <v>1</v>
      </c>
      <c r="O39" s="9">
        <f>October!O39+N39</f>
        <v>35</v>
      </c>
      <c r="P39" s="20" t="s">
        <v>80</v>
      </c>
    </row>
    <row r="40" spans="1:16" ht="18" customHeight="1">
      <c r="A40" s="9" t="s">
        <v>44</v>
      </c>
      <c r="B40" s="14"/>
      <c r="C40" s="9">
        <f>October!C40+B40</f>
        <v>3</v>
      </c>
      <c r="D40" s="15">
        <f>1+3+1</f>
        <v>5</v>
      </c>
      <c r="E40" s="9">
        <f>October!E40+D40</f>
        <v>340</v>
      </c>
      <c r="F40" s="16"/>
      <c r="G40" s="9">
        <f>October!G40+F40</f>
        <v>155</v>
      </c>
      <c r="H40" s="17"/>
      <c r="I40" s="9">
        <f>October!I40+H40</f>
        <v>0</v>
      </c>
      <c r="J40" s="18"/>
      <c r="K40" s="9">
        <f>October!K40+J40</f>
        <v>7</v>
      </c>
      <c r="L40" s="19"/>
      <c r="M40" s="9">
        <f>October!M40+L40</f>
        <v>0</v>
      </c>
      <c r="N40" s="19"/>
      <c r="O40" s="9">
        <f>October!O40+N40</f>
        <v>14</v>
      </c>
      <c r="P40" s="20"/>
    </row>
    <row r="41" spans="1:16" ht="18" customHeight="1">
      <c r="A41" s="9" t="s">
        <v>45</v>
      </c>
      <c r="B41" s="14"/>
      <c r="C41" s="9">
        <f>October!C41+B41</f>
        <v>1</v>
      </c>
      <c r="D41" s="15">
        <f>1+4</f>
        <v>5</v>
      </c>
      <c r="E41" s="9">
        <f>October!E41+D41</f>
        <v>13</v>
      </c>
      <c r="F41" s="16"/>
      <c r="G41" s="9">
        <f>October!G41+F41</f>
        <v>37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20</v>
      </c>
      <c r="P41" s="20"/>
    </row>
    <row r="42" spans="1:16" ht="18" customHeight="1">
      <c r="A42" s="9" t="s">
        <v>46</v>
      </c>
      <c r="B42" s="14"/>
      <c r="C42" s="9">
        <f>October!C42+B42</f>
        <v>2</v>
      </c>
      <c r="D42" s="15"/>
      <c r="E42" s="9">
        <f>October!E42+D42</f>
        <v>24</v>
      </c>
      <c r="F42" s="16"/>
      <c r="G42" s="9">
        <f>October!G42+F42</f>
        <v>131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>
        <f>1+2</f>
        <v>3</v>
      </c>
      <c r="E44" s="9">
        <f>October!E44+D44</f>
        <v>14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>
        <f>4+2+2</f>
        <v>8</v>
      </c>
      <c r="E45" s="9">
        <f>October!E45+D45</f>
        <v>408</v>
      </c>
      <c r="F45" s="16">
        <f>613+60+60+1+12+56+207+14+38+374</f>
        <v>1435</v>
      </c>
      <c r="G45" s="9">
        <f>October!G45+F45</f>
        <v>9515</v>
      </c>
      <c r="H45" s="17"/>
      <c r="I45" s="9">
        <f>October!I45+H45</f>
        <v>123</v>
      </c>
      <c r="J45" s="18">
        <f>17+20</f>
        <v>37</v>
      </c>
      <c r="K45" s="9">
        <f>October!K45+J45</f>
        <v>2728</v>
      </c>
      <c r="L45" s="19">
        <f>70</f>
        <v>70</v>
      </c>
      <c r="M45" s="9">
        <f>October!M45+L45</f>
        <v>173</v>
      </c>
      <c r="N45" s="19"/>
      <c r="O45" s="9">
        <f>October!O45+N45</f>
        <v>1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>
        <f>1</f>
        <v>1</v>
      </c>
      <c r="E46" s="9">
        <f>October!E46+D46</f>
        <v>12</v>
      </c>
      <c r="F46" s="16"/>
      <c r="G46" s="9">
        <f>October!G46+F46</f>
        <v>97</v>
      </c>
      <c r="H46" s="17"/>
      <c r="I46" s="9">
        <f>October!I46+H46</f>
        <v>0</v>
      </c>
      <c r="J46" s="18"/>
      <c r="K46" s="9">
        <f>October!K46+J46</f>
        <v>1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>
        <f>22+1</f>
        <v>23</v>
      </c>
      <c r="E47" s="9">
        <f>October!E47+D47</f>
        <v>315</v>
      </c>
      <c r="F47" s="16"/>
      <c r="G47" s="9">
        <f>October!G47+F47</f>
        <v>182</v>
      </c>
      <c r="H47" s="17"/>
      <c r="I47" s="9">
        <f>October!I47+H47</f>
        <v>0</v>
      </c>
      <c r="J47" s="18">
        <f>5</f>
        <v>5</v>
      </c>
      <c r="K47" s="9">
        <f>October!K47+J47</f>
        <v>137</v>
      </c>
      <c r="L47" s="19"/>
      <c r="M47" s="9">
        <f>October!M47+L47</f>
        <v>0</v>
      </c>
      <c r="N47" s="19"/>
      <c r="O47" s="9">
        <f>October!O47+N47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October!C48+B48</f>
        <v>0</v>
      </c>
      <c r="D48" s="15">
        <f>2</f>
        <v>2</v>
      </c>
      <c r="E48" s="9">
        <f>October!E48+D48</f>
        <v>22</v>
      </c>
      <c r="F48" s="16"/>
      <c r="G48" s="9">
        <f>October!G48+F48</f>
        <v>16</v>
      </c>
      <c r="H48" s="17"/>
      <c r="I48" s="9">
        <f>October!I48+H48</f>
        <v>0</v>
      </c>
      <c r="J48" s="18"/>
      <c r="K48" s="9">
        <f>October!K48+J48</f>
        <v>12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3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31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10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4</v>
      </c>
      <c r="F51" s="16"/>
      <c r="G51" s="9">
        <f>October!G51+F51</f>
        <v>1</v>
      </c>
      <c r="H51" s="17"/>
      <c r="I51" s="9">
        <f>October!I51+H51</f>
        <v>0</v>
      </c>
      <c r="J51" s="18"/>
      <c r="K51" s="9">
        <f>October!K51+J51</f>
        <v>5</v>
      </c>
      <c r="L51" s="19"/>
      <c r="M51" s="9">
        <f>October!M51+L51</f>
        <v>0</v>
      </c>
      <c r="N51" s="19"/>
      <c r="O51" s="9">
        <f>October!O51+N51</f>
        <v>3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3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9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6</v>
      </c>
      <c r="D53" s="15">
        <f>13+5+2</f>
        <v>20</v>
      </c>
      <c r="E53" s="9">
        <f>October!E53+D53</f>
        <v>1367</v>
      </c>
      <c r="F53" s="16">
        <v>4</v>
      </c>
      <c r="G53" s="9">
        <f>October!G53+F53</f>
        <v>412</v>
      </c>
      <c r="H53" s="17"/>
      <c r="I53" s="9">
        <f>October!I53+H53</f>
        <v>0</v>
      </c>
      <c r="J53" s="18"/>
      <c r="K53" s="9">
        <f>October!K53+J53</f>
        <v>52</v>
      </c>
      <c r="L53" s="19"/>
      <c r="M53" s="9">
        <f>October!M53+L53</f>
        <v>0</v>
      </c>
      <c r="N53" s="19"/>
      <c r="O53" s="9">
        <f>October!O53+N53</f>
        <v>148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>
        <v>11</v>
      </c>
      <c r="E54" s="9">
        <f>October!E54+D54</f>
        <v>53</v>
      </c>
      <c r="F54" s="16">
        <f>164+130+300+550</f>
        <v>1144</v>
      </c>
      <c r="G54" s="9">
        <f>October!G54+F54</f>
        <v>2813</v>
      </c>
      <c r="H54" s="17"/>
      <c r="I54" s="9">
        <f>October!I54+H54</f>
        <v>0</v>
      </c>
      <c r="J54" s="18"/>
      <c r="K54" s="9">
        <f>October!K54+J54</f>
        <v>9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330</v>
      </c>
      <c r="E55" s="11"/>
      <c r="F55" s="11">
        <f>SUM(F5:F54)</f>
        <v>3226</v>
      </c>
      <c r="G55" s="11"/>
      <c r="H55" s="11">
        <f>SUM(H5:H54)</f>
        <v>39</v>
      </c>
      <c r="I55" s="11"/>
      <c r="J55" s="11">
        <f>SUM(J5:J54)</f>
        <v>130</v>
      </c>
      <c r="K55" s="11"/>
      <c r="L55" s="11">
        <f>SUM(L5:L54)</f>
        <v>74</v>
      </c>
      <c r="M55" s="11"/>
      <c r="N55" s="11">
        <f>SUM(N5:N54)</f>
        <v>66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140</v>
      </c>
      <c r="D57" s="11"/>
      <c r="E57" s="11">
        <f>October!E57+D55</f>
        <v>7026</v>
      </c>
      <c r="F57" s="11"/>
      <c r="G57" s="11">
        <f>October!G57+F55</f>
        <v>29137</v>
      </c>
      <c r="H57" s="11"/>
      <c r="I57" s="11">
        <f>October!I57+H55</f>
        <v>305</v>
      </c>
      <c r="J57" s="11"/>
      <c r="K57" s="11">
        <f>October!K57+J55</f>
        <v>4440</v>
      </c>
      <c r="L57" s="11"/>
      <c r="M57" s="11">
        <f>October!M57+L55</f>
        <v>282</v>
      </c>
      <c r="N57" s="11"/>
      <c r="O57" s="11">
        <f>October!O57+N55</f>
        <v>507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F64" sqref="F6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16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>
        <f>1</f>
        <v>1</v>
      </c>
      <c r="E7" s="9">
        <f>November!E7+D7</f>
        <v>91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116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3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>
        <f>4</f>
        <v>4</v>
      </c>
      <c r="E9" s="9">
        <f>November!E9+D9</f>
        <v>27</v>
      </c>
      <c r="F9" s="16"/>
      <c r="G9" s="9">
        <f>November!G9+F9</f>
        <v>15</v>
      </c>
      <c r="H9" s="17"/>
      <c r="I9" s="9">
        <f>November!I9+H9</f>
        <v>0</v>
      </c>
      <c r="J9" s="18"/>
      <c r="K9" s="9">
        <f>November!K9+J9</f>
        <v>41</v>
      </c>
      <c r="L9" s="19"/>
      <c r="M9" s="9">
        <f>November!M9+L9</f>
        <v>0</v>
      </c>
      <c r="N9" s="19"/>
      <c r="O9" s="9">
        <f>November!O9+N9</f>
        <v>1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>
        <v>5</v>
      </c>
      <c r="E10" s="9">
        <f>November!E10+D10</f>
        <v>33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>
        <f>1+2+4+3</f>
        <v>10</v>
      </c>
      <c r="E11" s="9">
        <f>November!E11+D11</f>
        <v>153</v>
      </c>
      <c r="F11" s="16"/>
      <c r="G11" s="9">
        <f>November!G11+F11</f>
        <v>710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19"/>
      <c r="O11" s="9">
        <f>November!O11+N11</f>
        <v>4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>
        <f>1+5</f>
        <v>6</v>
      </c>
      <c r="E14" s="9">
        <f>November!E14+D14</f>
        <v>122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13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23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>
        <f>1</f>
        <v>1</v>
      </c>
      <c r="O17" s="9">
        <f>November!O17+N17</f>
        <v>60</v>
      </c>
      <c r="P17" s="20"/>
    </row>
    <row r="18" spans="1:16" ht="18" customHeight="1">
      <c r="A18" s="9" t="s">
        <v>22</v>
      </c>
      <c r="B18" s="14">
        <f>6+7</f>
        <v>13</v>
      </c>
      <c r="C18" s="9">
        <f>November!C18+B18</f>
        <v>17</v>
      </c>
      <c r="D18" s="15">
        <f>3+4+2</f>
        <v>9</v>
      </c>
      <c r="E18" s="9">
        <f>November!E18+D18</f>
        <v>513</v>
      </c>
      <c r="F18" s="16"/>
      <c r="G18" s="9">
        <f>November!G18+F18</f>
        <v>412</v>
      </c>
      <c r="H18" s="17"/>
      <c r="I18" s="9">
        <f>November!I18+H18</f>
        <v>0</v>
      </c>
      <c r="J18" s="18"/>
      <c r="K18" s="9">
        <f>November!K18+J18</f>
        <v>311</v>
      </c>
      <c r="L18" s="19"/>
      <c r="M18" s="9">
        <f>November!M18+L18</f>
        <v>0</v>
      </c>
      <c r="N18" s="19"/>
      <c r="O18" s="9">
        <f>November!O18+N18</f>
        <v>2</v>
      </c>
      <c r="P18" s="20"/>
    </row>
    <row r="19" spans="1:16" ht="18" customHeight="1">
      <c r="A19" s="9" t="s">
        <v>23</v>
      </c>
      <c r="B19" s="14">
        <f>1+3+2+5</f>
        <v>11</v>
      </c>
      <c r="C19" s="9">
        <f>November!C19+B19</f>
        <v>28</v>
      </c>
      <c r="D19" s="15">
        <f>1</f>
        <v>1</v>
      </c>
      <c r="E19" s="9">
        <f>November!E19+D19</f>
        <v>113</v>
      </c>
      <c r="F19" s="16"/>
      <c r="G19" s="9">
        <f>November!G19+F19</f>
        <v>220</v>
      </c>
      <c r="H19" s="17"/>
      <c r="I19" s="9">
        <f>November!I19+H19</f>
        <v>0</v>
      </c>
      <c r="J19" s="18"/>
      <c r="K19" s="9">
        <f>November!K19+J19</f>
        <v>40</v>
      </c>
      <c r="L19" s="19"/>
      <c r="M19" s="9">
        <f>November!M19+L19</f>
        <v>0</v>
      </c>
      <c r="N19" s="19"/>
      <c r="O19" s="9">
        <f>November!O19+N19</f>
        <v>66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>
        <f>1+1</f>
        <v>2</v>
      </c>
      <c r="E20" s="9">
        <f>November!E20+D20</f>
        <v>207</v>
      </c>
      <c r="F20" s="16"/>
      <c r="G20" s="9">
        <f>November!G20+F20</f>
        <v>352</v>
      </c>
      <c r="H20" s="17"/>
      <c r="I20" s="9">
        <f>November!I20+H20</f>
        <v>0</v>
      </c>
      <c r="J20" s="18"/>
      <c r="K20" s="9">
        <f>November!K20+J20</f>
        <v>82</v>
      </c>
      <c r="L20" s="19"/>
      <c r="M20" s="9">
        <f>November!M20+L20</f>
        <v>0</v>
      </c>
      <c r="N20" s="19"/>
      <c r="O20" s="9">
        <f>November!O20+N20</f>
        <v>10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>
        <f>1+6+1+1</f>
        <v>9</v>
      </c>
      <c r="E21" s="9">
        <f>November!E21+D21</f>
        <v>134</v>
      </c>
      <c r="F21" s="16"/>
      <c r="G21" s="9">
        <f>November!G21+F21</f>
        <v>17</v>
      </c>
      <c r="H21" s="17"/>
      <c r="I21" s="9">
        <f>November!I21+H21</f>
        <v>0</v>
      </c>
      <c r="J21" s="18"/>
      <c r="K21" s="9">
        <f>November!K21+J21</f>
        <v>20</v>
      </c>
      <c r="L21" s="19"/>
      <c r="M21" s="9">
        <f>November!M21+L21</f>
        <v>0</v>
      </c>
      <c r="N21" s="19"/>
      <c r="O21" s="9">
        <f>November!O21+N21</f>
        <v>6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1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9</v>
      </c>
      <c r="F24" s="16"/>
      <c r="G24" s="9">
        <f>November!G24+F24</f>
        <v>12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1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8</v>
      </c>
      <c r="H25" s="17"/>
      <c r="I25" s="9">
        <f>November!I25+H25</f>
        <v>0</v>
      </c>
      <c r="J25" s="18"/>
      <c r="K25" s="9">
        <f>November!K25+J25</f>
        <v>12</v>
      </c>
      <c r="L25" s="19"/>
      <c r="M25" s="9">
        <f>November!M25+L25</f>
        <v>0</v>
      </c>
      <c r="N25" s="19"/>
      <c r="O25" s="9">
        <f>November!O25+N25</f>
        <v>9</v>
      </c>
      <c r="P25" s="20"/>
    </row>
    <row r="26" spans="1:16" ht="18" customHeight="1">
      <c r="A26" s="9" t="s">
        <v>30</v>
      </c>
      <c r="B26" s="14"/>
      <c r="C26" s="9">
        <f>November!C26+B26</f>
        <v>2</v>
      </c>
      <c r="D26" s="15"/>
      <c r="E26" s="9">
        <f>November!E26+D26</f>
        <v>110</v>
      </c>
      <c r="F26" s="16">
        <f>7</f>
        <v>7</v>
      </c>
      <c r="G26" s="9">
        <f>November!G26+F26</f>
        <v>42</v>
      </c>
      <c r="H26" s="17"/>
      <c r="I26" s="9">
        <f>November!I26+H26</f>
        <v>0</v>
      </c>
      <c r="J26" s="18"/>
      <c r="K26" s="9">
        <f>November!K26+J26</f>
        <v>10</v>
      </c>
      <c r="L26" s="19"/>
      <c r="M26" s="9">
        <f>November!M26+L26</f>
        <v>0</v>
      </c>
      <c r="N26" s="19"/>
      <c r="O26" s="9">
        <f>November!O26+N26</f>
        <v>32</v>
      </c>
      <c r="P26" s="20"/>
    </row>
    <row r="27" spans="1:16" ht="18" customHeight="1">
      <c r="A27" s="9" t="s">
        <v>31</v>
      </c>
      <c r="B27" s="14"/>
      <c r="C27" s="9">
        <f>November!C27+B27</f>
        <v>45</v>
      </c>
      <c r="D27" s="15">
        <f>3+3+4</f>
        <v>10</v>
      </c>
      <c r="E27" s="9">
        <f>November!E27+D27</f>
        <v>1245</v>
      </c>
      <c r="F27" s="16">
        <f>3+178+4+294+25</f>
        <v>504</v>
      </c>
      <c r="G27" s="9">
        <f>November!G27+F27</f>
        <v>6532</v>
      </c>
      <c r="H27" s="17">
        <f>100</f>
        <v>100</v>
      </c>
      <c r="I27" s="9">
        <f>November!I27+H27</f>
        <v>100</v>
      </c>
      <c r="J27" s="18">
        <v>2</v>
      </c>
      <c r="K27" s="9">
        <f>November!K27+J27</f>
        <v>392</v>
      </c>
      <c r="L27" s="19"/>
      <c r="M27" s="9">
        <f>November!M27+L27</f>
        <v>0</v>
      </c>
      <c r="N27" s="19"/>
      <c r="O27" s="9">
        <f>November!O27+N27</f>
        <v>38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33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13</v>
      </c>
      <c r="D29" s="15">
        <f>5+1+1+3+3</f>
        <v>13</v>
      </c>
      <c r="E29" s="9">
        <f>November!E29+D29</f>
        <v>433</v>
      </c>
      <c r="F29" s="16">
        <f>4</f>
        <v>4</v>
      </c>
      <c r="G29" s="9">
        <f>November!G29+F29</f>
        <v>99</v>
      </c>
      <c r="H29" s="17"/>
      <c r="I29" s="9">
        <f>November!I29+H29</f>
        <v>0</v>
      </c>
      <c r="J29" s="18"/>
      <c r="K29" s="9">
        <f>November!K29+J29</f>
        <v>68</v>
      </c>
      <c r="L29" s="19">
        <f>40</f>
        <v>40</v>
      </c>
      <c r="M29" s="9">
        <f>November!M29+L29</f>
        <v>40</v>
      </c>
      <c r="N29" s="19"/>
      <c r="O29" s="9">
        <f>November!O29+N29</f>
        <v>35</v>
      </c>
      <c r="P29" s="20" t="s">
        <v>80</v>
      </c>
    </row>
    <row r="30" spans="1:16" ht="18" customHeight="1">
      <c r="A30" s="9" t="s">
        <v>34</v>
      </c>
      <c r="B30" s="14"/>
      <c r="C30" s="9">
        <f>November!C30+B30</f>
        <v>0</v>
      </c>
      <c r="D30" s="15">
        <f>7</f>
        <v>7</v>
      </c>
      <c r="E30" s="9">
        <f>November!E30+D30</f>
        <v>114</v>
      </c>
      <c r="F30" s="16"/>
      <c r="G30" s="9">
        <f>November!G30+F30</f>
        <v>4060</v>
      </c>
      <c r="H30" s="17"/>
      <c r="I30" s="9">
        <f>November!I30+H30</f>
        <v>0</v>
      </c>
      <c r="J30" s="18"/>
      <c r="K30" s="9">
        <f>November!K30+J30</f>
        <v>357</v>
      </c>
      <c r="L30" s="19"/>
      <c r="M30" s="9">
        <f>November!M30+L30</f>
        <v>94</v>
      </c>
      <c r="N30" s="19">
        <f>2</f>
        <v>2</v>
      </c>
      <c r="O30" s="9">
        <f>November!O30+N30</f>
        <v>6</v>
      </c>
      <c r="P30" s="20" t="s">
        <v>80</v>
      </c>
    </row>
    <row r="31" spans="1:16" ht="18" customHeight="1">
      <c r="A31" s="9" t="s">
        <v>35</v>
      </c>
      <c r="B31" s="14"/>
      <c r="C31" s="9">
        <f>November!C31+B31</f>
        <v>0</v>
      </c>
      <c r="D31" s="15">
        <f>2+2+1+1+13+2</f>
        <v>21</v>
      </c>
      <c r="E31" s="9">
        <f>November!E31+D31</f>
        <v>647</v>
      </c>
      <c r="F31" s="16">
        <f>72+1+1+1+1+72+3+8+142</f>
        <v>301</v>
      </c>
      <c r="G31" s="9">
        <f>November!G31+F31</f>
        <v>697</v>
      </c>
      <c r="H31" s="17">
        <f>11+1</f>
        <v>12</v>
      </c>
      <c r="I31" s="9">
        <f>November!I31+H31</f>
        <v>194</v>
      </c>
      <c r="J31" s="18">
        <f>1+2+17+5+3+2+2</f>
        <v>32</v>
      </c>
      <c r="K31" s="9">
        <f>November!K31+J31</f>
        <v>168</v>
      </c>
      <c r="L31" s="19">
        <f>5+2+2+5</f>
        <v>14</v>
      </c>
      <c r="M31" s="9">
        <f>November!M31+L31</f>
        <v>29</v>
      </c>
      <c r="N31" s="19"/>
      <c r="O31" s="9">
        <f>November!O31+N31</f>
        <v>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7</v>
      </c>
      <c r="F32" s="16"/>
      <c r="G32" s="9">
        <f>November!G32+F32</f>
        <v>18</v>
      </c>
      <c r="H32" s="17"/>
      <c r="I32" s="9">
        <f>November!I32+H32</f>
        <v>0</v>
      </c>
      <c r="J32" s="18"/>
      <c r="K32" s="9">
        <f>November!K32+J32</f>
        <v>8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4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3</v>
      </c>
      <c r="F34" s="16"/>
      <c r="G34" s="9">
        <f>November!G34+F34</f>
        <v>11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>
        <f>4</f>
        <v>4</v>
      </c>
      <c r="E35" s="9">
        <f>November!E35+D35</f>
        <v>43</v>
      </c>
      <c r="F35" s="16"/>
      <c r="G35" s="9">
        <f>November!G35+F35</f>
        <v>1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9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6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31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1</v>
      </c>
      <c r="L37" s="19"/>
      <c r="M37" s="9">
        <f>November!M37+L37</f>
        <v>0</v>
      </c>
      <c r="N37" s="19"/>
      <c r="O37" s="9">
        <f>November!O37+N37</f>
        <v>0</v>
      </c>
      <c r="P37" s="20"/>
    </row>
    <row r="38" spans="1:16" ht="18" customHeight="1">
      <c r="A38" s="9" t="s">
        <v>42</v>
      </c>
      <c r="B38" s="14"/>
      <c r="C38" s="9">
        <f>November!C38+B38</f>
        <v>7</v>
      </c>
      <c r="D38" s="15">
        <f>18+3+3+9</f>
        <v>33</v>
      </c>
      <c r="E38" s="9">
        <f>November!E38+D38</f>
        <v>295</v>
      </c>
      <c r="F38" s="16"/>
      <c r="G38" s="9">
        <f>November!G38+F38</f>
        <v>60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0"/>
    </row>
    <row r="39" spans="1:16" ht="18" customHeight="1">
      <c r="A39" s="9" t="s">
        <v>43</v>
      </c>
      <c r="B39" s="14"/>
      <c r="C39" s="9">
        <f>November!C39+B39</f>
        <v>40</v>
      </c>
      <c r="D39" s="15"/>
      <c r="E39" s="9">
        <f>November!E39+D39</f>
        <v>27</v>
      </c>
      <c r="F39" s="16"/>
      <c r="G39" s="9">
        <f>November!G39+F39</f>
        <v>107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35</v>
      </c>
      <c r="P39" s="20"/>
    </row>
    <row r="40" spans="1:16" ht="18" customHeight="1">
      <c r="A40" s="9" t="s">
        <v>44</v>
      </c>
      <c r="B40" s="14"/>
      <c r="C40" s="9">
        <f>November!C40+B40</f>
        <v>3</v>
      </c>
      <c r="D40" s="15">
        <f>2+6</f>
        <v>8</v>
      </c>
      <c r="E40" s="9">
        <f>November!E40+D40</f>
        <v>348</v>
      </c>
      <c r="F40" s="16">
        <f>1</f>
        <v>1</v>
      </c>
      <c r="G40" s="9">
        <f>November!G40+F40</f>
        <v>156</v>
      </c>
      <c r="H40" s="17"/>
      <c r="I40" s="9">
        <f>November!I40+H40</f>
        <v>0</v>
      </c>
      <c r="J40" s="18"/>
      <c r="K40" s="9">
        <f>November!K40+J40</f>
        <v>7</v>
      </c>
      <c r="L40" s="19"/>
      <c r="M40" s="9">
        <f>November!M40+L40</f>
        <v>0</v>
      </c>
      <c r="N40" s="19"/>
      <c r="O40" s="9">
        <f>November!O40+N40</f>
        <v>14</v>
      </c>
      <c r="P40" s="20"/>
    </row>
    <row r="41" spans="1:16" ht="18" customHeight="1">
      <c r="A41" s="9" t="s">
        <v>45</v>
      </c>
      <c r="B41" s="14"/>
      <c r="C41" s="9">
        <f>November!C41+B41</f>
        <v>1</v>
      </c>
      <c r="D41" s="15">
        <f>3</f>
        <v>3</v>
      </c>
      <c r="E41" s="9">
        <f>November!E41+D41</f>
        <v>16</v>
      </c>
      <c r="F41" s="16"/>
      <c r="G41" s="9">
        <f>November!G41+F41</f>
        <v>37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>
        <f>4+2</f>
        <v>6</v>
      </c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2</v>
      </c>
      <c r="D42" s="15"/>
      <c r="E42" s="9">
        <f>November!E42+D42</f>
        <v>24</v>
      </c>
      <c r="F42" s="16">
        <f>1</f>
        <v>1</v>
      </c>
      <c r="G42" s="9">
        <f>November!G42+F42</f>
        <v>132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14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>
        <f>2+6+1+1+1</f>
        <v>11</v>
      </c>
      <c r="E45" s="9">
        <f>November!E45+D45</f>
        <v>419</v>
      </c>
      <c r="F45" s="16">
        <f>38+29+3+66+33+63+111+366+159+105+457+103+137+546+11+490+463+95+16+6+36+8+60+36+15</f>
        <v>3452</v>
      </c>
      <c r="G45" s="9">
        <f>November!G45+F45</f>
        <v>12967</v>
      </c>
      <c r="H45" s="17">
        <f>164+19+78+328+72+224+44</f>
        <v>929</v>
      </c>
      <c r="I45" s="9">
        <f>November!I45+H45</f>
        <v>1052</v>
      </c>
      <c r="J45" s="18">
        <f>2+25+9+2+14+4+51+5+1+8+21+2+38+6</f>
        <v>188</v>
      </c>
      <c r="K45" s="9">
        <f>November!K45+J45</f>
        <v>2916</v>
      </c>
      <c r="L45" s="19">
        <f>227</f>
        <v>227</v>
      </c>
      <c r="M45" s="9">
        <f>November!M45+L45</f>
        <v>400</v>
      </c>
      <c r="N45" s="19"/>
      <c r="O45" s="9">
        <f>November!O45+N45</f>
        <v>1</v>
      </c>
      <c r="P45" s="20" t="s">
        <v>80</v>
      </c>
    </row>
    <row r="46" spans="1:16" ht="18" customHeight="1">
      <c r="A46" s="9" t="s">
        <v>50</v>
      </c>
      <c r="B46" s="14"/>
      <c r="C46" s="9">
        <f>November!C46+B46</f>
        <v>0</v>
      </c>
      <c r="D46" s="15">
        <f>1+1+2</f>
        <v>4</v>
      </c>
      <c r="E46" s="9">
        <f>November!E46+D46</f>
        <v>16</v>
      </c>
      <c r="F46" s="16"/>
      <c r="G46" s="9">
        <f>November!G46+F46</f>
        <v>97</v>
      </c>
      <c r="H46" s="17"/>
      <c r="I46" s="9">
        <f>November!I46+H46</f>
        <v>0</v>
      </c>
      <c r="J46" s="18"/>
      <c r="K46" s="9">
        <f>November!K46+J46</f>
        <v>1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>
        <f>6</f>
        <v>6</v>
      </c>
      <c r="E47" s="9">
        <f>November!E47+D47</f>
        <v>321</v>
      </c>
      <c r="F47" s="16"/>
      <c r="G47" s="9">
        <f>November!G47+F47</f>
        <v>182</v>
      </c>
      <c r="H47" s="17"/>
      <c r="I47" s="9">
        <f>November!I47+H47</f>
        <v>0</v>
      </c>
      <c r="J47" s="18"/>
      <c r="K47" s="9">
        <f>November!K47+J47</f>
        <v>137</v>
      </c>
      <c r="L47" s="19"/>
      <c r="M47" s="9">
        <f>November!M47+L47</f>
        <v>0</v>
      </c>
      <c r="N47" s="19"/>
      <c r="O47" s="9">
        <f>November!O47+N47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22</v>
      </c>
      <c r="F48" s="16"/>
      <c r="G48" s="9">
        <f>November!G48+F48</f>
        <v>16</v>
      </c>
      <c r="H48" s="17"/>
      <c r="I48" s="9">
        <f>November!I48+H48</f>
        <v>0</v>
      </c>
      <c r="J48" s="18"/>
      <c r="K48" s="9">
        <f>November!K48+J48</f>
        <v>12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3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31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10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4</v>
      </c>
      <c r="F51" s="16"/>
      <c r="G51" s="9">
        <f>November!G51+F51</f>
        <v>1</v>
      </c>
      <c r="H51" s="17"/>
      <c r="I51" s="9">
        <f>November!I51+H51</f>
        <v>0</v>
      </c>
      <c r="J51" s="18"/>
      <c r="K51" s="9">
        <f>November!K51+J51</f>
        <v>5</v>
      </c>
      <c r="L51" s="19"/>
      <c r="M51" s="9">
        <f>November!M51+L51</f>
        <v>0</v>
      </c>
      <c r="N51" s="19"/>
      <c r="O51" s="9">
        <f>November!O51+N51</f>
        <v>3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3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9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November!C53+B53</f>
        <v>7</v>
      </c>
      <c r="D53" s="15">
        <f>3+1</f>
        <v>4</v>
      </c>
      <c r="E53" s="9">
        <f>November!E53+D53</f>
        <v>1371</v>
      </c>
      <c r="F53" s="16">
        <f>36</f>
        <v>36</v>
      </c>
      <c r="G53" s="9">
        <f>November!G53+F53</f>
        <v>448</v>
      </c>
      <c r="H53" s="17"/>
      <c r="I53" s="9">
        <f>November!I53+H53</f>
        <v>0</v>
      </c>
      <c r="J53" s="18"/>
      <c r="K53" s="9">
        <f>November!K53+J53</f>
        <v>52</v>
      </c>
      <c r="L53" s="19"/>
      <c r="M53" s="9">
        <f>November!M53+L53</f>
        <v>0</v>
      </c>
      <c r="N53" s="19">
        <f>1</f>
        <v>1</v>
      </c>
      <c r="O53" s="9">
        <f>November!O53+N53</f>
        <v>149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53</v>
      </c>
      <c r="F54" s="16"/>
      <c r="G54" s="9">
        <f>November!G54+F54</f>
        <v>2813</v>
      </c>
      <c r="H54" s="17"/>
      <c r="I54" s="9">
        <f>November!I54+H54</f>
        <v>0</v>
      </c>
      <c r="J54" s="18"/>
      <c r="K54" s="9">
        <f>November!K54+J54</f>
        <v>9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25</v>
      </c>
      <c r="C55" s="11"/>
      <c r="D55" s="11">
        <f>SUM(D5:D54)</f>
        <v>171</v>
      </c>
      <c r="E55" s="11"/>
      <c r="F55" s="11">
        <f>SUM(F5:F54)</f>
        <v>4306</v>
      </c>
      <c r="G55" s="11"/>
      <c r="H55" s="11">
        <f>SUM(H5:H54)</f>
        <v>1041</v>
      </c>
      <c r="I55" s="11"/>
      <c r="J55" s="11">
        <f>SUM(J5:J54)</f>
        <v>222</v>
      </c>
      <c r="K55" s="11"/>
      <c r="L55" s="11">
        <f>SUM(L5:L54)</f>
        <v>281</v>
      </c>
      <c r="M55" s="11"/>
      <c r="N55" s="11">
        <f>SUM(N5:N54)</f>
        <v>10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165</v>
      </c>
      <c r="D57" s="11"/>
      <c r="E57" s="11">
        <f>November!E57+D55</f>
        <v>7197</v>
      </c>
      <c r="F57" s="11"/>
      <c r="G57" s="11">
        <f>November!G57+F55</f>
        <v>33443</v>
      </c>
      <c r="H57" s="11"/>
      <c r="I57" s="11">
        <f>November!I57+H55</f>
        <v>1346</v>
      </c>
      <c r="J57" s="11"/>
      <c r="K57" s="11">
        <f>November!K57+J55</f>
        <v>4662</v>
      </c>
      <c r="L57" s="11"/>
      <c r="M57" s="11">
        <f>November!M57+L55</f>
        <v>563</v>
      </c>
      <c r="N57" s="11"/>
      <c r="O57" s="11">
        <f>November!O57+N55</f>
        <v>517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f>243+130</f>
        <v>373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36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 t="s">
        <v>80</v>
      </c>
    </row>
    <row r="7" spans="1:16" ht="18" customHeight="1">
      <c r="A7" s="9" t="s">
        <v>11</v>
      </c>
      <c r="B7" s="14"/>
      <c r="C7" s="9">
        <f>January!C7+B7</f>
        <v>0</v>
      </c>
      <c r="D7" s="15">
        <f>1+3+1</f>
        <v>5</v>
      </c>
      <c r="E7" s="9">
        <f>January!E7+D7</f>
        <v>8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2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4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</f>
        <v>1</v>
      </c>
      <c r="E11" s="9">
        <f>January!E11+D11</f>
        <v>5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1+6+2+2</f>
        <v>11</v>
      </c>
      <c r="E14" s="9">
        <f>January!E14+D14</f>
        <v>12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f>1+1</f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0</v>
      </c>
      <c r="P17" s="20"/>
    </row>
    <row r="18" spans="1:16" ht="18" customHeight="1">
      <c r="A18" s="9" t="s">
        <v>22</v>
      </c>
      <c r="B18" s="14">
        <f>2</f>
        <v>2</v>
      </c>
      <c r="C18" s="9">
        <f>January!C18+B18</f>
        <v>2</v>
      </c>
      <c r="D18" s="15">
        <f>1+2+4+1+1+1</f>
        <v>10</v>
      </c>
      <c r="E18" s="9">
        <f>January!E18+D18</f>
        <v>13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1+1+1+1</f>
        <v>4</v>
      </c>
      <c r="C19" s="9">
        <f>January!C19+B19</f>
        <v>4</v>
      </c>
      <c r="D19" s="15">
        <f>1+1</f>
        <v>2</v>
      </c>
      <c r="E19" s="9">
        <f>January!E19+D19</f>
        <v>2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 t="s">
        <v>80</v>
      </c>
    </row>
    <row r="20" spans="1:16" ht="18" customHeight="1">
      <c r="A20" s="9" t="s">
        <v>24</v>
      </c>
      <c r="B20" s="14"/>
      <c r="C20" s="9">
        <f>January!C20+B20</f>
        <v>0</v>
      </c>
      <c r="D20" s="15">
        <f>2</f>
        <v>2</v>
      </c>
      <c r="E20" s="9">
        <f>January!E20+D20</f>
        <v>2</v>
      </c>
      <c r="F20" s="16"/>
      <c r="G20" s="9">
        <f>January!G20+F20</f>
        <v>227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f>1+1+1</f>
        <v>3</v>
      </c>
      <c r="E21" s="9">
        <f>January!E21+D21</f>
        <v>10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f>1</f>
        <v>1</v>
      </c>
      <c r="E26" s="9">
        <f>January!E26+D26</f>
        <v>1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>
        <f>2</f>
        <v>2</v>
      </c>
      <c r="C27" s="9">
        <f>January!C27+B27</f>
        <v>3</v>
      </c>
      <c r="D27" s="15">
        <f>1+11+1+1+1+4+1</f>
        <v>20</v>
      </c>
      <c r="E27" s="9">
        <f>January!E27+D27</f>
        <v>28</v>
      </c>
      <c r="F27" s="16">
        <f>7+8</f>
        <v>15</v>
      </c>
      <c r="G27" s="9">
        <f>January!G27+F27</f>
        <v>50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>
        <f>1+1</f>
        <v>2</v>
      </c>
      <c r="C29" s="9">
        <f>January!C29+B29</f>
        <v>8</v>
      </c>
      <c r="D29" s="15">
        <f>1+2+1+1+2+2+1</f>
        <v>10</v>
      </c>
      <c r="E29" s="9">
        <f>January!E29+D29</f>
        <v>15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28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2+1+7+1+3</f>
        <v>14</v>
      </c>
      <c r="E30" s="9">
        <f>January!E30+D30</f>
        <v>14</v>
      </c>
      <c r="F30" s="16"/>
      <c r="G30" s="9">
        <f>January!G30+F30</f>
        <v>454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1+1+5+1+3+3+2+2+1+1+8</f>
        <v>28</v>
      </c>
      <c r="E31" s="9">
        <f>January!E31+D31</f>
        <v>33</v>
      </c>
      <c r="F31" s="16"/>
      <c r="G31" s="9">
        <f>January!G31+F31</f>
        <v>0</v>
      </c>
      <c r="H31" s="17">
        <f>104</f>
        <v>104</v>
      </c>
      <c r="I31" s="9">
        <f>January!I31+H31</f>
        <v>104</v>
      </c>
      <c r="J31" s="18"/>
      <c r="K31" s="9">
        <f>January!K31+J31</f>
        <v>0</v>
      </c>
      <c r="L31" s="19"/>
      <c r="M31" s="9">
        <f>January!M31+L31</f>
        <v>0</v>
      </c>
      <c r="N31" s="19"/>
      <c r="O31" s="24">
        <f>January!O31+N31</f>
        <v>0</v>
      </c>
      <c r="P31" s="20" t="s">
        <v>81</v>
      </c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 t="s">
        <v>80</v>
      </c>
    </row>
    <row r="35" spans="1:16" ht="18" customHeight="1">
      <c r="A35" s="9" t="s">
        <v>39</v>
      </c>
      <c r="B35" s="14"/>
      <c r="C35" s="9">
        <f>January!C35+B35</f>
        <v>0</v>
      </c>
      <c r="D35" s="15">
        <f>1+1</f>
        <v>2</v>
      </c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4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1+2+1</f>
        <v>4</v>
      </c>
      <c r="E37" s="9">
        <f>January!E37+D37</f>
        <v>5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2+4</f>
        <v>6</v>
      </c>
      <c r="E38" s="9">
        <f>January!E38+D38</f>
        <v>86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</f>
        <v>1</v>
      </c>
      <c r="C39" s="9">
        <f>January!C39+B39</f>
        <v>13</v>
      </c>
      <c r="D39" s="15"/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3</v>
      </c>
      <c r="D40" s="15">
        <f>1+2+2+1+3</f>
        <v>9</v>
      </c>
      <c r="E40" s="9">
        <f>January!E40+D40</f>
        <v>11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1</f>
        <v>1</v>
      </c>
      <c r="C41" s="9">
        <f>January!C41+B41</f>
        <v>1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1</f>
        <v>1</v>
      </c>
      <c r="E45" s="9">
        <f>January!E45+D45</f>
        <v>1</v>
      </c>
      <c r="F45" s="16">
        <f>10+38+27+167+14+16+24+15+8+364+13+2+27+6+22+84+49+26+86+18+9+40+7+9+36+5</f>
        <v>1122</v>
      </c>
      <c r="G45" s="9">
        <f>January!G45+F45</f>
        <v>1851</v>
      </c>
      <c r="H45" s="17"/>
      <c r="I45" s="9">
        <f>January!I45+H45</f>
        <v>0</v>
      </c>
      <c r="J45" s="18">
        <f>2+5+1+7+34+145+42+5+1+6+11+8</f>
        <v>267</v>
      </c>
      <c r="K45" s="9">
        <f>January!K45+J45</f>
        <v>371</v>
      </c>
      <c r="L45" s="19"/>
      <c r="M45" s="9">
        <f>January!M45+L45</f>
        <v>0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>
        <f>1</f>
        <v>1</v>
      </c>
      <c r="E46" s="9">
        <f>January!E46+D46</f>
        <v>2</v>
      </c>
      <c r="F46" s="16"/>
      <c r="G46" s="9">
        <f>January!G46+F46</f>
        <v>74</v>
      </c>
      <c r="H46" s="17"/>
      <c r="I46" s="9">
        <f>January!I46+H46</f>
        <v>0</v>
      </c>
      <c r="J46" s="18">
        <f>1</f>
        <v>1</v>
      </c>
      <c r="K46" s="9">
        <f>January!K46+J46</f>
        <v>1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2</f>
        <v>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85</v>
      </c>
      <c r="L47" s="19"/>
      <c r="M47" s="9">
        <f>January!M47+L47</f>
        <v>0</v>
      </c>
      <c r="N47" s="19"/>
      <c r="O47" s="24">
        <f>January!O47+N47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1</f>
        <v>1</v>
      </c>
      <c r="E50" s="9">
        <f>January!E50+D50</f>
        <v>1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f>1</f>
        <v>1</v>
      </c>
      <c r="E51" s="9">
        <f>January!E51+D51</f>
        <v>2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>
        <f>2</f>
        <v>2</v>
      </c>
      <c r="E52" s="9">
        <f>January!E52+D52</f>
        <v>2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f>20+1+4</f>
        <v>25</v>
      </c>
      <c r="E53" s="9">
        <f>January!E53+D53</f>
        <v>51</v>
      </c>
      <c r="F53" s="16"/>
      <c r="G53" s="9">
        <f>E53</f>
        <v>51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1+1</f>
        <v>2</v>
      </c>
      <c r="E54" s="9">
        <f>January!E54+D54</f>
        <v>4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12</v>
      </c>
      <c r="C55" s="11"/>
      <c r="D55" s="11">
        <f>SUM(D5:D54)</f>
        <v>170</v>
      </c>
      <c r="E55" s="11"/>
      <c r="F55" s="11">
        <f>SUM(F5:F54)</f>
        <v>1137</v>
      </c>
      <c r="G55" s="11"/>
      <c r="H55" s="11">
        <f>SUM(H5:H54)</f>
        <v>104</v>
      </c>
      <c r="I55" s="11"/>
      <c r="J55" s="11">
        <f>SUM(J5:J54)</f>
        <v>268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356</v>
      </c>
      <c r="F57" s="11"/>
      <c r="G57" s="11">
        <f>January!G57+F55</f>
        <v>2656</v>
      </c>
      <c r="H57" s="11"/>
      <c r="I57" s="11">
        <f>January!I57+H55</f>
        <v>104</v>
      </c>
      <c r="J57" s="11"/>
      <c r="K57" s="11">
        <f>January!K57+J55</f>
        <v>485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45" activePane="bottomLeft" state="frozen"/>
      <selection pane="topLeft" activeCell="A1" sqref="A1"/>
      <selection pane="bottomLeft" activeCell="D45" sqref="D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79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>
        <f>1</f>
        <v>1</v>
      </c>
      <c r="E5" s="9">
        <f>February!E5+D5</f>
        <v>1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1+1+2+2+4</f>
        <v>10</v>
      </c>
      <c r="E7" s="9">
        <f>February!E7+D7</f>
        <v>18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 t="s">
        <v>80</v>
      </c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2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/>
      <c r="E9" s="9">
        <f>February!E9+D9</f>
        <v>2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</v>
      </c>
      <c r="E10" s="9">
        <f>February!E10+D10</f>
        <v>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1+1+1</f>
        <v>3</v>
      </c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v>2</v>
      </c>
      <c r="E14" s="9">
        <f>February!E14+D14</f>
        <v>14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3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>
        <f>1+1</f>
        <v>2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>
        <f>3</f>
        <v>3</v>
      </c>
      <c r="O17" s="9">
        <f>February!O17+N17</f>
        <v>3</v>
      </c>
      <c r="P17" s="20"/>
    </row>
    <row r="18" spans="1:16" ht="18" customHeight="1">
      <c r="A18" s="9" t="s">
        <v>22</v>
      </c>
      <c r="B18" s="14">
        <f>1</f>
        <v>1</v>
      </c>
      <c r="C18" s="9">
        <f>February!C18+B18</f>
        <v>3</v>
      </c>
      <c r="D18" s="15">
        <f>5+3</f>
        <v>8</v>
      </c>
      <c r="E18" s="9">
        <f>February!E18+D18</f>
        <v>21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>February!C19+B19</f>
        <v>6</v>
      </c>
      <c r="D19" s="15">
        <f>9</f>
        <v>9</v>
      </c>
      <c r="E19" s="9">
        <f>February!E19+D19</f>
        <v>11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4</v>
      </c>
      <c r="F20" s="16">
        <f>4</f>
        <v>4</v>
      </c>
      <c r="G20" s="9">
        <f>February!G20+F20</f>
        <v>231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2+6</f>
        <v>8</v>
      </c>
      <c r="E21" s="9">
        <f>February!E21+D21</f>
        <v>18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>
        <f>1</f>
        <v>1</v>
      </c>
      <c r="O24" s="9">
        <f>February!O24+N24</f>
        <v>1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0</v>
      </c>
      <c r="D26" s="15">
        <f>1+1+2</f>
        <v>4</v>
      </c>
      <c r="E26" s="9">
        <f>February!E26+D26</f>
        <v>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>
        <f>10</f>
        <v>10</v>
      </c>
      <c r="C27" s="9">
        <f>February!C27+B27</f>
        <v>13</v>
      </c>
      <c r="D27" s="15">
        <f>1+15+3+1+2+1+2+1+6</f>
        <v>32</v>
      </c>
      <c r="E27" s="9">
        <f>February!E27+D27</f>
        <v>60</v>
      </c>
      <c r="F27" s="16">
        <f>8</f>
        <v>8</v>
      </c>
      <c r="G27" s="9">
        <f>February!G27+F27</f>
        <v>58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>
        <f>2</f>
        <v>2</v>
      </c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>
        <f>1</f>
        <v>1</v>
      </c>
      <c r="C29" s="9">
        <f>February!C29+B29</f>
        <v>9</v>
      </c>
      <c r="D29" s="15">
        <f>1+1+1+1+1+14+2+1+2+2+4+2+6+3+1+2+3+1+2+2+3</f>
        <v>55</v>
      </c>
      <c r="E29" s="9">
        <f>February!E29+D29</f>
        <v>70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28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13</f>
        <v>13</v>
      </c>
      <c r="E30" s="9">
        <f>February!E30+D30</f>
        <v>27</v>
      </c>
      <c r="F30" s="16"/>
      <c r="G30" s="9">
        <f>February!G30+F30</f>
        <v>454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2+1+2+1+2+2+3+3+6</f>
        <v>22</v>
      </c>
      <c r="E31" s="9">
        <f>February!E31+D31</f>
        <v>55</v>
      </c>
      <c r="F31" s="16"/>
      <c r="G31" s="9">
        <f>February!G31+F31</f>
        <v>0</v>
      </c>
      <c r="H31" s="17"/>
      <c r="I31" s="9">
        <f>February!I31+H31</f>
        <v>104</v>
      </c>
      <c r="J31" s="18">
        <f>3</f>
        <v>3</v>
      </c>
      <c r="K31" s="9">
        <f>February!K31+J31</f>
        <v>3</v>
      </c>
      <c r="L31" s="19"/>
      <c r="M31" s="9">
        <f>February!M31+L31</f>
        <v>0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>
        <f>1</f>
        <v>1</v>
      </c>
      <c r="E33" s="9">
        <f>February!E33+D33</f>
        <v>2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>
        <f>1</f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4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/>
      <c r="E37" s="9">
        <f>February!E37+D37</f>
        <v>5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1+2+3+2+2+2</f>
        <v>12</v>
      </c>
      <c r="E38" s="9">
        <f>February!E38+D38</f>
        <v>98</v>
      </c>
      <c r="F38" s="16">
        <f>37+51</f>
        <v>88</v>
      </c>
      <c r="G38" s="9">
        <f>February!G38+F38</f>
        <v>88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>
        <f>1+1+3+1</f>
        <v>6</v>
      </c>
      <c r="C39" s="9">
        <f>February!C39+B39</f>
        <v>19</v>
      </c>
      <c r="D39" s="15">
        <f>2+2</f>
        <v>4</v>
      </c>
      <c r="E39" s="9">
        <f>February!E39+D39</f>
        <v>5</v>
      </c>
      <c r="F39" s="16">
        <f>3</f>
        <v>3</v>
      </c>
      <c r="G39" s="9">
        <f>February!G39+F39</f>
        <v>3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3</v>
      </c>
      <c r="D40" s="15">
        <f>3+30+3+1</f>
        <v>37</v>
      </c>
      <c r="E40" s="9">
        <f>February!E40+D40</f>
        <v>48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/>
    </row>
    <row r="41" spans="1:16" ht="18" customHeight="1">
      <c r="A41" s="9" t="s">
        <v>45</v>
      </c>
      <c r="B41" s="14"/>
      <c r="C41" s="9">
        <f>February!C41+B41</f>
        <v>1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1+1</f>
        <v>2</v>
      </c>
      <c r="C42" s="9">
        <f>February!C42+B42</f>
        <v>2</v>
      </c>
      <c r="D42" s="15">
        <f>1</f>
        <v>1</v>
      </c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1+4</f>
        <v>5</v>
      </c>
      <c r="E45" s="9">
        <f>February!E45+D45</f>
        <v>6</v>
      </c>
      <c r="F45" s="16">
        <f>28+11+30+125+20+12+2+7+23+18+93+57</f>
        <v>426</v>
      </c>
      <c r="G45" s="9">
        <f>February!G45+F45</f>
        <v>2277</v>
      </c>
      <c r="H45" s="17"/>
      <c r="I45" s="9">
        <f>February!I45+H45</f>
        <v>0</v>
      </c>
      <c r="J45" s="18">
        <f>3+17+42+13+18+73+5</f>
        <v>171</v>
      </c>
      <c r="K45" s="9">
        <f>February!K45+J45</f>
        <v>542</v>
      </c>
      <c r="L45" s="19"/>
      <c r="M45" s="9">
        <f>February!M45+L45</f>
        <v>0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2</v>
      </c>
      <c r="F46" s="16"/>
      <c r="G46" s="9">
        <f>February!G46+F46</f>
        <v>74</v>
      </c>
      <c r="H46" s="17"/>
      <c r="I46" s="9">
        <f>February!I46+H46</f>
        <v>0</v>
      </c>
      <c r="J46" s="18"/>
      <c r="K46" s="9">
        <f>February!K46+J46</f>
        <v>1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4</f>
        <v>4</v>
      </c>
      <c r="E47" s="9">
        <f>February!E47+D47</f>
        <v>30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85</v>
      </c>
      <c r="L47" s="19"/>
      <c r="M47" s="9">
        <f>February!M47+L47</f>
        <v>0</v>
      </c>
      <c r="N47" s="19"/>
      <c r="O47" s="9">
        <f>February!O47+N47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>
        <f>2</f>
        <v>2</v>
      </c>
      <c r="O49" s="9">
        <f>February!O49+N49</f>
        <v>2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1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/>
      <c r="E51" s="9">
        <f>February!E51+D51</f>
        <v>2</v>
      </c>
      <c r="F51" s="16">
        <f>1</f>
        <v>1</v>
      </c>
      <c r="G51" s="9">
        <f>February!G51+F51</f>
        <v>1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2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>
        <f>1+1</f>
        <v>2</v>
      </c>
      <c r="C53" s="9">
        <f>February!C53+B53</f>
        <v>2</v>
      </c>
      <c r="D53" s="15">
        <f>4+1+5+1+2+9+13+4+1+1+2+2+3+1+1+1+11</f>
        <v>62</v>
      </c>
      <c r="E53" s="9">
        <f>February!E53+D53</f>
        <v>113</v>
      </c>
      <c r="F53" s="16"/>
      <c r="G53" s="9">
        <f>February!G53+F53</f>
        <v>51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>
        <f>1</f>
        <v>1</v>
      </c>
      <c r="O53" s="9">
        <f>February!O53+N53</f>
        <v>1</v>
      </c>
      <c r="P53" s="20" t="s">
        <v>80</v>
      </c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4</v>
      </c>
      <c r="F54" s="16">
        <f>44+24</f>
        <v>68</v>
      </c>
      <c r="G54" s="9">
        <f>February!G54+F54</f>
        <v>68</v>
      </c>
      <c r="H54" s="17"/>
      <c r="I54" s="9">
        <f>February!I54+H54</f>
        <v>0</v>
      </c>
      <c r="J54" s="18">
        <f>9</f>
        <v>9</v>
      </c>
      <c r="K54" s="9">
        <f>February!K54+J54</f>
        <v>9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302</v>
      </c>
      <c r="E55" s="11"/>
      <c r="F55" s="11">
        <f>SUM(F5:F54)</f>
        <v>598</v>
      </c>
      <c r="G55" s="11"/>
      <c r="H55" s="11">
        <f>SUM(H5:H54)</f>
        <v>0</v>
      </c>
      <c r="I55" s="11"/>
      <c r="J55" s="11">
        <f>SUM(J5:J54)</f>
        <v>183</v>
      </c>
      <c r="K55" s="11"/>
      <c r="L55" s="11">
        <f>SUM(L5:L54)</f>
        <v>0</v>
      </c>
      <c r="M55" s="11"/>
      <c r="N55" s="11">
        <f>SUM(N5:N54)</f>
        <v>7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58</v>
      </c>
      <c r="D57" s="11"/>
      <c r="E57" s="11">
        <f>February!E57+D55</f>
        <v>658</v>
      </c>
      <c r="F57" s="11"/>
      <c r="G57" s="11">
        <f>February!G57+F55</f>
        <v>3254</v>
      </c>
      <c r="H57" s="11"/>
      <c r="I57" s="11">
        <f>February!I57+H55</f>
        <v>104</v>
      </c>
      <c r="J57" s="11"/>
      <c r="K57" s="11">
        <f>February!K57+J55</f>
        <v>668</v>
      </c>
      <c r="L57" s="11"/>
      <c r="M57" s="11">
        <f>February!M57+L55</f>
        <v>0</v>
      </c>
      <c r="N57" s="11"/>
      <c r="O57" s="11">
        <f>February!O57+N55</f>
        <v>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0" sqref="E5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17+2</f>
        <v>19</v>
      </c>
      <c r="E7" s="9">
        <f>March!E7+D7</f>
        <v>37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/>
      <c r="E8" s="9">
        <f>March!E8+D8</f>
        <v>2</v>
      </c>
      <c r="F8" s="16"/>
      <c r="G8" s="9">
        <f>March!G8+F8</f>
        <v>0</v>
      </c>
      <c r="H8" s="17"/>
      <c r="I8" s="9">
        <f>March!I8+H8</f>
        <v>0</v>
      </c>
      <c r="J8" s="18">
        <f>3</f>
        <v>3</v>
      </c>
      <c r="K8" s="9">
        <f>March!K8+J8</f>
        <v>3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>
        <f>2</f>
        <v>2</v>
      </c>
      <c r="E9" s="9">
        <f>March!E9+D9</f>
        <v>4</v>
      </c>
      <c r="F9" s="16">
        <f>1</f>
        <v>1</v>
      </c>
      <c r="G9" s="9">
        <f>March!G9+F9</f>
        <v>1</v>
      </c>
      <c r="H9" s="17"/>
      <c r="I9" s="9">
        <f>March!I9+H9</f>
        <v>0</v>
      </c>
      <c r="J9" s="18">
        <f>15+12+2</f>
        <v>29</v>
      </c>
      <c r="K9" s="9">
        <f>March!K9+J9</f>
        <v>29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/>
      <c r="E10" s="9">
        <f>March!E10+D10</f>
        <v>5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2+1</f>
        <v>3</v>
      </c>
      <c r="E11" s="9">
        <f>March!E11+D11</f>
        <v>11</v>
      </c>
      <c r="F11" s="16">
        <f>3+2</f>
        <v>5</v>
      </c>
      <c r="G11" s="9">
        <f>March!G11+F11</f>
        <v>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</f>
        <v>1</v>
      </c>
      <c r="E14" s="9">
        <f>March!E14+D14</f>
        <v>15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March!C15+B15</f>
        <v>0</v>
      </c>
      <c r="D15" s="15"/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3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3</v>
      </c>
      <c r="P17" s="20"/>
    </row>
    <row r="18" spans="1:16" ht="18" customHeight="1">
      <c r="A18" s="9" t="s">
        <v>22</v>
      </c>
      <c r="B18" s="14"/>
      <c r="C18" s="9">
        <f>March!C18+B18</f>
        <v>3</v>
      </c>
      <c r="D18" s="15">
        <f>1+1+1+1+2+1+1+1+2+1+1+1+9</f>
        <v>23</v>
      </c>
      <c r="E18" s="9">
        <f>March!E18+D18</f>
        <v>44</v>
      </c>
      <c r="F18" s="16">
        <f>6+10+10+10</f>
        <v>36</v>
      </c>
      <c r="G18" s="9">
        <f>March!G18+F18</f>
        <v>36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/>
      <c r="C19" s="9">
        <f>March!C19+B19</f>
        <v>6</v>
      </c>
      <c r="D19" s="15">
        <f>1</f>
        <v>1</v>
      </c>
      <c r="E19" s="9">
        <f>March!E19+D19</f>
        <v>12</v>
      </c>
      <c r="F19" s="16">
        <f>2+1</f>
        <v>3</v>
      </c>
      <c r="G19" s="9">
        <f>March!G19+F19</f>
        <v>3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2+2+1+1+2+4+1</f>
        <v>13</v>
      </c>
      <c r="E20" s="9">
        <f>March!E20+D20</f>
        <v>17</v>
      </c>
      <c r="F20" s="16"/>
      <c r="G20" s="9">
        <f>March!G20+F20</f>
        <v>231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0</v>
      </c>
      <c r="P20" s="20"/>
    </row>
    <row r="21" spans="1:16" ht="18" customHeight="1">
      <c r="A21" s="9" t="s">
        <v>25</v>
      </c>
      <c r="B21" s="14"/>
      <c r="C21" s="9">
        <f>March!C21+B21</f>
        <v>0</v>
      </c>
      <c r="D21" s="15">
        <f>1+1+3+1</f>
        <v>6</v>
      </c>
      <c r="E21" s="9">
        <f>March!E21+D21</f>
        <v>24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0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>
        <f>1</f>
        <v>1</v>
      </c>
      <c r="E22" s="9">
        <f>March!E22+D22</f>
        <v>1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1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0</v>
      </c>
      <c r="D26" s="15">
        <f>1+1</f>
        <v>2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>
        <f>1</f>
        <v>1</v>
      </c>
      <c r="O26" s="9">
        <f>March!O26+N26</f>
        <v>1</v>
      </c>
      <c r="P26" s="20"/>
    </row>
    <row r="27" spans="1:16" ht="18" customHeight="1">
      <c r="A27" s="9" t="s">
        <v>31</v>
      </c>
      <c r="B27" s="14"/>
      <c r="C27" s="9">
        <f>March!C27+B27</f>
        <v>13</v>
      </c>
      <c r="D27" s="15">
        <f>18+5+6+17+2+11+11+14+9</f>
        <v>93</v>
      </c>
      <c r="E27" s="9">
        <f>March!E27+D27</f>
        <v>153</v>
      </c>
      <c r="F27" s="16">
        <f>1+7+3+5+11+10+16+108+3122</f>
        <v>3283</v>
      </c>
      <c r="G27" s="9">
        <f>March!G27+F27</f>
        <v>3341</v>
      </c>
      <c r="H27" s="17"/>
      <c r="I27" s="9">
        <f>March!I27+H27</f>
        <v>0</v>
      </c>
      <c r="J27" s="18">
        <f>41</f>
        <v>41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0"/>
    </row>
    <row r="28" spans="1:16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/>
      <c r="C29" s="9">
        <f>March!C29+B29</f>
        <v>9</v>
      </c>
      <c r="D29" s="15">
        <f>1+5+1+1+1+2+1+1+1+2+6</f>
        <v>22</v>
      </c>
      <c r="E29" s="9">
        <f>March!E29+D29</f>
        <v>92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28</v>
      </c>
      <c r="L29" s="19"/>
      <c r="M29" s="9">
        <f>March!M29+L29</f>
        <v>0</v>
      </c>
      <c r="N29" s="19"/>
      <c r="O29" s="9">
        <f>March!O29+N29</f>
        <v>0</v>
      </c>
      <c r="P29" s="20"/>
    </row>
    <row r="30" spans="1:16" ht="18" customHeight="1">
      <c r="A30" s="9" t="s">
        <v>34</v>
      </c>
      <c r="B30" s="14"/>
      <c r="C30" s="9">
        <f>March!C30+B30</f>
        <v>0</v>
      </c>
      <c r="D30" s="15">
        <f>1+1+4</f>
        <v>6</v>
      </c>
      <c r="E30" s="9">
        <f>March!E30+D30</f>
        <v>33</v>
      </c>
      <c r="F30" s="16"/>
      <c r="G30" s="9">
        <f>March!G30+F30</f>
        <v>454</v>
      </c>
      <c r="H30" s="17"/>
      <c r="I30" s="9">
        <f>March!I30+H30</f>
        <v>0</v>
      </c>
      <c r="J30" s="18">
        <f>335</f>
        <v>335</v>
      </c>
      <c r="K30" s="9">
        <f>March!K30+J30</f>
        <v>335</v>
      </c>
      <c r="L30" s="19"/>
      <c r="M30" s="9">
        <f>March!M30+L30</f>
        <v>0</v>
      </c>
      <c r="N30" s="19"/>
      <c r="O30" s="9">
        <f>March!O30+N30</f>
        <v>0</v>
      </c>
      <c r="P30" s="20"/>
    </row>
    <row r="31" spans="1:16" ht="18" customHeight="1">
      <c r="A31" s="9" t="s">
        <v>35</v>
      </c>
      <c r="B31" s="14"/>
      <c r="C31" s="9">
        <f>March!C31+B31</f>
        <v>0</v>
      </c>
      <c r="D31" s="15">
        <f>2+1+3+5+4+4+26</f>
        <v>45</v>
      </c>
      <c r="E31" s="9">
        <f>March!E31+D31</f>
        <v>100</v>
      </c>
      <c r="F31" s="16"/>
      <c r="G31" s="9">
        <f>March!G31+F31</f>
        <v>0</v>
      </c>
      <c r="H31" s="17">
        <f>31</f>
        <v>31</v>
      </c>
      <c r="I31" s="9">
        <f>March!I31+H31</f>
        <v>135</v>
      </c>
      <c r="J31" s="18"/>
      <c r="K31" s="9">
        <f>March!K31+J31</f>
        <v>3</v>
      </c>
      <c r="L31" s="19"/>
      <c r="M31" s="9">
        <f>March!M31+L31</f>
        <v>0</v>
      </c>
      <c r="N31" s="19"/>
      <c r="O31" s="9">
        <f>March!O31+N31</f>
        <v>0</v>
      </c>
      <c r="P31" s="20"/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>
        <f>1</f>
        <v>1</v>
      </c>
      <c r="E33" s="9">
        <f>March!E33+D33</f>
        <v>3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>
        <f>1+1+1</f>
        <v>3</v>
      </c>
      <c r="E35" s="9">
        <f>March!E35+D35</f>
        <v>6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4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>
        <f>1</f>
        <v>1</v>
      </c>
      <c r="E37" s="9">
        <f>March!E37+D37</f>
        <v>6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/>
      <c r="E38" s="9">
        <f>March!E38+D38</f>
        <v>98</v>
      </c>
      <c r="F38" s="16">
        <f>432+15</f>
        <v>447</v>
      </c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0"/>
    </row>
    <row r="39" spans="1:16" ht="18" customHeight="1">
      <c r="A39" s="9" t="s">
        <v>43</v>
      </c>
      <c r="B39" s="14"/>
      <c r="C39" s="9">
        <f>March!C39+B39</f>
        <v>19</v>
      </c>
      <c r="D39" s="15">
        <f>1</f>
        <v>1</v>
      </c>
      <c r="E39" s="9">
        <f>March!E39+D39</f>
        <v>6</v>
      </c>
      <c r="F39" s="16">
        <f>1</f>
        <v>1</v>
      </c>
      <c r="G39" s="9">
        <f>March!G39+F39</f>
        <v>4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3</v>
      </c>
      <c r="D40" s="15">
        <f>2+3+5+1+19+1+6+3+4</f>
        <v>44</v>
      </c>
      <c r="E40" s="9">
        <f>March!E40+D40</f>
        <v>92</v>
      </c>
      <c r="F40" s="16">
        <f>4+1</f>
        <v>5</v>
      </c>
      <c r="G40" s="9">
        <f>March!G40+F40</f>
        <v>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 t="s">
        <v>80</v>
      </c>
    </row>
    <row r="41" spans="1:16" ht="18" customHeight="1">
      <c r="A41" s="9" t="s">
        <v>45</v>
      </c>
      <c r="B41" s="14"/>
      <c r="C41" s="9">
        <f>March!C41+B41</f>
        <v>1</v>
      </c>
      <c r="D41" s="15">
        <f>1+1</f>
        <v>2</v>
      </c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/>
      <c r="C42" s="9">
        <f>March!C42+B42</f>
        <v>2</v>
      </c>
      <c r="D42" s="15">
        <f>1+1+1+1+1+1</f>
        <v>6</v>
      </c>
      <c r="E42" s="9">
        <f>March!E42+D42</f>
        <v>7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</f>
        <v>2</v>
      </c>
      <c r="E44" s="9">
        <f>March!E44+D44</f>
        <v>2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3+7+1</f>
        <v>11</v>
      </c>
      <c r="E45" s="9">
        <f>March!E45+D45</f>
        <v>17</v>
      </c>
      <c r="F45" s="16">
        <f>6+56+2+27+169+27+28+13+79+9+6+4</f>
        <v>426</v>
      </c>
      <c r="G45" s="9">
        <v>0</v>
      </c>
      <c r="H45" s="17"/>
      <c r="I45" s="9">
        <f>March!I45+H45</f>
        <v>0</v>
      </c>
      <c r="J45" s="18">
        <f>88+376+281+56</f>
        <v>801</v>
      </c>
      <c r="K45" s="9">
        <f>March!K45+J45</f>
        <v>1343</v>
      </c>
      <c r="L45" s="19"/>
      <c r="M45" s="9">
        <f>March!M45+L45</f>
        <v>0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</f>
        <v>1</v>
      </c>
      <c r="E46" s="9">
        <f>March!E46+D46</f>
        <v>3</v>
      </c>
      <c r="F46" s="16"/>
      <c r="G46" s="9">
        <f>March!G46+F46</f>
        <v>74</v>
      </c>
      <c r="H46" s="17"/>
      <c r="I46" s="9">
        <f>March!I46+H46</f>
        <v>0</v>
      </c>
      <c r="J46" s="18"/>
      <c r="K46" s="9">
        <f>March!K46+J46</f>
        <v>1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6+4+1</f>
        <v>11</v>
      </c>
      <c r="E47" s="9">
        <f>March!E47+D47</f>
        <v>41</v>
      </c>
      <c r="F47" s="16">
        <f>12</f>
        <v>12</v>
      </c>
      <c r="G47" s="9">
        <f>March!G47+F47</f>
        <v>12</v>
      </c>
      <c r="H47" s="17"/>
      <c r="I47" s="9">
        <f>March!I47+H47</f>
        <v>0</v>
      </c>
      <c r="J47" s="18">
        <f>8</f>
        <v>8</v>
      </c>
      <c r="K47" s="9">
        <f>March!K47+J47</f>
        <v>93</v>
      </c>
      <c r="L47" s="19"/>
      <c r="M47" s="9">
        <f>March!M47+L47</f>
        <v>0</v>
      </c>
      <c r="N47" s="19"/>
      <c r="O47" s="9">
        <f>March!O47+N47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1</f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>
        <f>1</f>
        <v>1</v>
      </c>
      <c r="O49" s="9">
        <f>March!O49+N49</f>
        <v>3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1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/>
      <c r="E51" s="9">
        <f>March!E51+D51</f>
        <v>2</v>
      </c>
      <c r="F51" s="16"/>
      <c r="G51" s="9">
        <f>March!G51+F51</f>
        <v>1</v>
      </c>
      <c r="H51" s="17"/>
      <c r="I51" s="9">
        <f>March!I51+H51</f>
        <v>0</v>
      </c>
      <c r="J51" s="18">
        <f>1</f>
        <v>1</v>
      </c>
      <c r="K51" s="9">
        <f>March!K51+J51</f>
        <v>1</v>
      </c>
      <c r="L51" s="19"/>
      <c r="M51" s="9">
        <f>March!M51+L51</f>
        <v>0</v>
      </c>
      <c r="N51" s="19"/>
      <c r="O51" s="9">
        <f>March!O51+N51</f>
        <v>0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2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2</f>
        <v>2</v>
      </c>
      <c r="C53" s="9">
        <f>March!C53+B53</f>
        <v>4</v>
      </c>
      <c r="D53" s="15">
        <f>9+7+15+14+5+10+11+7+20+7+29</f>
        <v>134</v>
      </c>
      <c r="E53" s="9">
        <f>March!E53+D53</f>
        <v>247</v>
      </c>
      <c r="F53" s="16">
        <f>1+2+1+1+3+15+6</f>
        <v>29</v>
      </c>
      <c r="G53" s="9">
        <f>March!G53+F53</f>
        <v>80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4+9+8+4+4+7+4+8</f>
        <v>48</v>
      </c>
      <c r="O53" s="9">
        <f>March!O53+N53</f>
        <v>49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4</f>
        <v>4</v>
      </c>
      <c r="E54" s="9">
        <f>March!E54+D54</f>
        <v>8</v>
      </c>
      <c r="F54" s="16">
        <f>22</f>
        <v>22</v>
      </c>
      <c r="G54" s="9">
        <f>March!G54+F54</f>
        <v>90</v>
      </c>
      <c r="H54" s="17"/>
      <c r="I54" s="9">
        <f>March!I54+H54</f>
        <v>0</v>
      </c>
      <c r="J54" s="18"/>
      <c r="K54" s="9">
        <f>March!K54+J54</f>
        <v>9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459</v>
      </c>
      <c r="E55" s="11"/>
      <c r="F55" s="11">
        <f>SUM(F5:F54)</f>
        <v>4270</v>
      </c>
      <c r="G55" s="11"/>
      <c r="H55" s="11">
        <f>SUM(H5:H54)</f>
        <v>31</v>
      </c>
      <c r="I55" s="11"/>
      <c r="J55" s="11">
        <f>SUM(J5:J54)</f>
        <v>1218</v>
      </c>
      <c r="K55" s="11"/>
      <c r="L55" s="11">
        <f>SUM(L5:L54)</f>
        <v>0</v>
      </c>
      <c r="M55" s="11"/>
      <c r="N55" s="11">
        <f>SUM(N5:N54)</f>
        <v>50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60</v>
      </c>
      <c r="D57" s="11"/>
      <c r="E57" s="11">
        <f>March!E57+D55</f>
        <v>1117</v>
      </c>
      <c r="F57" s="11"/>
      <c r="G57" s="11">
        <f>March!G57+F55</f>
        <v>7524</v>
      </c>
      <c r="H57" s="11"/>
      <c r="I57" s="11">
        <f>March!I57+H55</f>
        <v>135</v>
      </c>
      <c r="J57" s="11"/>
      <c r="K57" s="11">
        <f>March!K57+J55</f>
        <v>1886</v>
      </c>
      <c r="L57" s="11"/>
      <c r="M57" s="11">
        <f>March!M57+L55</f>
        <v>0</v>
      </c>
      <c r="N57" s="11"/>
      <c r="O57" s="11">
        <f>March!O57+N55</f>
        <v>57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0" sqref="F5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79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4+2+1+1+6+2+3+1+5</f>
        <v>25</v>
      </c>
      <c r="E7" s="9">
        <f>April!E7+D7</f>
        <v>62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1+2+2+5</f>
        <v>10</v>
      </c>
      <c r="E8" s="9">
        <f>April!E8+D8</f>
        <v>12</v>
      </c>
      <c r="F8" s="16">
        <f>2</f>
        <v>2</v>
      </c>
      <c r="G8" s="9">
        <f>April!G8+F8</f>
        <v>2</v>
      </c>
      <c r="H8" s="17"/>
      <c r="I8" s="9">
        <f>April!I8+H8</f>
        <v>0</v>
      </c>
      <c r="J8" s="18"/>
      <c r="K8" s="9">
        <f>April!K8+J8</f>
        <v>3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/>
      <c r="E9" s="9">
        <f>April!E9+D9</f>
        <v>4</v>
      </c>
      <c r="F9" s="16"/>
      <c r="G9" s="9">
        <f>April!G9+F9</f>
        <v>1</v>
      </c>
      <c r="H9" s="17"/>
      <c r="I9" s="9">
        <f>April!I9+H9</f>
        <v>0</v>
      </c>
      <c r="J9" s="18">
        <f>9+2</f>
        <v>11</v>
      </c>
      <c r="K9" s="9">
        <f>April!K9+J9</f>
        <v>40</v>
      </c>
      <c r="L9" s="19"/>
      <c r="M9" s="9">
        <f>April!M9+L9</f>
        <v>0</v>
      </c>
      <c r="N9" s="19">
        <f>1</f>
        <v>1</v>
      </c>
      <c r="O9" s="9">
        <f>April!O9+N9</f>
        <v>1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/>
      <c r="E10" s="9">
        <f>April!E10+D10</f>
        <v>5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1+1+3+3+1+3</f>
        <v>12</v>
      </c>
      <c r="E11" s="9">
        <f>April!E11+D11</f>
        <v>23</v>
      </c>
      <c r="F11" s="16"/>
      <c r="G11" s="9">
        <f>April!G11+F11</f>
        <v>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19"/>
      <c r="O11" s="9">
        <f>April!O11+N11</f>
        <v>0</v>
      </c>
      <c r="P11" s="20" t="s">
        <v>80</v>
      </c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2+1+9+2+2+1+2+1+1</f>
        <v>21</v>
      </c>
      <c r="E14" s="9">
        <f>April!E14+D14</f>
        <v>36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1</f>
        <v>1</v>
      </c>
      <c r="E17" s="9">
        <f>April!E17+D17</f>
        <v>4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3</v>
      </c>
      <c r="P17" s="20"/>
    </row>
    <row r="18" spans="1:16" ht="18" customHeight="1">
      <c r="A18" s="9" t="s">
        <v>22</v>
      </c>
      <c r="B18" s="14"/>
      <c r="C18" s="9">
        <f>April!C18+B18</f>
        <v>3</v>
      </c>
      <c r="D18" s="15">
        <f>2+5+1+1+1+3+3+1+1+1+1+2+11+10+5+25</f>
        <v>73</v>
      </c>
      <c r="E18" s="9">
        <f>April!E18+D18</f>
        <v>117</v>
      </c>
      <c r="F18" s="16">
        <f>1+1+2+7</f>
        <v>11</v>
      </c>
      <c r="G18" s="9">
        <f>April!G18+F18</f>
        <v>47</v>
      </c>
      <c r="H18" s="17"/>
      <c r="I18" s="9">
        <f>April!I18+H18</f>
        <v>0</v>
      </c>
      <c r="J18" s="18">
        <f>4+18+15+7+9</f>
        <v>53</v>
      </c>
      <c r="K18" s="9">
        <f>April!K18+J18</f>
        <v>53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April!C19+B19</f>
        <v>7</v>
      </c>
      <c r="D19" s="15">
        <f>3+2+12+2</f>
        <v>19</v>
      </c>
      <c r="E19" s="9">
        <f>April!E19+D19</f>
        <v>31</v>
      </c>
      <c r="F19" s="16">
        <f>4</f>
        <v>4</v>
      </c>
      <c r="G19" s="9">
        <f>April!G19+F19</f>
        <v>7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>
        <f>14+4+1</f>
        <v>19</v>
      </c>
      <c r="O19" s="9">
        <f>April!O19+N19</f>
        <v>19</v>
      </c>
      <c r="P19" s="20" t="s">
        <v>80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3+2+6+5</f>
        <v>16</v>
      </c>
      <c r="E20" s="9">
        <f>April!E20+D20</f>
        <v>33</v>
      </c>
      <c r="F20" s="16"/>
      <c r="G20" s="9">
        <f>April!G20+F20</f>
        <v>231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19"/>
      <c r="O20" s="9">
        <f>April!O20+N20</f>
        <v>0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1+2+3+2+2+2+2+5+6+2+3+1+2+1+3</f>
        <v>37</v>
      </c>
      <c r="E21" s="9">
        <f>April!E21+D21</f>
        <v>61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0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1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>
        <f>1</f>
        <v>1</v>
      </c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1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0</v>
      </c>
      <c r="D26" s="15">
        <f>4+8</f>
        <v>12</v>
      </c>
      <c r="E26" s="9">
        <f>April!E26+D26</f>
        <v>19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1</v>
      </c>
      <c r="P26" s="20"/>
    </row>
    <row r="27" spans="1:16" ht="18" customHeight="1">
      <c r="A27" s="9" t="s">
        <v>31</v>
      </c>
      <c r="B27" s="14"/>
      <c r="C27" s="9">
        <f>April!C27+B27</f>
        <v>13</v>
      </c>
      <c r="D27" s="15">
        <f>2+2+5+11+8+6+12+6+16+13+18+3+15+9+1+15</f>
        <v>142</v>
      </c>
      <c r="E27" s="9">
        <f>April!E27+D27</f>
        <v>295</v>
      </c>
      <c r="F27" s="16">
        <f>22+21+13+11+5+36</f>
        <v>108</v>
      </c>
      <c r="G27" s="9">
        <f>April!G27+F27</f>
        <v>3449</v>
      </c>
      <c r="H27" s="17"/>
      <c r="I27" s="9">
        <f>April!I27+H27</f>
        <v>0</v>
      </c>
      <c r="J27" s="18">
        <f>10+6+2+8</f>
        <v>26</v>
      </c>
      <c r="K27" s="9">
        <f>April!K27+J27</f>
        <v>67</v>
      </c>
      <c r="L27" s="19"/>
      <c r="M27" s="9">
        <f>April!M27+L27</f>
        <v>0</v>
      </c>
      <c r="N27" s="19">
        <f>3</f>
        <v>3</v>
      </c>
      <c r="O27" s="9">
        <f>April!O27+N27</f>
        <v>3</v>
      </c>
      <c r="P27" s="20" t="s">
        <v>80</v>
      </c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9</v>
      </c>
      <c r="D29" s="15">
        <f>2+4+7+5+3+2+1+4+3+1+1+3+11</f>
        <v>47</v>
      </c>
      <c r="E29" s="9">
        <f>April!E29+D29</f>
        <v>139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28</v>
      </c>
      <c r="L29" s="19"/>
      <c r="M29" s="9">
        <f>April!M29+L29</f>
        <v>0</v>
      </c>
      <c r="N29" s="19">
        <f>9</f>
        <v>9</v>
      </c>
      <c r="O29" s="9">
        <f>April!O29+N29</f>
        <v>9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7</f>
        <v>7</v>
      </c>
      <c r="E30" s="9">
        <f>April!E30+D30</f>
        <v>40</v>
      </c>
      <c r="F30" s="16">
        <f>392</f>
        <v>392</v>
      </c>
      <c r="G30" s="9">
        <f>April!G30+F30</f>
        <v>846</v>
      </c>
      <c r="H30" s="17"/>
      <c r="I30" s="9">
        <f>April!I30+H30</f>
        <v>0</v>
      </c>
      <c r="J30" s="18"/>
      <c r="K30" s="9">
        <f>April!K30+J30</f>
        <v>335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3+7+9+26</f>
        <v>45</v>
      </c>
      <c r="E31" s="9">
        <f>April!E31+D31</f>
        <v>145</v>
      </c>
      <c r="F31" s="16">
        <f>5+11+8+25</f>
        <v>49</v>
      </c>
      <c r="G31" s="9">
        <f>April!G31+F31</f>
        <v>49</v>
      </c>
      <c r="H31" s="17"/>
      <c r="I31" s="9">
        <f>April!I31+H31</f>
        <v>135</v>
      </c>
      <c r="J31" s="18">
        <f>6</f>
        <v>6</v>
      </c>
      <c r="K31" s="9">
        <f>April!K31+J31</f>
        <v>9</v>
      </c>
      <c r="L31" s="19"/>
      <c r="M31" s="9">
        <f>April!M31+L31</f>
        <v>0</v>
      </c>
      <c r="N31" s="19"/>
      <c r="O31" s="9">
        <f>April!O31+N31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3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1+1+2</f>
        <v>4</v>
      </c>
      <c r="E35" s="9">
        <f>April!E35+D35</f>
        <v>10</v>
      </c>
      <c r="F35" s="16">
        <f>1</f>
        <v>1</v>
      </c>
      <c r="G35" s="9">
        <f>April!G35+F35</f>
        <v>1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4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3+1</f>
        <v>4</v>
      </c>
      <c r="E37" s="9">
        <f>April!E37+D37</f>
        <v>10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>
        <f>4+4+2+2+6+4</f>
        <v>22</v>
      </c>
      <c r="E38" s="9">
        <f>April!E38+D38</f>
        <v>120</v>
      </c>
      <c r="F38" s="16">
        <f>4</f>
        <v>4</v>
      </c>
      <c r="G38" s="9">
        <f>April!G38+F38</f>
        <v>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0"/>
    </row>
    <row r="39" spans="1:16" ht="18" customHeight="1">
      <c r="A39" s="9" t="s">
        <v>43</v>
      </c>
      <c r="B39" s="14"/>
      <c r="C39" s="9">
        <f>April!C39+B39</f>
        <v>19</v>
      </c>
      <c r="D39" s="15">
        <f>1</f>
        <v>1</v>
      </c>
      <c r="E39" s="9">
        <f>April!E39+D39</f>
        <v>7</v>
      </c>
      <c r="F39" s="16"/>
      <c r="G39" s="9">
        <f>April!G39+F39</f>
        <v>4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3</v>
      </c>
      <c r="D40" s="15">
        <f>14+1</f>
        <v>15</v>
      </c>
      <c r="E40" s="9">
        <f>April!E40+D40</f>
        <v>107</v>
      </c>
      <c r="F40" s="16">
        <f>1+1</f>
        <v>2</v>
      </c>
      <c r="G40" s="9">
        <f>April!G40+F40</f>
        <v>7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1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0</v>
      </c>
      <c r="P41" s="20"/>
    </row>
    <row r="42" spans="1:16" ht="18" customHeight="1">
      <c r="A42" s="9" t="s">
        <v>46</v>
      </c>
      <c r="B42" s="14"/>
      <c r="C42" s="9">
        <f>April!C42+B42</f>
        <v>2</v>
      </c>
      <c r="D42" s="15">
        <f>1</f>
        <v>1</v>
      </c>
      <c r="E42" s="9">
        <f>April!E42+D42</f>
        <v>8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2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</f>
        <v>2</v>
      </c>
      <c r="E45" s="9">
        <f>April!E45+D45</f>
        <v>19</v>
      </c>
      <c r="F45" s="16">
        <f>6+18+40+12+70+40+12+15+21+16+200+14+39+46+86+70+2+158+23+15+156+3+80+6+86+14+51+14+28+91+6+26+51</f>
        <v>1515</v>
      </c>
      <c r="G45" s="9">
        <f>April!G45+F45</f>
        <v>1515</v>
      </c>
      <c r="H45" s="17"/>
      <c r="I45" s="9">
        <f>April!I45+H45</f>
        <v>0</v>
      </c>
      <c r="J45" s="18">
        <f>2+7+4+61+46+123+21+29+5</f>
        <v>298</v>
      </c>
      <c r="K45" s="9">
        <f>April!K45+J45</f>
        <v>1641</v>
      </c>
      <c r="L45" s="19"/>
      <c r="M45" s="9">
        <f>April!M45+L45</f>
        <v>0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1+2</f>
        <v>3</v>
      </c>
      <c r="E46" s="9">
        <f>April!E46+D46</f>
        <v>6</v>
      </c>
      <c r="F46" s="16">
        <f>4</f>
        <v>4</v>
      </c>
      <c r="G46" s="9">
        <f>April!G46+F46</f>
        <v>78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19"/>
      <c r="O46" s="9">
        <f>April!O46+N46</f>
        <v>0</v>
      </c>
      <c r="P46" s="20"/>
    </row>
    <row r="47" spans="1:16" ht="18" customHeight="1">
      <c r="A47" s="9" t="s">
        <v>51</v>
      </c>
      <c r="B47" s="14"/>
      <c r="C47" s="9">
        <f>April!C47+B47</f>
        <v>0</v>
      </c>
      <c r="D47" s="15">
        <f>1+1+12+2+7+5+3</f>
        <v>31</v>
      </c>
      <c r="E47" s="9">
        <f>April!E47+D47</f>
        <v>72</v>
      </c>
      <c r="F47" s="16"/>
      <c r="G47" s="9">
        <f>April!G47+F47</f>
        <v>12</v>
      </c>
      <c r="H47" s="17"/>
      <c r="I47" s="9">
        <f>April!I47+H47</f>
        <v>0</v>
      </c>
      <c r="J47" s="18">
        <f>15</f>
        <v>15</v>
      </c>
      <c r="K47" s="9">
        <f>April!K47+J47</f>
        <v>108</v>
      </c>
      <c r="L47" s="19"/>
      <c r="M47" s="9">
        <f>April!M47+L47</f>
        <v>0</v>
      </c>
      <c r="N47" s="19"/>
      <c r="O47" s="9">
        <f>April!O47+N47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3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f>4+1</f>
        <v>5</v>
      </c>
      <c r="E50" s="9">
        <f>April!E50+D50</f>
        <v>6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/>
      <c r="O50" s="9">
        <f>April!O50+N50</f>
        <v>0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2</v>
      </c>
      <c r="F51" s="16"/>
      <c r="G51" s="9">
        <f>April!G51+F51</f>
        <v>1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0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2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April!C53+B53</f>
        <v>5</v>
      </c>
      <c r="D53" s="15">
        <f>9+16+19+9+8+9+12+10+7+24+4+14+5+6+13+16+110</f>
        <v>291</v>
      </c>
      <c r="E53" s="9">
        <f>April!E53+D53</f>
        <v>538</v>
      </c>
      <c r="F53" s="16">
        <f>1+1</f>
        <v>2</v>
      </c>
      <c r="G53" s="9">
        <f>April!G53+F53</f>
        <v>82</v>
      </c>
      <c r="H53" s="17"/>
      <c r="I53" s="9">
        <f>April!I53+H53</f>
        <v>0</v>
      </c>
      <c r="J53" s="18">
        <f>2</f>
        <v>2</v>
      </c>
      <c r="K53" s="9">
        <f>April!K53+J53</f>
        <v>2</v>
      </c>
      <c r="L53" s="19"/>
      <c r="M53" s="9">
        <f>April!M53+L53</f>
        <v>0</v>
      </c>
      <c r="N53" s="19">
        <f>3+1</f>
        <v>4</v>
      </c>
      <c r="O53" s="9">
        <f>April!O53+N53</f>
        <v>53</v>
      </c>
      <c r="P53" s="20"/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1+1</f>
        <v>2</v>
      </c>
      <c r="E54" s="9">
        <f>April!E54+D54</f>
        <v>10</v>
      </c>
      <c r="F54" s="16"/>
      <c r="G54" s="9">
        <f>April!G54+F54</f>
        <v>90</v>
      </c>
      <c r="H54" s="17"/>
      <c r="I54" s="9">
        <f>April!I54+H54</f>
        <v>0</v>
      </c>
      <c r="J54" s="18"/>
      <c r="K54" s="9">
        <f>April!K54+J54</f>
        <v>9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849</v>
      </c>
      <c r="E55" s="11"/>
      <c r="F55" s="11">
        <f>SUM(F5:F54)</f>
        <v>2094</v>
      </c>
      <c r="G55" s="11"/>
      <c r="H55" s="11">
        <f>SUM(H5:H54)</f>
        <v>0</v>
      </c>
      <c r="I55" s="11"/>
      <c r="J55" s="11">
        <f>SUM(J5:J54)</f>
        <v>411</v>
      </c>
      <c r="K55" s="11"/>
      <c r="L55" s="11">
        <f>SUM(L5:L54)</f>
        <v>0</v>
      </c>
      <c r="M55" s="11"/>
      <c r="N55" s="11">
        <f>SUM(N5:N54)</f>
        <v>36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62</v>
      </c>
      <c r="D57" s="11"/>
      <c r="E57" s="11">
        <f>April!E57+D55</f>
        <v>1966</v>
      </c>
      <c r="F57" s="11"/>
      <c r="G57" s="11">
        <f>April!G57+F55</f>
        <v>9618</v>
      </c>
      <c r="H57" s="11"/>
      <c r="I57" s="11">
        <f>April!I57+H55</f>
        <v>135</v>
      </c>
      <c r="J57" s="11"/>
      <c r="K57" s="11">
        <f>April!K57+J55</f>
        <v>2297</v>
      </c>
      <c r="L57" s="11"/>
      <c r="M57" s="11">
        <f>April!M57+L55</f>
        <v>0</v>
      </c>
      <c r="N57" s="11"/>
      <c r="O57" s="11">
        <f>April!O57+N55</f>
        <v>93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5" sqref="D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5+4+2</f>
        <v>11</v>
      </c>
      <c r="E7" s="9">
        <f>May!E7+D7</f>
        <v>73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16+10+11+8+10+9+8+5</f>
        <v>77</v>
      </c>
      <c r="E8" s="9">
        <f>May!E8+D8</f>
        <v>89</v>
      </c>
      <c r="F8" s="16"/>
      <c r="G8" s="9">
        <f>May!G8+F8</f>
        <v>2</v>
      </c>
      <c r="H8" s="17"/>
      <c r="I8" s="9">
        <f>May!I8+H8</f>
        <v>0</v>
      </c>
      <c r="J8" s="18"/>
      <c r="K8" s="9">
        <f>May!K8+J8</f>
        <v>3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4</f>
        <v>4</v>
      </c>
      <c r="E9" s="9">
        <f>May!E9+D9</f>
        <v>8</v>
      </c>
      <c r="F9" s="16">
        <f>1</f>
        <v>1</v>
      </c>
      <c r="G9" s="9">
        <f>May!G9+F9</f>
        <v>2</v>
      </c>
      <c r="H9" s="17"/>
      <c r="I9" s="9">
        <f>May!I9+H9</f>
        <v>0</v>
      </c>
      <c r="J9" s="18"/>
      <c r="K9" s="9">
        <f>May!K9+J9</f>
        <v>40</v>
      </c>
      <c r="L9" s="19"/>
      <c r="M9" s="9">
        <f>May!M9+L9</f>
        <v>0</v>
      </c>
      <c r="N9" s="19"/>
      <c r="O9" s="9">
        <f>May!O9+N9</f>
        <v>1</v>
      </c>
      <c r="P9" s="20" t="s">
        <v>80</v>
      </c>
    </row>
    <row r="10" spans="1:16" ht="18" customHeight="1">
      <c r="A10" s="9" t="s">
        <v>14</v>
      </c>
      <c r="B10" s="14"/>
      <c r="C10" s="9">
        <f>May!C10+B10</f>
        <v>0</v>
      </c>
      <c r="D10" s="15">
        <v>7</v>
      </c>
      <c r="E10" s="9">
        <f>May!E10+D10</f>
        <v>12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2+6+2+7+1+2+7</f>
        <v>27</v>
      </c>
      <c r="E11" s="9">
        <f>May!E11+D11</f>
        <v>50</v>
      </c>
      <c r="F11" s="16"/>
      <c r="G11" s="9">
        <f>May!G11+F11</f>
        <v>5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19"/>
      <c r="O11" s="9">
        <f>May!O11+N11</f>
        <v>0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57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0" t="s">
        <v>80</v>
      </c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2</f>
        <v>2</v>
      </c>
      <c r="E17" s="9">
        <f>May!E17+D17</f>
        <v>6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3</v>
      </c>
      <c r="P17" s="20"/>
    </row>
    <row r="18" spans="1:16" ht="18" customHeight="1">
      <c r="A18" s="9" t="s">
        <v>22</v>
      </c>
      <c r="B18" s="14"/>
      <c r="C18" s="9">
        <f>May!C18+B18</f>
        <v>3</v>
      </c>
      <c r="D18" s="15">
        <f>16+8+10+17+5</f>
        <v>56</v>
      </c>
      <c r="E18" s="9">
        <f>May!E18+D18</f>
        <v>173</v>
      </c>
      <c r="F18" s="16">
        <f>9</f>
        <v>9</v>
      </c>
      <c r="G18" s="9">
        <f>May!G18+F18</f>
        <v>56</v>
      </c>
      <c r="H18" s="17"/>
      <c r="I18" s="9">
        <f>May!I18+H18</f>
        <v>0</v>
      </c>
      <c r="J18" s="18">
        <f>9+3+9+6+5</f>
        <v>32</v>
      </c>
      <c r="K18" s="9">
        <f>May!K18+J18</f>
        <v>85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7</v>
      </c>
      <c r="D19" s="15">
        <f>5</f>
        <v>5</v>
      </c>
      <c r="E19" s="9">
        <f>May!E19+D19</f>
        <v>36</v>
      </c>
      <c r="F19" s="16"/>
      <c r="G19" s="9">
        <f>May!G19+F19</f>
        <v>7</v>
      </c>
      <c r="H19" s="17"/>
      <c r="I19" s="9">
        <f>May!I19+H19</f>
        <v>0</v>
      </c>
      <c r="J19" s="18">
        <f>9</f>
        <v>9</v>
      </c>
      <c r="K19" s="9">
        <f>May!K19+J19</f>
        <v>9</v>
      </c>
      <c r="L19" s="19"/>
      <c r="M19" s="9">
        <f>May!M19+L19</f>
        <v>0</v>
      </c>
      <c r="N19" s="19">
        <f>4</f>
        <v>4</v>
      </c>
      <c r="O19" s="9">
        <f>May!O19+N19</f>
        <v>23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5+1+5</f>
        <v>11</v>
      </c>
      <c r="E20" s="9">
        <f>May!E20+D20</f>
        <v>44</v>
      </c>
      <c r="F20" s="16">
        <f>8</f>
        <v>8</v>
      </c>
      <c r="G20" s="9">
        <f>May!G20+F20</f>
        <v>239</v>
      </c>
      <c r="H20" s="17"/>
      <c r="I20" s="9">
        <f>May!I20+H20</f>
        <v>0</v>
      </c>
      <c r="J20" s="18">
        <f>2</f>
        <v>2</v>
      </c>
      <c r="K20" s="9">
        <f>May!K20+J20</f>
        <v>2</v>
      </c>
      <c r="L20" s="19"/>
      <c r="M20" s="9">
        <f>May!M20+L20</f>
        <v>0</v>
      </c>
      <c r="N20" s="19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1+4+2+11</f>
        <v>18</v>
      </c>
      <c r="E21" s="9">
        <f>May!E21+D21</f>
        <v>79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>
        <f>6</f>
        <v>6</v>
      </c>
      <c r="O21" s="9">
        <f>May!O21+N21</f>
        <v>6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1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>
        <f>7</f>
        <v>7</v>
      </c>
      <c r="E24" s="9">
        <f>May!E24+D24</f>
        <v>7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1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>
        <f>2</f>
        <v>2</v>
      </c>
      <c r="E26" s="9">
        <f>May!E26+D26</f>
        <v>21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4+8+5</f>
        <v>17</v>
      </c>
      <c r="O26" s="9">
        <f>May!O26+N26</f>
        <v>18</v>
      </c>
      <c r="P26" s="20"/>
    </row>
    <row r="27" spans="1:16" ht="18" customHeight="1">
      <c r="A27" s="9" t="s">
        <v>31</v>
      </c>
      <c r="B27" s="14"/>
      <c r="C27" s="9">
        <f>May!C27+B27</f>
        <v>13</v>
      </c>
      <c r="D27" s="15">
        <f>15+13+24+25+6+54+28+8+11+7+3+16+18+26</f>
        <v>254</v>
      </c>
      <c r="E27" s="9">
        <f>May!E27+D27</f>
        <v>549</v>
      </c>
      <c r="F27" s="16">
        <f>12+72+83+42+83+80+4+8+20+14</f>
        <v>418</v>
      </c>
      <c r="G27" s="9">
        <f>May!G27+F27</f>
        <v>3867</v>
      </c>
      <c r="H27" s="17"/>
      <c r="I27" s="9">
        <f>May!I27+H27</f>
        <v>0</v>
      </c>
      <c r="J27" s="18">
        <f>19+10</f>
        <v>29</v>
      </c>
      <c r="K27" s="9">
        <f>May!K27+J27</f>
        <v>96</v>
      </c>
      <c r="L27" s="19"/>
      <c r="M27" s="9">
        <f>May!M27+L27</f>
        <v>0</v>
      </c>
      <c r="N27" s="19">
        <f>4+13</f>
        <v>17</v>
      </c>
      <c r="O27" s="9">
        <f>May!O27+N27</f>
        <v>20</v>
      </c>
      <c r="P27" s="20" t="s">
        <v>80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9</v>
      </c>
      <c r="D29" s="15">
        <f>3+2+2+1+1+2+4+1+2+7+3+2+2+6+2+1</f>
        <v>41</v>
      </c>
      <c r="E29" s="9">
        <f>May!E29+D29</f>
        <v>180</v>
      </c>
      <c r="F29" s="16">
        <f>11</f>
        <v>11</v>
      </c>
      <c r="G29" s="9">
        <f>May!G29+F29</f>
        <v>11</v>
      </c>
      <c r="H29" s="17"/>
      <c r="I29" s="9">
        <f>May!I29+H29</f>
        <v>0</v>
      </c>
      <c r="J29" s="18"/>
      <c r="K29" s="9">
        <f>May!K29+J29</f>
        <v>28</v>
      </c>
      <c r="L29" s="19"/>
      <c r="M29" s="9">
        <f>May!M29+L29</f>
        <v>0</v>
      </c>
      <c r="N29" s="19">
        <f>5+1</f>
        <v>6</v>
      </c>
      <c r="O29" s="9">
        <f>May!O29+N29</f>
        <v>15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1+3</f>
        <v>4</v>
      </c>
      <c r="E30" s="9">
        <f>May!E30+D30</f>
        <v>44</v>
      </c>
      <c r="F30" s="16">
        <f>142+227</f>
        <v>369</v>
      </c>
      <c r="G30" s="9">
        <f>May!G30+F30</f>
        <v>1215</v>
      </c>
      <c r="H30" s="17"/>
      <c r="I30" s="9">
        <f>May!I30+H30</f>
        <v>0</v>
      </c>
      <c r="J30" s="18"/>
      <c r="K30" s="9">
        <f>May!K30+J30</f>
        <v>335</v>
      </c>
      <c r="L30" s="19"/>
      <c r="M30" s="9">
        <f>May!M30+L30</f>
        <v>0</v>
      </c>
      <c r="N30" s="19"/>
      <c r="O30" s="9">
        <f>May!O30+N30</f>
        <v>0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12+1+3+4+2+8+16+1+49</f>
        <v>96</v>
      </c>
      <c r="E31" s="9">
        <f>May!E31+D31</f>
        <v>241</v>
      </c>
      <c r="F31" s="16">
        <f>12+20</f>
        <v>32</v>
      </c>
      <c r="G31" s="9">
        <f>May!G31+F31</f>
        <v>81</v>
      </c>
      <c r="H31" s="17"/>
      <c r="I31" s="9">
        <f>May!I31+H31</f>
        <v>135</v>
      </c>
      <c r="J31" s="18">
        <f>7</f>
        <v>7</v>
      </c>
      <c r="K31" s="9">
        <f>May!K31+J31</f>
        <v>16</v>
      </c>
      <c r="L31" s="19"/>
      <c r="M31" s="9">
        <f>May!M31+L31</f>
        <v>0</v>
      </c>
      <c r="N31" s="19"/>
      <c r="O31" s="9">
        <f>May!O31+N31</f>
        <v>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f>5</f>
        <v>5</v>
      </c>
      <c r="E32" s="9">
        <f>May!E32+D32</f>
        <v>5</v>
      </c>
      <c r="F32" s="16">
        <f>3</f>
        <v>3</v>
      </c>
      <c r="G32" s="9">
        <f>May!G32+F32</f>
        <v>3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3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10</v>
      </c>
      <c r="F35" s="16"/>
      <c r="G35" s="9">
        <f>May!G35+F35</f>
        <v>1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>
        <f>1</f>
        <v>1</v>
      </c>
      <c r="E36" s="9">
        <f>May!E36+D36</f>
        <v>5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6</f>
        <v>6</v>
      </c>
      <c r="O36" s="9">
        <f>May!O36+N36</f>
        <v>6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/>
      <c r="E37" s="9">
        <f>May!E37+D37</f>
        <v>10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8</f>
        <v>8</v>
      </c>
      <c r="E38" s="9">
        <f>May!E38+D38</f>
        <v>128</v>
      </c>
      <c r="F38" s="16"/>
      <c r="G38" s="9">
        <f>May!G38+F38</f>
        <v>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19</v>
      </c>
      <c r="D39" s="15"/>
      <c r="E39" s="9">
        <f>May!E39+D39</f>
        <v>7</v>
      </c>
      <c r="F39" s="16">
        <f>2+5+6+12+9+3</f>
        <v>37</v>
      </c>
      <c r="G39" s="9">
        <f>May!G39+F39</f>
        <v>41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3+4+3+10</f>
        <v>20</v>
      </c>
      <c r="O39" s="9">
        <f>May!O39+N39</f>
        <v>20</v>
      </c>
      <c r="P39" s="20"/>
    </row>
    <row r="40" spans="1:16" ht="18" customHeight="1">
      <c r="A40" s="9" t="s">
        <v>44</v>
      </c>
      <c r="B40" s="14"/>
      <c r="C40" s="9">
        <f>May!C40+B40</f>
        <v>3</v>
      </c>
      <c r="D40" s="15">
        <f>19+4+14</f>
        <v>37</v>
      </c>
      <c r="E40" s="9">
        <f>May!E40+D40</f>
        <v>144</v>
      </c>
      <c r="F40" s="16">
        <f>10+13</f>
        <v>23</v>
      </c>
      <c r="G40" s="9">
        <f>May!G40+F40</f>
        <v>30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>
        <f>6</f>
        <v>6</v>
      </c>
      <c r="O40" s="9">
        <f>May!O40+N40</f>
        <v>6</v>
      </c>
      <c r="P40" s="20"/>
    </row>
    <row r="41" spans="1:16" ht="18" customHeight="1">
      <c r="A41" s="9" t="s">
        <v>45</v>
      </c>
      <c r="B41" s="14"/>
      <c r="C41" s="9">
        <f>May!C41+B41</f>
        <v>1</v>
      </c>
      <c r="D41" s="15"/>
      <c r="E41" s="9">
        <f>May!E41+D41</f>
        <v>2</v>
      </c>
      <c r="F41" s="16">
        <f>9+1</f>
        <v>10</v>
      </c>
      <c r="G41" s="9">
        <f>May!G41+F41</f>
        <v>10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0</v>
      </c>
      <c r="P41" s="20" t="s">
        <v>80</v>
      </c>
    </row>
    <row r="42" spans="1:16" ht="18" customHeight="1">
      <c r="A42" s="9" t="s">
        <v>46</v>
      </c>
      <c r="B42" s="14"/>
      <c r="C42" s="9">
        <f>May!C42+B42</f>
        <v>2</v>
      </c>
      <c r="D42" s="15">
        <f>1</f>
        <v>1</v>
      </c>
      <c r="E42" s="9">
        <f>May!E42+D42</f>
        <v>9</v>
      </c>
      <c r="F42" s="16">
        <f>125</f>
        <v>125</v>
      </c>
      <c r="G42" s="9">
        <f>May!G42+F42</f>
        <v>125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>
        <f>9</f>
        <v>9</v>
      </c>
      <c r="E44" s="9">
        <f>May!E44+D44</f>
        <v>11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28</f>
        <v>28</v>
      </c>
      <c r="E45" s="9">
        <f>May!E45+D45</f>
        <v>47</v>
      </c>
      <c r="F45" s="16">
        <f>34+35+192+72+31+13+101+22+3+12+35+94+44+179+12+17+27+2+57+68+34+38+31+2+5+6</f>
        <v>1166</v>
      </c>
      <c r="G45" s="9">
        <f>May!G45+F45</f>
        <v>2681</v>
      </c>
      <c r="H45" s="17"/>
      <c r="I45" s="9">
        <f>May!I45+H45</f>
        <v>0</v>
      </c>
      <c r="J45" s="18">
        <f>29+15+2+69+8+17+12</f>
        <v>152</v>
      </c>
      <c r="K45" s="9">
        <f>May!K45+J45</f>
        <v>1793</v>
      </c>
      <c r="L45" s="19"/>
      <c r="M45" s="9">
        <f>May!M45+L45</f>
        <v>0</v>
      </c>
      <c r="N45" s="19"/>
      <c r="O45" s="9">
        <f>May!O45+N45</f>
        <v>0</v>
      </c>
      <c r="P45" s="20" t="s">
        <v>80</v>
      </c>
    </row>
    <row r="46" spans="1:16" ht="18" customHeight="1">
      <c r="A46" s="9" t="s">
        <v>50</v>
      </c>
      <c r="B46" s="14"/>
      <c r="C46" s="9">
        <f>May!C46+B46</f>
        <v>0</v>
      </c>
      <c r="D46" s="15"/>
      <c r="E46" s="9">
        <f>May!E46+D46</f>
        <v>6</v>
      </c>
      <c r="F46" s="16"/>
      <c r="G46" s="9">
        <f>May!G46+F46</f>
        <v>78</v>
      </c>
      <c r="H46" s="17"/>
      <c r="I46" s="9">
        <f>May!I46+H46</f>
        <v>0</v>
      </c>
      <c r="J46" s="18"/>
      <c r="K46" s="9">
        <f>May!K46+J46</f>
        <v>1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24+11+7</f>
        <v>42</v>
      </c>
      <c r="E47" s="9">
        <f>May!E47+D47</f>
        <v>114</v>
      </c>
      <c r="F47" s="16"/>
      <c r="G47" s="9">
        <f>May!G47+F47</f>
        <v>12</v>
      </c>
      <c r="H47" s="17"/>
      <c r="I47" s="9">
        <f>May!I47+H47</f>
        <v>0</v>
      </c>
      <c r="J47" s="18"/>
      <c r="K47" s="9">
        <f>May!K47+J47</f>
        <v>108</v>
      </c>
      <c r="L47" s="19"/>
      <c r="M47" s="9">
        <f>May!M47+L47</f>
        <v>0</v>
      </c>
      <c r="N47" s="19"/>
      <c r="O47" s="9">
        <f>May!O47+N47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May!C48+B48</f>
        <v>0</v>
      </c>
      <c r="D48" s="15"/>
      <c r="E48" s="9">
        <f>May!E48+D48</f>
        <v>4</v>
      </c>
      <c r="F48" s="16">
        <f>3</f>
        <v>3</v>
      </c>
      <c r="G48" s="9">
        <f>May!G48+F48</f>
        <v>3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3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6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>
        <f>10</f>
        <v>10</v>
      </c>
      <c r="O50" s="9">
        <f>May!O50+N50</f>
        <v>10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2</v>
      </c>
      <c r="F51" s="16"/>
      <c r="G51" s="9">
        <f>May!G51+F51</f>
        <v>1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2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5</v>
      </c>
      <c r="D53" s="15">
        <f>11+4+7+1+3+6+15+9+16+75</f>
        <v>147</v>
      </c>
      <c r="E53" s="9">
        <f>May!E53+D53</f>
        <v>685</v>
      </c>
      <c r="F53" s="16">
        <f>16+1</f>
        <v>17</v>
      </c>
      <c r="G53" s="9">
        <f>May!G53+F53</f>
        <v>99</v>
      </c>
      <c r="H53" s="17"/>
      <c r="I53" s="9">
        <f>May!I53+H53</f>
        <v>0</v>
      </c>
      <c r="J53" s="18"/>
      <c r="K53" s="9">
        <f>May!K53+J53</f>
        <v>2</v>
      </c>
      <c r="L53" s="19"/>
      <c r="M53" s="9">
        <f>May!M53+L53</f>
        <v>0</v>
      </c>
      <c r="N53" s="19">
        <f>9+15+7+11+11</f>
        <v>53</v>
      </c>
      <c r="O53" s="9">
        <f>May!O53+N53</f>
        <v>106</v>
      </c>
      <c r="P53" s="20" t="s">
        <v>80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1+2</f>
        <v>3</v>
      </c>
      <c r="E54" s="9">
        <f>May!E54+D54</f>
        <v>13</v>
      </c>
      <c r="F54" s="16"/>
      <c r="G54" s="9">
        <f>May!G54+F54</f>
        <v>90</v>
      </c>
      <c r="H54" s="17"/>
      <c r="I54" s="9">
        <f>May!I54+H54</f>
        <v>0</v>
      </c>
      <c r="J54" s="18"/>
      <c r="K54" s="9">
        <f>May!K54+J54</f>
        <v>9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925</v>
      </c>
      <c r="E55" s="11"/>
      <c r="F55" s="11">
        <f>SUM(F5:F54)</f>
        <v>2232</v>
      </c>
      <c r="G55" s="11"/>
      <c r="H55" s="11">
        <f>SUM(H5:H54)</f>
        <v>0</v>
      </c>
      <c r="I55" s="11"/>
      <c r="J55" s="11">
        <f>SUM(J5:J54)</f>
        <v>231</v>
      </c>
      <c r="K55" s="11"/>
      <c r="L55" s="11">
        <f>SUM(L5:L54)</f>
        <v>0</v>
      </c>
      <c r="M55" s="11"/>
      <c r="N55" s="11">
        <f>SUM(N5:N54)</f>
        <v>145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62</v>
      </c>
      <c r="D57" s="11"/>
      <c r="E57" s="11">
        <f>May!E57+D55</f>
        <v>2891</v>
      </c>
      <c r="F57" s="11"/>
      <c r="G57" s="11">
        <f>May!G57+F55</f>
        <v>11850</v>
      </c>
      <c r="H57" s="11"/>
      <c r="I57" s="11">
        <f>May!I57+H55</f>
        <v>135</v>
      </c>
      <c r="J57" s="11"/>
      <c r="K57" s="11">
        <f>May!K57+J55</f>
        <v>2528</v>
      </c>
      <c r="L57" s="11"/>
      <c r="M57" s="11">
        <f>May!M57+L55</f>
        <v>0</v>
      </c>
      <c r="N57" s="11"/>
      <c r="O57" s="11">
        <f>May!O57+N55</f>
        <v>238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183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183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9" sqref="D8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5</f>
        <v>5</v>
      </c>
      <c r="E7" s="9">
        <f>June!E7+D7</f>
        <v>78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1+11</f>
        <v>12</v>
      </c>
      <c r="E8" s="9">
        <f>June!E8+D8</f>
        <v>101</v>
      </c>
      <c r="F8" s="16"/>
      <c r="G8" s="9">
        <f>June!G8+F8</f>
        <v>2</v>
      </c>
      <c r="H8" s="17"/>
      <c r="I8" s="9">
        <f>June!I8+H8</f>
        <v>0</v>
      </c>
      <c r="J8" s="18"/>
      <c r="K8" s="9">
        <f>June!K8+J8</f>
        <v>3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/>
      <c r="E9" s="9">
        <f>June!E9+D9</f>
        <v>8</v>
      </c>
      <c r="F9" s="16">
        <f>9</f>
        <v>9</v>
      </c>
      <c r="G9" s="9">
        <f>June!G9+F9</f>
        <v>11</v>
      </c>
      <c r="H9" s="17"/>
      <c r="I9" s="9">
        <f>June!I9+H9</f>
        <v>0</v>
      </c>
      <c r="J9" s="18"/>
      <c r="K9" s="9">
        <f>June!K9+J9</f>
        <v>40</v>
      </c>
      <c r="L9" s="19"/>
      <c r="M9" s="9">
        <f>June!M9+L9</f>
        <v>0</v>
      </c>
      <c r="N9" s="19"/>
      <c r="O9" s="9">
        <f>June!O9+N9</f>
        <v>1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4</v>
      </c>
      <c r="E10" s="9">
        <f>June!E10+D10</f>
        <v>16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9+2</f>
        <v>11</v>
      </c>
      <c r="E11" s="9">
        <f>June!E11+D11</f>
        <v>61</v>
      </c>
      <c r="F11" s="16">
        <f>1</f>
        <v>1</v>
      </c>
      <c r="G11" s="9">
        <f>June!G11+F11</f>
        <v>6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19">
        <f>4</f>
        <v>4</v>
      </c>
      <c r="O11" s="9">
        <f>June!O11+N11</f>
        <v>4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5+1</f>
        <v>6</v>
      </c>
      <c r="E14" s="9">
        <f>June!E14+D14</f>
        <v>63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/>
    </row>
    <row r="15" spans="1:16" ht="18" customHeight="1">
      <c r="A15" s="9" t="s">
        <v>19</v>
      </c>
      <c r="B15" s="14"/>
      <c r="C15" s="9">
        <f>June!C15+B15</f>
        <v>0</v>
      </c>
      <c r="D15" s="15">
        <f>4</f>
        <v>4</v>
      </c>
      <c r="E15" s="9">
        <f>June!E15+D15</f>
        <v>7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1</f>
        <v>1</v>
      </c>
      <c r="E17" s="9">
        <f>June!E17+D17</f>
        <v>7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3</v>
      </c>
      <c r="P17" s="20"/>
    </row>
    <row r="18" spans="1:16" ht="18" customHeight="1">
      <c r="A18" s="9" t="s">
        <v>22</v>
      </c>
      <c r="B18" s="14"/>
      <c r="C18" s="9">
        <f>June!C18+B18</f>
        <v>3</v>
      </c>
      <c r="D18" s="15">
        <f>2+2+2+3+5+3+2+5+3+1+7+5+3+33+3+4+7+2</f>
        <v>92</v>
      </c>
      <c r="E18" s="9">
        <f>June!E18+D18</f>
        <v>265</v>
      </c>
      <c r="F18" s="16">
        <f>4+5+2+5+4+10+17+2+58+10+26</f>
        <v>143</v>
      </c>
      <c r="G18" s="9">
        <f>June!G18+F18</f>
        <v>199</v>
      </c>
      <c r="H18" s="17"/>
      <c r="I18" s="9">
        <f>June!I18+H18</f>
        <v>0</v>
      </c>
      <c r="J18" s="18">
        <f>8+53+3</f>
        <v>64</v>
      </c>
      <c r="K18" s="9">
        <f>June!K18+J18</f>
        <v>149</v>
      </c>
      <c r="L18" s="19"/>
      <c r="M18" s="9">
        <f>June!M18+L18</f>
        <v>0</v>
      </c>
      <c r="N18" s="19">
        <f>1</f>
        <v>1</v>
      </c>
      <c r="O18" s="9">
        <f>June!O18+N18</f>
        <v>1</v>
      </c>
      <c r="P18" s="20"/>
    </row>
    <row r="19" spans="1:16" ht="18" customHeight="1">
      <c r="A19" s="9" t="s">
        <v>23</v>
      </c>
      <c r="B19" s="14"/>
      <c r="C19" s="9">
        <f>June!C19+B19</f>
        <v>7</v>
      </c>
      <c r="D19" s="15">
        <f>3+5</f>
        <v>8</v>
      </c>
      <c r="E19" s="9">
        <f>June!E19+D19</f>
        <v>44</v>
      </c>
      <c r="F19" s="16">
        <f>13+11+21+12+11+5+23+5+13+10+6+12+9+17+4+25</f>
        <v>197</v>
      </c>
      <c r="G19" s="9">
        <f>June!G19+F19</f>
        <v>204</v>
      </c>
      <c r="H19" s="17"/>
      <c r="I19" s="9">
        <f>June!I19+H19</f>
        <v>0</v>
      </c>
      <c r="J19" s="18"/>
      <c r="K19" s="9">
        <f>June!K19+J19</f>
        <v>9</v>
      </c>
      <c r="L19" s="19"/>
      <c r="M19" s="9">
        <f>June!M19+L19</f>
        <v>0</v>
      </c>
      <c r="N19" s="19">
        <f>6</f>
        <v>6</v>
      </c>
      <c r="O19" s="9">
        <f>June!O19+N19</f>
        <v>29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>
        <f>3+2+6+3+3+4+6+1+2+3</f>
        <v>33</v>
      </c>
      <c r="E20" s="9">
        <f>June!E20+D20</f>
        <v>77</v>
      </c>
      <c r="F20" s="16">
        <f>9+11+7+24+18+13</f>
        <v>82</v>
      </c>
      <c r="G20" s="9">
        <f>June!G20+F20</f>
        <v>321</v>
      </c>
      <c r="H20" s="17"/>
      <c r="I20" s="9">
        <f>June!I20+H20</f>
        <v>0</v>
      </c>
      <c r="J20" s="18"/>
      <c r="K20" s="9">
        <f>June!K20+J20</f>
        <v>2</v>
      </c>
      <c r="L20" s="19"/>
      <c r="M20" s="9">
        <f>June!M20+L20</f>
        <v>0</v>
      </c>
      <c r="N20" s="19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1+2+2+3+3</f>
        <v>11</v>
      </c>
      <c r="E21" s="9">
        <f>June!E21+D21</f>
        <v>90</v>
      </c>
      <c r="F21" s="16">
        <f>9+8</f>
        <v>17</v>
      </c>
      <c r="G21" s="9">
        <f>June!G21+F21</f>
        <v>17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6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1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7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1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>
        <f>2</f>
        <v>2</v>
      </c>
      <c r="G25" s="9">
        <f>June!G25+F25</f>
        <v>2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>
        <f>3+1+2</f>
        <v>6</v>
      </c>
      <c r="E26" s="9">
        <f>June!E26+D26</f>
        <v>27</v>
      </c>
      <c r="F26" s="16">
        <f>6</f>
        <v>6</v>
      </c>
      <c r="G26" s="9">
        <f>June!G26+F26</f>
        <v>6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18</v>
      </c>
      <c r="P26" s="20"/>
    </row>
    <row r="27" spans="1:16" ht="18" customHeight="1">
      <c r="A27" s="9" t="s">
        <v>31</v>
      </c>
      <c r="B27" s="14"/>
      <c r="C27" s="9">
        <f>June!C27+B27</f>
        <v>13</v>
      </c>
      <c r="D27" s="15">
        <f>20+23+13+8+12+3+19+1+9</f>
        <v>108</v>
      </c>
      <c r="E27" s="9">
        <f>June!E27+D27</f>
        <v>657</v>
      </c>
      <c r="F27" s="16">
        <f>47+237+8+88+34+28+5+7+16+4+4+8+15+5+2+367+35</f>
        <v>910</v>
      </c>
      <c r="G27" s="9">
        <f>June!G27+F27</f>
        <v>4777</v>
      </c>
      <c r="H27" s="17"/>
      <c r="I27" s="9">
        <f>June!I27+H27</f>
        <v>0</v>
      </c>
      <c r="J27" s="18">
        <f>6+23+5+9</f>
        <v>43</v>
      </c>
      <c r="K27" s="9">
        <f>June!K27+J27</f>
        <v>139</v>
      </c>
      <c r="L27" s="19"/>
      <c r="M27" s="9">
        <f>June!M27+L27</f>
        <v>0</v>
      </c>
      <c r="N27" s="19">
        <f>10</f>
        <v>10</v>
      </c>
      <c r="O27" s="9">
        <f>June!O27+N27</f>
        <v>30</v>
      </c>
      <c r="P27" s="20" t="s">
        <v>80</v>
      </c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9</v>
      </c>
      <c r="D29" s="15">
        <f>3+1+1+2+3+1+4+3+2+1+4+10</f>
        <v>35</v>
      </c>
      <c r="E29" s="9">
        <f>June!E29+D29</f>
        <v>215</v>
      </c>
      <c r="F29" s="16">
        <f>1+8+2+1+6+4</f>
        <v>22</v>
      </c>
      <c r="G29" s="9">
        <f>June!G29+F29</f>
        <v>33</v>
      </c>
      <c r="H29" s="17"/>
      <c r="I29" s="9">
        <f>June!I29+H29</f>
        <v>0</v>
      </c>
      <c r="J29" s="18"/>
      <c r="K29" s="9">
        <f>June!K29+J29</f>
        <v>28</v>
      </c>
      <c r="L29" s="19"/>
      <c r="M29" s="9">
        <f>June!M29+L29</f>
        <v>0</v>
      </c>
      <c r="N29" s="19"/>
      <c r="O29" s="9">
        <f>June!O29+N29</f>
        <v>15</v>
      </c>
      <c r="P29" s="20" t="s">
        <v>80</v>
      </c>
    </row>
    <row r="30" spans="1:16" ht="18" customHeight="1">
      <c r="A30" s="9" t="s">
        <v>34</v>
      </c>
      <c r="B30" s="14"/>
      <c r="C30" s="9">
        <f>June!C30+B30</f>
        <v>0</v>
      </c>
      <c r="D30" s="15">
        <f>3+6+3</f>
        <v>12</v>
      </c>
      <c r="E30" s="9">
        <f>June!E30+D30</f>
        <v>56</v>
      </c>
      <c r="F30" s="16">
        <f>195+6</f>
        <v>201</v>
      </c>
      <c r="G30" s="9">
        <f>June!G30+F30</f>
        <v>1416</v>
      </c>
      <c r="H30" s="17"/>
      <c r="I30" s="9">
        <f>June!I30+H30</f>
        <v>0</v>
      </c>
      <c r="J30" s="18"/>
      <c r="K30" s="9">
        <f>June!K30+J30</f>
        <v>335</v>
      </c>
      <c r="L30" s="19"/>
      <c r="M30" s="9">
        <f>June!M30+L30</f>
        <v>0</v>
      </c>
      <c r="N30" s="19"/>
      <c r="O30" s="9">
        <f>June!O30+N30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June!C31+B31</f>
        <v>0</v>
      </c>
      <c r="D31" s="15">
        <f>11+3+7+6+3+4+16+5+7+1+4+27</f>
        <v>94</v>
      </c>
      <c r="E31" s="9">
        <f>June!E31+D31</f>
        <v>335</v>
      </c>
      <c r="F31" s="16">
        <f>11+41+2+25+11+12+10+11+1+7</f>
        <v>131</v>
      </c>
      <c r="G31" s="9">
        <f>June!G31+F31</f>
        <v>212</v>
      </c>
      <c r="H31" s="17"/>
      <c r="I31" s="9">
        <f>June!I31+H31</f>
        <v>135</v>
      </c>
      <c r="J31" s="18">
        <f>6+2</f>
        <v>8</v>
      </c>
      <c r="K31" s="9">
        <f>June!K31+J31</f>
        <v>24</v>
      </c>
      <c r="L31" s="19"/>
      <c r="M31" s="9">
        <f>June!M31+L31</f>
        <v>0</v>
      </c>
      <c r="N31" s="19"/>
      <c r="O31" s="9">
        <f>June!O31+N31</f>
        <v>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5</v>
      </c>
      <c r="F32" s="16">
        <f>1</f>
        <v>1</v>
      </c>
      <c r="G32" s="9">
        <f>June!G32+F32</f>
        <v>4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3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>
        <f>1+1</f>
        <v>2</v>
      </c>
      <c r="E34" s="9">
        <f>June!E34+D34</f>
        <v>2</v>
      </c>
      <c r="F34" s="16">
        <f>11</f>
        <v>11</v>
      </c>
      <c r="G34" s="9">
        <f>June!G34+F34</f>
        <v>11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11+7+11</f>
        <v>29</v>
      </c>
      <c r="E35" s="9">
        <f>June!E35+D35</f>
        <v>39</v>
      </c>
      <c r="F35" s="16"/>
      <c r="G35" s="9">
        <f>June!G35+F35</f>
        <v>1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5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6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10</v>
      </c>
      <c r="F37" s="16"/>
      <c r="G37" s="9">
        <f>June!G37+F37</f>
        <v>0</v>
      </c>
      <c r="H37" s="17"/>
      <c r="I37" s="9">
        <f>June!I37+H37</f>
        <v>0</v>
      </c>
      <c r="J37" s="18">
        <f>1</f>
        <v>1</v>
      </c>
      <c r="K37" s="9">
        <f>June!K37+J37</f>
        <v>1</v>
      </c>
      <c r="L37" s="19"/>
      <c r="M37" s="9">
        <f>June!M37+L37</f>
        <v>0</v>
      </c>
      <c r="N37" s="19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4+1+4+9+1</f>
        <v>19</v>
      </c>
      <c r="E38" s="9">
        <f>June!E38+D38</f>
        <v>147</v>
      </c>
      <c r="F38" s="16">
        <f>56</f>
        <v>56</v>
      </c>
      <c r="G38" s="9">
        <f>June!G38+F38</f>
        <v>60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19</v>
      </c>
      <c r="D39" s="15">
        <f>1</f>
        <v>1</v>
      </c>
      <c r="E39" s="9">
        <f>June!E39+D39</f>
        <v>8</v>
      </c>
      <c r="F39" s="16">
        <f>11+8+9+7+4+2+1</f>
        <v>42</v>
      </c>
      <c r="G39" s="9">
        <f>June!G39+F39</f>
        <v>83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20</v>
      </c>
      <c r="P39" s="20"/>
    </row>
    <row r="40" spans="1:16" ht="18" customHeight="1">
      <c r="A40" s="9" t="s">
        <v>44</v>
      </c>
      <c r="B40" s="14"/>
      <c r="C40" s="9">
        <f>June!C40+B40</f>
        <v>3</v>
      </c>
      <c r="D40" s="15">
        <f>6+7+1+2+2+3+2</f>
        <v>23</v>
      </c>
      <c r="E40" s="9">
        <f>June!E40+D40</f>
        <v>167</v>
      </c>
      <c r="F40" s="16">
        <f>4+1+10+23+12+14+6+14+7</f>
        <v>91</v>
      </c>
      <c r="G40" s="9">
        <f>June!G40+F40</f>
        <v>121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6</v>
      </c>
      <c r="P40" s="20"/>
    </row>
    <row r="41" spans="1:16" ht="18" customHeight="1">
      <c r="A41" s="9" t="s">
        <v>45</v>
      </c>
      <c r="B41" s="14"/>
      <c r="C41" s="9">
        <f>June!C41+B41</f>
        <v>1</v>
      </c>
      <c r="D41" s="15"/>
      <c r="E41" s="9">
        <f>June!E41+D41</f>
        <v>2</v>
      </c>
      <c r="F41" s="16">
        <f>3+1+3+5+4+4+5+2</f>
        <v>27</v>
      </c>
      <c r="G41" s="9">
        <f>June!G41+F41</f>
        <v>37</v>
      </c>
      <c r="H41" s="17"/>
      <c r="I41" s="9">
        <f>June!I41+H41</f>
        <v>0</v>
      </c>
      <c r="J41" s="18">
        <f>1</f>
        <v>1</v>
      </c>
      <c r="K41" s="9">
        <f>June!K41+J41</f>
        <v>1</v>
      </c>
      <c r="L41" s="19"/>
      <c r="M41" s="9">
        <f>June!M41+L41</f>
        <v>0</v>
      </c>
      <c r="N41" s="19"/>
      <c r="O41" s="9">
        <f>June!O41+N41</f>
        <v>0</v>
      </c>
      <c r="P41" s="20"/>
    </row>
    <row r="42" spans="1:16" ht="18" customHeight="1">
      <c r="A42" s="9" t="s">
        <v>46</v>
      </c>
      <c r="B42" s="14"/>
      <c r="C42" s="9">
        <f>June!C42+B42</f>
        <v>2</v>
      </c>
      <c r="D42" s="15">
        <f>1+13</f>
        <v>14</v>
      </c>
      <c r="E42" s="9">
        <f>June!E42+D42</f>
        <v>23</v>
      </c>
      <c r="F42" s="16">
        <f>3+1</f>
        <v>4</v>
      </c>
      <c r="G42" s="9">
        <f>June!G42+F42</f>
        <v>129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/>
      <c r="E44" s="9">
        <f>June!E44+D44</f>
        <v>11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1+1+12+7+11</f>
        <v>32</v>
      </c>
      <c r="E45" s="9">
        <f>June!E45+D45</f>
        <v>79</v>
      </c>
      <c r="F45" s="16">
        <f>22+60+146+12+15+12+5+12+6+81+3+6+4+25+378+60+22+36+56+86+49+23+3+25+46+40+6+14+24+25</f>
        <v>1302</v>
      </c>
      <c r="G45" s="9">
        <f>June!G45+F45</f>
        <v>3983</v>
      </c>
      <c r="H45" s="17"/>
      <c r="I45" s="9">
        <f>June!I45+H45</f>
        <v>0</v>
      </c>
      <c r="J45" s="18">
        <f>8+15+23+15+90+25+26</f>
        <v>202</v>
      </c>
      <c r="K45" s="9">
        <f>June!K45+J45</f>
        <v>1995</v>
      </c>
      <c r="L45" s="19"/>
      <c r="M45" s="9">
        <f>June!M45+L45</f>
        <v>0</v>
      </c>
      <c r="N45" s="19">
        <f>1</f>
        <v>1</v>
      </c>
      <c r="O45" s="9">
        <f>June!O45+N45</f>
        <v>1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1</f>
        <v>1</v>
      </c>
      <c r="E46" s="9">
        <f>June!E46+D46</f>
        <v>7</v>
      </c>
      <c r="F46" s="16">
        <f>12+7</f>
        <v>19</v>
      </c>
      <c r="G46" s="9">
        <f>June!G46+F46</f>
        <v>97</v>
      </c>
      <c r="H46" s="17"/>
      <c r="I46" s="9">
        <f>June!I46+H46</f>
        <v>0</v>
      </c>
      <c r="J46" s="18"/>
      <c r="K46" s="9">
        <f>June!K46+J46</f>
        <v>1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16+15</f>
        <v>31</v>
      </c>
      <c r="E47" s="9">
        <f>June!E47+D47</f>
        <v>145</v>
      </c>
      <c r="F47" s="16">
        <f>4+2</f>
        <v>6</v>
      </c>
      <c r="G47" s="9">
        <f>June!G47+F47</f>
        <v>18</v>
      </c>
      <c r="H47" s="17"/>
      <c r="I47" s="9">
        <f>June!I47+H47</f>
        <v>0</v>
      </c>
      <c r="J47" s="18"/>
      <c r="K47" s="9">
        <f>June!K47+J47</f>
        <v>108</v>
      </c>
      <c r="L47" s="19"/>
      <c r="M47" s="9">
        <f>June!M47+L47</f>
        <v>0</v>
      </c>
      <c r="N47" s="19"/>
      <c r="O47" s="9">
        <f>June!O47+N47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June!C48+B48</f>
        <v>0</v>
      </c>
      <c r="D48" s="15">
        <f>1</f>
        <v>1</v>
      </c>
      <c r="E48" s="9">
        <f>June!E48+D48</f>
        <v>5</v>
      </c>
      <c r="F48" s="16"/>
      <c r="G48" s="9">
        <f>June!G48+F48</f>
        <v>3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3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6</v>
      </c>
      <c r="F50" s="16">
        <f>3+26</f>
        <v>29</v>
      </c>
      <c r="G50" s="9">
        <f>June!G50+F50</f>
        <v>29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10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</f>
        <v>1</v>
      </c>
      <c r="E51" s="9">
        <f>June!E51+D51</f>
        <v>3</v>
      </c>
      <c r="F51" s="16"/>
      <c r="G51" s="9">
        <f>June!G51+F51</f>
        <v>1</v>
      </c>
      <c r="H51" s="17"/>
      <c r="I51" s="9">
        <f>June!I51+H51</f>
        <v>0</v>
      </c>
      <c r="J51" s="18"/>
      <c r="K51" s="9">
        <f>June!K51+J51</f>
        <v>1</v>
      </c>
      <c r="L51" s="19"/>
      <c r="M51" s="9">
        <f>June!M51+L51</f>
        <v>0</v>
      </c>
      <c r="N51" s="19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2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5</v>
      </c>
      <c r="D53" s="15">
        <f>3+2+2+1+1+1+1+1+3+1+10+5+4+3+7+6+7+7+2+31</f>
        <v>98</v>
      </c>
      <c r="E53" s="9">
        <f>June!E53+D53</f>
        <v>783</v>
      </c>
      <c r="F53" s="16">
        <f>8+13+8+11+18+9+11+2+5+2+6+4+6+9+7+1+20+7+20+12+43</f>
        <v>222</v>
      </c>
      <c r="G53" s="9">
        <f>June!G53+F53</f>
        <v>321</v>
      </c>
      <c r="H53" s="17"/>
      <c r="I53" s="9">
        <f>June!I53+H53</f>
        <v>0</v>
      </c>
      <c r="J53" s="18">
        <f>9+10+18</f>
        <v>37</v>
      </c>
      <c r="K53" s="9">
        <f>June!K53+J53</f>
        <v>39</v>
      </c>
      <c r="L53" s="19"/>
      <c r="M53" s="9">
        <f>June!M53+L53</f>
        <v>0</v>
      </c>
      <c r="N53" s="19">
        <f>4</f>
        <v>4</v>
      </c>
      <c r="O53" s="9">
        <f>June!O53+N53</f>
        <v>110</v>
      </c>
      <c r="P53" s="20"/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2+4+2+1+3+5+3+2</f>
        <v>22</v>
      </c>
      <c r="E54" s="9">
        <f>June!E54+D54</f>
        <v>35</v>
      </c>
      <c r="F54" s="16"/>
      <c r="G54" s="9">
        <f>June!G54+F54</f>
        <v>90</v>
      </c>
      <c r="H54" s="17"/>
      <c r="I54" s="9">
        <f>June!I54+H54</f>
        <v>0</v>
      </c>
      <c r="J54" s="18"/>
      <c r="K54" s="9">
        <f>June!K54+J54</f>
        <v>9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716</v>
      </c>
      <c r="E55" s="11"/>
      <c r="F55" s="11">
        <f>SUM(F5:F54)</f>
        <v>3531</v>
      </c>
      <c r="G55" s="11"/>
      <c r="H55" s="11">
        <f>SUM(H5:H54)</f>
        <v>0</v>
      </c>
      <c r="I55" s="11"/>
      <c r="J55" s="11">
        <f>SUM(J5:J54)</f>
        <v>356</v>
      </c>
      <c r="K55" s="11"/>
      <c r="L55" s="11">
        <f>SUM(L5:L54)</f>
        <v>0</v>
      </c>
      <c r="M55" s="11"/>
      <c r="N55" s="11">
        <f>SUM(N5:N54)</f>
        <v>26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62</v>
      </c>
      <c r="D57" s="11"/>
      <c r="E57" s="11">
        <f>June!E57+D55</f>
        <v>3607</v>
      </c>
      <c r="F57" s="11"/>
      <c r="G57" s="11">
        <f>June!G57+F55</f>
        <v>15381</v>
      </c>
      <c r="H57" s="11"/>
      <c r="I57" s="11">
        <f>June!I57+H55</f>
        <v>135</v>
      </c>
      <c r="J57" s="11"/>
      <c r="K57" s="11">
        <f>June!K57+J55</f>
        <v>2884</v>
      </c>
      <c r="L57" s="11"/>
      <c r="M57" s="11">
        <f>June!M57+L55</f>
        <v>0</v>
      </c>
      <c r="N57" s="11"/>
      <c r="O57" s="11">
        <f>June!O57+N55</f>
        <v>264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183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4" zoomScaleNormal="64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7" sqref="J7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>
        <f>3+1</f>
        <v>4</v>
      </c>
      <c r="E7" s="9">
        <f>July!E7+D7</f>
        <v>82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>
        <f>3</f>
        <v>3</v>
      </c>
      <c r="E8" s="9">
        <f>July!E8+D8</f>
        <v>104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3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>
        <f>3+3</f>
        <v>6</v>
      </c>
      <c r="E9" s="9">
        <f>July!E9+D9</f>
        <v>14</v>
      </c>
      <c r="F9" s="16">
        <f>4</f>
        <v>4</v>
      </c>
      <c r="G9" s="9">
        <f>July!G9+F9</f>
        <v>15</v>
      </c>
      <c r="H9" s="17"/>
      <c r="I9" s="9">
        <f>July!I9+H9</f>
        <v>0</v>
      </c>
      <c r="J9" s="18"/>
      <c r="K9" s="9">
        <f>July!K9+J9</f>
        <v>40</v>
      </c>
      <c r="L9" s="19"/>
      <c r="M9" s="9">
        <f>July!M9+L9</f>
        <v>0</v>
      </c>
      <c r="N9" s="19"/>
      <c r="O9" s="9">
        <f>July!O9+N9</f>
        <v>1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>
        <f>1</f>
        <v>1</v>
      </c>
      <c r="E10" s="9">
        <f>July!E10+D10</f>
        <v>17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 t="s">
        <v>81</v>
      </c>
    </row>
    <row r="11" spans="1:16" ht="18" customHeight="1">
      <c r="A11" s="9" t="s">
        <v>15</v>
      </c>
      <c r="B11" s="14"/>
      <c r="C11" s="9">
        <f>July!C11+B11</f>
        <v>0</v>
      </c>
      <c r="D11" s="15">
        <f>3+8+2+3+8+8+7+3+5+2+1+1</f>
        <v>51</v>
      </c>
      <c r="E11" s="9">
        <f>July!E11+D11</f>
        <v>112</v>
      </c>
      <c r="F11" s="16">
        <f>4+280</f>
        <v>284</v>
      </c>
      <c r="G11" s="9">
        <f>July!G11+F11</f>
        <v>290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19"/>
      <c r="O11" s="9">
        <f>July!O11+N11</f>
        <v>4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63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 t="s">
        <v>81</v>
      </c>
    </row>
    <row r="15" spans="1:16" ht="18" customHeight="1">
      <c r="A15" s="9" t="s">
        <v>19</v>
      </c>
      <c r="B15" s="14"/>
      <c r="C15" s="9">
        <f>July!C15+B15</f>
        <v>0</v>
      </c>
      <c r="D15" s="15">
        <f>1</f>
        <v>1</v>
      </c>
      <c r="E15" s="9">
        <f>July!E15+D15</f>
        <v>8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7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>
        <f>3</f>
        <v>3</v>
      </c>
      <c r="O17" s="9">
        <f>July!O17+N17</f>
        <v>6</v>
      </c>
      <c r="P17" s="20"/>
    </row>
    <row r="18" spans="1:16" ht="18" customHeight="1">
      <c r="A18" s="9" t="s">
        <v>22</v>
      </c>
      <c r="B18" s="14"/>
      <c r="C18" s="9">
        <f>July!C18+B18</f>
        <v>3</v>
      </c>
      <c r="D18" s="15">
        <f>1+1+9+3+11+8+1+16</f>
        <v>50</v>
      </c>
      <c r="E18" s="9">
        <f>July!E18+D18</f>
        <v>315</v>
      </c>
      <c r="F18" s="16">
        <f>4+2+2+14+8+10+24+19+2+7+10</f>
        <v>102</v>
      </c>
      <c r="G18" s="9">
        <f>July!G18+F18</f>
        <v>301</v>
      </c>
      <c r="H18" s="17"/>
      <c r="I18" s="9">
        <f>July!I18+H18</f>
        <v>0</v>
      </c>
      <c r="J18" s="18">
        <f>23+4+6+10+22+25</f>
        <v>90</v>
      </c>
      <c r="K18" s="9">
        <f>July!K18+J18</f>
        <v>239</v>
      </c>
      <c r="L18" s="19"/>
      <c r="M18" s="9">
        <f>July!M18+L18</f>
        <v>0</v>
      </c>
      <c r="N18" s="19">
        <f>1</f>
        <v>1</v>
      </c>
      <c r="O18" s="9">
        <f>July!O18+N18</f>
        <v>2</v>
      </c>
      <c r="P18" s="20" t="s">
        <v>81</v>
      </c>
    </row>
    <row r="19" spans="1:16" ht="18" customHeight="1">
      <c r="A19" s="9" t="s">
        <v>23</v>
      </c>
      <c r="B19" s="14"/>
      <c r="C19" s="9">
        <f>July!C19+B19</f>
        <v>7</v>
      </c>
      <c r="D19" s="15">
        <f>3+5+4+8+2+9</f>
        <v>31</v>
      </c>
      <c r="E19" s="9">
        <f>July!E19+D19</f>
        <v>75</v>
      </c>
      <c r="F19" s="16">
        <f>2+12</f>
        <v>14</v>
      </c>
      <c r="G19" s="9">
        <f>July!G19+F19</f>
        <v>218</v>
      </c>
      <c r="H19" s="17"/>
      <c r="I19" s="9">
        <f>July!I19+H19</f>
        <v>0</v>
      </c>
      <c r="J19" s="18"/>
      <c r="K19" s="9">
        <f>July!K19+J19</f>
        <v>9</v>
      </c>
      <c r="L19" s="19"/>
      <c r="M19" s="9">
        <f>July!M19+L19</f>
        <v>0</v>
      </c>
      <c r="N19" s="19">
        <f>12</f>
        <v>12</v>
      </c>
      <c r="O19" s="9">
        <f>July!O19+N19</f>
        <v>41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1+3+1+5+1+1</f>
        <v>12</v>
      </c>
      <c r="E20" s="9">
        <f>July!E20+D20</f>
        <v>89</v>
      </c>
      <c r="F20" s="16"/>
      <c r="G20" s="9">
        <f>July!G20+F20</f>
        <v>321</v>
      </c>
      <c r="H20" s="17"/>
      <c r="I20" s="9">
        <f>July!I20+H20</f>
        <v>0</v>
      </c>
      <c r="J20" s="18"/>
      <c r="K20" s="9">
        <f>July!K20+J20</f>
        <v>2</v>
      </c>
      <c r="L20" s="19"/>
      <c r="M20" s="9">
        <f>July!M20+L20</f>
        <v>0</v>
      </c>
      <c r="N20" s="19"/>
      <c r="O20" s="9">
        <f>July!O20+N20</f>
        <v>0</v>
      </c>
      <c r="P20" s="20"/>
    </row>
    <row r="21" spans="1:16" ht="18" customHeight="1">
      <c r="A21" s="9" t="s">
        <v>25</v>
      </c>
      <c r="B21" s="14"/>
      <c r="C21" s="9">
        <f>July!C21+B21</f>
        <v>0</v>
      </c>
      <c r="D21" s="15">
        <f>2+1+1+2+1+1</f>
        <v>8</v>
      </c>
      <c r="E21" s="9">
        <f>July!E21+D21</f>
        <v>98</v>
      </c>
      <c r="F21" s="16"/>
      <c r="G21" s="9">
        <f>July!G21+F21</f>
        <v>17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6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1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7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1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2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0</v>
      </c>
      <c r="D26" s="15">
        <f>1+9+10+8</f>
        <v>28</v>
      </c>
      <c r="E26" s="9">
        <f>July!E26+D26</f>
        <v>55</v>
      </c>
      <c r="F26" s="16">
        <f>1+1+1+1+1+1+1+1+5+1+3+10</f>
        <v>27</v>
      </c>
      <c r="G26" s="9">
        <f>July!G26+F26</f>
        <v>33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>
        <f>7</f>
        <v>7</v>
      </c>
      <c r="O26" s="9">
        <f>July!O26+N26</f>
        <v>25</v>
      </c>
      <c r="P26" s="20"/>
    </row>
    <row r="27" spans="1:16" ht="18" customHeight="1">
      <c r="A27" s="9" t="s">
        <v>31</v>
      </c>
      <c r="B27" s="14">
        <f>1</f>
        <v>1</v>
      </c>
      <c r="C27" s="9">
        <f>July!C27+B27</f>
        <v>14</v>
      </c>
      <c r="D27" s="15">
        <f>13+6+5+12+3+6+2+2+2+3+2+5+7+17+12+3+8+3+30</f>
        <v>141</v>
      </c>
      <c r="E27" s="9">
        <f>July!E27+D27</f>
        <v>798</v>
      </c>
      <c r="F27" s="16">
        <f>28+2+15+10+512+10+13+73+50+5+2+16+13+10</f>
        <v>759</v>
      </c>
      <c r="G27" s="9">
        <f>July!G27+F27</f>
        <v>5536</v>
      </c>
      <c r="H27" s="17"/>
      <c r="I27" s="9">
        <f>July!I27+H27</f>
        <v>0</v>
      </c>
      <c r="J27" s="18">
        <f>10+4+3+23+7+11+7+6</f>
        <v>71</v>
      </c>
      <c r="K27" s="9">
        <f>July!K27+J27</f>
        <v>210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2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>
        <f>3</f>
        <v>3</v>
      </c>
      <c r="C29" s="9">
        <f>July!C29+B29</f>
        <v>12</v>
      </c>
      <c r="D29" s="15">
        <f>1+1+2+1+5+1+3+2+3+4+1+4+4+27</f>
        <v>59</v>
      </c>
      <c r="E29" s="9">
        <f>July!E29+D29</f>
        <v>274</v>
      </c>
      <c r="F29" s="16">
        <f>3</f>
        <v>3</v>
      </c>
      <c r="G29" s="9">
        <f>July!G29+F29</f>
        <v>36</v>
      </c>
      <c r="H29" s="17"/>
      <c r="I29" s="9">
        <f>July!I29+H29</f>
        <v>0</v>
      </c>
      <c r="J29" s="18">
        <f>12+2</f>
        <v>14</v>
      </c>
      <c r="K29" s="9">
        <f>July!K29+J29</f>
        <v>42</v>
      </c>
      <c r="L29" s="19"/>
      <c r="M29" s="9">
        <f>July!M29+L29</f>
        <v>0</v>
      </c>
      <c r="N29" s="19">
        <f>4+8</f>
        <v>12</v>
      </c>
      <c r="O29" s="9">
        <f>July!O29+N29</f>
        <v>27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>
        <f>1+10</f>
        <v>11</v>
      </c>
      <c r="E30" s="9">
        <f>July!E30+D30</f>
        <v>67</v>
      </c>
      <c r="F30" s="16"/>
      <c r="G30" s="9">
        <f>July!G30+F30</f>
        <v>1416</v>
      </c>
      <c r="H30" s="17"/>
      <c r="I30" s="9">
        <f>July!I30+H30</f>
        <v>0</v>
      </c>
      <c r="J30" s="18">
        <f>17</f>
        <v>17</v>
      </c>
      <c r="K30" s="9">
        <f>July!K30+J30</f>
        <v>352</v>
      </c>
      <c r="L30" s="19"/>
      <c r="M30" s="9">
        <f>July!M30+L30</f>
        <v>0</v>
      </c>
      <c r="N30" s="19"/>
      <c r="O30" s="9">
        <f>July!O30+N30</f>
        <v>0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1+3+1+3+4+6+46</f>
        <v>64</v>
      </c>
      <c r="E31" s="9">
        <f>July!E31+D31</f>
        <v>399</v>
      </c>
      <c r="F31" s="16">
        <f>6+3+4+13+9+8+3+31+14+4+24+11</f>
        <v>130</v>
      </c>
      <c r="G31" s="9">
        <f>July!G31+F31</f>
        <v>342</v>
      </c>
      <c r="H31" s="17"/>
      <c r="I31" s="9">
        <f>July!I31+H31</f>
        <v>135</v>
      </c>
      <c r="J31" s="18">
        <f>19+10+16+21+12</f>
        <v>78</v>
      </c>
      <c r="K31" s="9">
        <f>July!K31+J31</f>
        <v>102</v>
      </c>
      <c r="L31" s="19"/>
      <c r="M31" s="9">
        <f>July!M31+L31</f>
        <v>0</v>
      </c>
      <c r="N31" s="19"/>
      <c r="O31" s="9">
        <f>July!O31+N31</f>
        <v>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>
        <f>1</f>
        <v>1</v>
      </c>
      <c r="E32" s="9">
        <f>July!E32+D32</f>
        <v>6</v>
      </c>
      <c r="F32" s="16"/>
      <c r="G32" s="9">
        <f>July!G32+F32</f>
        <v>4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3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11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39</v>
      </c>
      <c r="F35" s="16"/>
      <c r="G35" s="9">
        <f>July!G35+F35</f>
        <v>1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>
        <f>1</f>
        <v>1</v>
      </c>
      <c r="E36" s="9">
        <f>July!E36+D36</f>
        <v>6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6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>
        <f>14</f>
        <v>14</v>
      </c>
      <c r="E37" s="9">
        <f>July!E37+D37</f>
        <v>24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1</v>
      </c>
      <c r="L37" s="19"/>
      <c r="M37" s="9">
        <f>July!M37+L37</f>
        <v>0</v>
      </c>
      <c r="N37" s="19"/>
      <c r="O37" s="9">
        <f>July!O37+N37</f>
        <v>0</v>
      </c>
      <c r="P37" s="20" t="s">
        <v>81</v>
      </c>
    </row>
    <row r="38" spans="1:16" ht="18" customHeight="1">
      <c r="A38" s="9" t="s">
        <v>42</v>
      </c>
      <c r="B38" s="14"/>
      <c r="C38" s="9">
        <f>July!C38+B38</f>
        <v>0</v>
      </c>
      <c r="D38" s="15">
        <f>4+1</f>
        <v>5</v>
      </c>
      <c r="E38" s="9">
        <f>July!E38+D38</f>
        <v>152</v>
      </c>
      <c r="F38" s="16"/>
      <c r="G38" s="9">
        <f>July!G38+F38</f>
        <v>60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0"/>
    </row>
    <row r="39" spans="1:16" ht="18" customHeight="1">
      <c r="A39" s="9" t="s">
        <v>43</v>
      </c>
      <c r="B39" s="14">
        <f>2</f>
        <v>2</v>
      </c>
      <c r="C39" s="9">
        <f>July!C39+B39</f>
        <v>21</v>
      </c>
      <c r="D39" s="15">
        <f>1+13+2</f>
        <v>16</v>
      </c>
      <c r="E39" s="9">
        <f>July!E39+D39</f>
        <v>24</v>
      </c>
      <c r="F39" s="16">
        <f>11+11</f>
        <v>22</v>
      </c>
      <c r="G39" s="9">
        <f>July!G39+F39</f>
        <v>105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20</v>
      </c>
      <c r="P39" s="20"/>
    </row>
    <row r="40" spans="1:16" ht="18" customHeight="1">
      <c r="A40" s="9" t="s">
        <v>44</v>
      </c>
      <c r="B40" s="14"/>
      <c r="C40" s="9">
        <f>July!C40+B40</f>
        <v>3</v>
      </c>
      <c r="D40" s="15">
        <f>2+7+3+2+2+28+3+6</f>
        <v>53</v>
      </c>
      <c r="E40" s="9">
        <f>July!E40+D40</f>
        <v>220</v>
      </c>
      <c r="F40" s="16">
        <f>2+10</f>
        <v>12</v>
      </c>
      <c r="G40" s="9">
        <f>July!G40+F40</f>
        <v>133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>
        <f>2+6</f>
        <v>8</v>
      </c>
      <c r="O40" s="9">
        <f>July!O40+N40</f>
        <v>14</v>
      </c>
      <c r="P40" s="20"/>
    </row>
    <row r="41" spans="1:16" ht="18" customHeight="1">
      <c r="A41" s="9" t="s">
        <v>45</v>
      </c>
      <c r="B41" s="14"/>
      <c r="C41" s="9">
        <f>July!C41+B41</f>
        <v>1</v>
      </c>
      <c r="D41" s="15"/>
      <c r="E41" s="9">
        <f>July!E41+D41</f>
        <v>2</v>
      </c>
      <c r="F41" s="16"/>
      <c r="G41" s="9">
        <f>July!G41+F41</f>
        <v>37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>
        <f>9</f>
        <v>9</v>
      </c>
      <c r="O41" s="9">
        <f>July!O41+N41</f>
        <v>9</v>
      </c>
      <c r="P41" s="20"/>
    </row>
    <row r="42" spans="1:16" ht="18" customHeight="1">
      <c r="A42" s="9" t="s">
        <v>46</v>
      </c>
      <c r="B42" s="14"/>
      <c r="C42" s="9">
        <f>July!C42+B42</f>
        <v>2</v>
      </c>
      <c r="D42" s="15">
        <f>1</f>
        <v>1</v>
      </c>
      <c r="E42" s="9">
        <f>July!E42+D42</f>
        <v>24</v>
      </c>
      <c r="F42" s="16">
        <f>1+1</f>
        <v>2</v>
      </c>
      <c r="G42" s="9">
        <f>July!G42+F42</f>
        <v>131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11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19+7+50+1+9+13+2+6</f>
        <v>107</v>
      </c>
      <c r="E45" s="9">
        <f>July!E45+D45</f>
        <v>186</v>
      </c>
      <c r="F45" s="16">
        <f>10+76+198+60+54+38+70+4+31+24+58+144+91+23+7+9+15+21+21+13+9+12+6+40+100+52+4+14+127+39+38+53</f>
        <v>1461</v>
      </c>
      <c r="G45" s="9">
        <f>July!G45+F45</f>
        <v>5444</v>
      </c>
      <c r="H45" s="17">
        <f>57</f>
        <v>57</v>
      </c>
      <c r="I45" s="9">
        <f>July!I45+H45</f>
        <v>57</v>
      </c>
      <c r="J45" s="18">
        <f>6+32+16+30+30+40+1+14+29+14+7+14</f>
        <v>233</v>
      </c>
      <c r="K45" s="9">
        <f>July!K45+J45</f>
        <v>2228</v>
      </c>
      <c r="L45" s="19">
        <f>7</f>
        <v>7</v>
      </c>
      <c r="M45" s="9">
        <f>July!M45+L45</f>
        <v>7</v>
      </c>
      <c r="N45" s="19"/>
      <c r="O45" s="9">
        <f>July!O45+N45</f>
        <v>1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9</v>
      </c>
      <c r="F46" s="16"/>
      <c r="G46" s="9">
        <f>July!G46+F46</f>
        <v>97</v>
      </c>
      <c r="H46" s="17"/>
      <c r="I46" s="9">
        <f>July!I46+H46</f>
        <v>0</v>
      </c>
      <c r="J46" s="18"/>
      <c r="K46" s="9">
        <f>July!K46+J46</f>
        <v>1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>
        <f>1+2+2+7+1+1+3+1+1+2+2+1</f>
        <v>24</v>
      </c>
      <c r="E47" s="9">
        <f>July!E47+D47</f>
        <v>169</v>
      </c>
      <c r="F47" s="16"/>
      <c r="G47" s="9">
        <f>July!G47+F47</f>
        <v>18</v>
      </c>
      <c r="H47" s="17"/>
      <c r="I47" s="9">
        <f>July!I47+H47</f>
        <v>0</v>
      </c>
      <c r="J47" s="18"/>
      <c r="K47" s="9">
        <f>July!K47+J47</f>
        <v>108</v>
      </c>
      <c r="L47" s="19"/>
      <c r="M47" s="9">
        <f>July!M47+L47</f>
        <v>0</v>
      </c>
      <c r="N47" s="19"/>
      <c r="O47" s="9">
        <f>July!O47+N47</f>
        <v>0</v>
      </c>
      <c r="P47" s="20" t="s">
        <v>81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5</v>
      </c>
      <c r="F48" s="16"/>
      <c r="G48" s="9">
        <f>July!G48+F48</f>
        <v>3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3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6</v>
      </c>
      <c r="F50" s="16">
        <f>1</f>
        <v>1</v>
      </c>
      <c r="G50" s="9">
        <f>July!G50+F50</f>
        <v>30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10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3</v>
      </c>
      <c r="F51" s="16"/>
      <c r="G51" s="9">
        <f>July!G51+F51</f>
        <v>1</v>
      </c>
      <c r="H51" s="17"/>
      <c r="I51" s="9">
        <f>July!I51+H51</f>
        <v>0</v>
      </c>
      <c r="J51" s="18"/>
      <c r="K51" s="9">
        <f>July!K51+J51</f>
        <v>1</v>
      </c>
      <c r="L51" s="19"/>
      <c r="M51" s="9">
        <f>July!M51+L51</f>
        <v>0</v>
      </c>
      <c r="N51" s="19"/>
      <c r="O51" s="9">
        <f>July!O51+N51</f>
        <v>0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>
        <f>1</f>
        <v>1</v>
      </c>
      <c r="E52" s="9">
        <f>July!E52+D52</f>
        <v>3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5</v>
      </c>
      <c r="D53" s="15">
        <f>4+1+6+7+4+3+6+6+3+4+13+1+3+1+1+1+10+2+10+1+2+2+2+3+8+1+4+4+1+15+5+2+1+2+5+1+117</f>
        <v>262</v>
      </c>
      <c r="E53" s="9">
        <f>July!E53+D53</f>
        <v>1045</v>
      </c>
      <c r="F53" s="16">
        <f>46+5+2+1+1+1</f>
        <v>56</v>
      </c>
      <c r="G53" s="9">
        <f>July!G53+F53</f>
        <v>377</v>
      </c>
      <c r="H53" s="17"/>
      <c r="I53" s="9">
        <f>July!I53+H53</f>
        <v>0</v>
      </c>
      <c r="J53" s="18">
        <f>5</f>
        <v>5</v>
      </c>
      <c r="K53" s="9">
        <f>July!K53+J53</f>
        <v>44</v>
      </c>
      <c r="L53" s="19"/>
      <c r="M53" s="9">
        <f>July!M53+L53</f>
        <v>0</v>
      </c>
      <c r="N53" s="19">
        <f>4+2+3+1+1+6+1</f>
        <v>18</v>
      </c>
      <c r="O53" s="9">
        <f>July!O53+N53</f>
        <v>128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35</v>
      </c>
      <c r="F54" s="16"/>
      <c r="G54" s="9">
        <f>July!G54+F54</f>
        <v>90</v>
      </c>
      <c r="H54" s="17"/>
      <c r="I54" s="9">
        <f>July!I54+H54</f>
        <v>0</v>
      </c>
      <c r="J54" s="18"/>
      <c r="K54" s="9">
        <f>July!K54+J54</f>
        <v>9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6</v>
      </c>
      <c r="C55" s="11"/>
      <c r="D55" s="11">
        <f>SUM(D5:D54)</f>
        <v>957</v>
      </c>
      <c r="E55" s="11"/>
      <c r="F55" s="11">
        <f>SUM(F5:F54)</f>
        <v>2877</v>
      </c>
      <c r="G55" s="11"/>
      <c r="H55" s="11">
        <f>SUM(H5:H54)</f>
        <v>57</v>
      </c>
      <c r="I55" s="11"/>
      <c r="J55" s="11">
        <f>SUM(J5:J54)</f>
        <v>508</v>
      </c>
      <c r="K55" s="11"/>
      <c r="L55" s="11">
        <f>SUM(L5:L54)</f>
        <v>7</v>
      </c>
      <c r="M55" s="11"/>
      <c r="N55" s="11">
        <f>SUM(N5:N54)</f>
        <v>70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68</v>
      </c>
      <c r="D57" s="11"/>
      <c r="E57" s="11">
        <f>July!E57+D55</f>
        <v>4564</v>
      </c>
      <c r="F57" s="11"/>
      <c r="G57" s="11">
        <f>July!G57+F55</f>
        <v>18258</v>
      </c>
      <c r="H57" s="11"/>
      <c r="I57" s="11">
        <f>July!I57+H55</f>
        <v>192</v>
      </c>
      <c r="J57" s="11"/>
      <c r="K57" s="11">
        <f>July!K57+J55</f>
        <v>3392</v>
      </c>
      <c r="L57" s="11"/>
      <c r="M57" s="11">
        <f>July!M57+L55</f>
        <v>7</v>
      </c>
      <c r="N57" s="11"/>
      <c r="O57" s="11">
        <f>July!O57+N55</f>
        <v>334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60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3" s="4" customFormat="1" ht="18" customHeight="1">
      <c r="A62" s="4" t="s">
        <v>62</v>
      </c>
      <c r="C62" s="4">
        <v>243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82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>
        <f>2+2</f>
        <v>4</v>
      </c>
      <c r="E8" s="9">
        <f>August!E8+D8</f>
        <v>108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3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14</v>
      </c>
      <c r="F9" s="16"/>
      <c r="G9" s="9">
        <f>August!G9+F9</f>
        <v>15</v>
      </c>
      <c r="H9" s="17"/>
      <c r="I9" s="9">
        <f>August!I9+H9</f>
        <v>0</v>
      </c>
      <c r="J9" s="18"/>
      <c r="K9" s="9">
        <f>August!K9+J9</f>
        <v>40</v>
      </c>
      <c r="L9" s="19"/>
      <c r="M9" s="9">
        <f>August!M9+L9</f>
        <v>0</v>
      </c>
      <c r="N9" s="19"/>
      <c r="O9" s="9">
        <f>August!O9+N9</f>
        <v>1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>
        <v>10</v>
      </c>
      <c r="E10" s="9">
        <f>August!E10+D10</f>
        <v>27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>
        <f>1+6+1+1+2+1</f>
        <v>12</v>
      </c>
      <c r="E11" s="9">
        <f>August!E11+D11</f>
        <v>124</v>
      </c>
      <c r="F11" s="16">
        <f>285+135</f>
        <v>420</v>
      </c>
      <c r="G11" s="9">
        <f>August!G11+F11</f>
        <v>710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19"/>
      <c r="O11" s="9">
        <f>August!O11+N11</f>
        <v>4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>
        <f>5</f>
        <v>5</v>
      </c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>
        <f>4+26</f>
        <v>30</v>
      </c>
      <c r="E14" s="9">
        <f>August!E14+D14</f>
        <v>93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>
        <f>1+1</f>
        <v>2</v>
      </c>
      <c r="E15" s="9">
        <f>August!E15+D15</f>
        <v>10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7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</v>
      </c>
      <c r="P17" s="20"/>
    </row>
    <row r="18" spans="1:16" ht="18" customHeight="1">
      <c r="A18" s="9" t="s">
        <v>22</v>
      </c>
      <c r="B18" s="14"/>
      <c r="C18" s="9">
        <f>August!C18+B18</f>
        <v>3</v>
      </c>
      <c r="D18" s="15">
        <f>3+1+3+2+2+2+4+5+3+6+4+1+6+13+3+11+8+3+47</f>
        <v>127</v>
      </c>
      <c r="E18" s="9">
        <f>August!E18+D18</f>
        <v>442</v>
      </c>
      <c r="F18" s="16">
        <f>18+9+9+2+11</f>
        <v>49</v>
      </c>
      <c r="G18" s="9">
        <f>August!G18+F18</f>
        <v>350</v>
      </c>
      <c r="H18" s="17"/>
      <c r="I18" s="9">
        <f>August!I18+H18</f>
        <v>0</v>
      </c>
      <c r="J18" s="18">
        <f>4+6</f>
        <v>10</v>
      </c>
      <c r="K18" s="9">
        <f>August!K18+J18</f>
        <v>249</v>
      </c>
      <c r="L18" s="19"/>
      <c r="M18" s="9">
        <f>August!M18+L18</f>
        <v>0</v>
      </c>
      <c r="N18" s="19"/>
      <c r="O18" s="9">
        <f>August!O18+N18</f>
        <v>2</v>
      </c>
      <c r="P18" s="20" t="s">
        <v>80</v>
      </c>
    </row>
    <row r="19" spans="1:16" ht="18" customHeight="1">
      <c r="A19" s="9" t="s">
        <v>23</v>
      </c>
      <c r="B19" s="14"/>
      <c r="C19" s="9">
        <f>August!C19+B19</f>
        <v>7</v>
      </c>
      <c r="D19" s="15">
        <f>11+7</f>
        <v>18</v>
      </c>
      <c r="E19" s="9">
        <f>August!E19+D19</f>
        <v>93</v>
      </c>
      <c r="F19" s="16">
        <f>1+1</f>
        <v>2</v>
      </c>
      <c r="G19" s="9">
        <f>August!G19+F19</f>
        <v>220</v>
      </c>
      <c r="H19" s="17"/>
      <c r="I19" s="9">
        <f>August!I19+H19</f>
        <v>0</v>
      </c>
      <c r="J19" s="18">
        <f>6+25</f>
        <v>31</v>
      </c>
      <c r="K19" s="9">
        <f>August!K19+J19</f>
        <v>40</v>
      </c>
      <c r="L19" s="19"/>
      <c r="M19" s="9">
        <f>August!M19+L19</f>
        <v>0</v>
      </c>
      <c r="N19" s="19">
        <f>17+3+3+2</f>
        <v>25</v>
      </c>
      <c r="O19" s="9">
        <f>August!O19+N19</f>
        <v>66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>
        <f>10+4+1+3+6+11+5</f>
        <v>40</v>
      </c>
      <c r="E20" s="9">
        <f>August!E20+D20</f>
        <v>129</v>
      </c>
      <c r="F20" s="16">
        <f>1</f>
        <v>1</v>
      </c>
      <c r="G20" s="9">
        <f>August!G20+F20</f>
        <v>322</v>
      </c>
      <c r="H20" s="17"/>
      <c r="I20" s="9">
        <f>August!I20+H20</f>
        <v>0</v>
      </c>
      <c r="J20" s="18">
        <f>25</f>
        <v>25</v>
      </c>
      <c r="K20" s="9">
        <f>August!K20+J20</f>
        <v>27</v>
      </c>
      <c r="L20" s="19"/>
      <c r="M20" s="9">
        <f>August!M20+L20</f>
        <v>0</v>
      </c>
      <c r="N20" s="19">
        <f>7+3</f>
        <v>10</v>
      </c>
      <c r="O20" s="9">
        <f>August!O20+N20</f>
        <v>10</v>
      </c>
      <c r="P20" s="20" t="s">
        <v>80</v>
      </c>
    </row>
    <row r="21" spans="1:16" ht="18" customHeight="1">
      <c r="A21" s="9" t="s">
        <v>25</v>
      </c>
      <c r="B21" s="14"/>
      <c r="C21" s="9">
        <f>August!C21+B21</f>
        <v>0</v>
      </c>
      <c r="D21" s="15">
        <f>2+1+2+11</f>
        <v>16</v>
      </c>
      <c r="E21" s="9">
        <f>August!E21+D21</f>
        <v>114</v>
      </c>
      <c r="F21" s="16"/>
      <c r="G21" s="9">
        <f>August!G21+F21</f>
        <v>17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6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1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7</v>
      </c>
      <c r="F24" s="16">
        <f>12</f>
        <v>12</v>
      </c>
      <c r="G24" s="9">
        <f>August!G24+F24</f>
        <v>12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1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2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0</v>
      </c>
      <c r="D26" s="15">
        <f>1+2+4+5+2+3+3+6</f>
        <v>26</v>
      </c>
      <c r="E26" s="9">
        <f>August!E26+D26</f>
        <v>81</v>
      </c>
      <c r="F26" s="16">
        <f>2</f>
        <v>2</v>
      </c>
      <c r="G26" s="9">
        <f>August!G26+F26</f>
        <v>35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>
        <f>7</f>
        <v>7</v>
      </c>
      <c r="O26" s="9">
        <f>August!O26+N26</f>
        <v>32</v>
      </c>
      <c r="P26" s="20"/>
    </row>
    <row r="27" spans="1:16" ht="18" customHeight="1">
      <c r="A27" s="9" t="s">
        <v>31</v>
      </c>
      <c r="B27" s="14">
        <f>3</f>
        <v>3</v>
      </c>
      <c r="C27" s="9">
        <f>August!C27+B27</f>
        <v>17</v>
      </c>
      <c r="D27" s="15">
        <f>2+1+2+2+3+18+2+27+3+12+7+10+15+28+5+18+2+8+7+4+4+8+2+6+19</f>
        <v>215</v>
      </c>
      <c r="E27" s="9">
        <f>August!E27+D27</f>
        <v>1013</v>
      </c>
      <c r="F27" s="16">
        <f>9+21+13+41+19+10+10+4+19+7+16+13+21+32</f>
        <v>235</v>
      </c>
      <c r="G27" s="9">
        <f>August!G27+F27</f>
        <v>5771</v>
      </c>
      <c r="H27" s="17"/>
      <c r="I27" s="9">
        <f>August!I27+H27</f>
        <v>0</v>
      </c>
      <c r="J27" s="18">
        <f>6+60+3+10+5+1+4+1</f>
        <v>90</v>
      </c>
      <c r="K27" s="9">
        <f>August!K27+J27</f>
        <v>300</v>
      </c>
      <c r="L27" s="19"/>
      <c r="M27" s="9">
        <f>August!M27+L27</f>
        <v>0</v>
      </c>
      <c r="N27" s="19">
        <f>7</f>
        <v>7</v>
      </c>
      <c r="O27" s="9">
        <f>August!O27+N27</f>
        <v>37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>
        <f>7</f>
        <v>7</v>
      </c>
      <c r="E28" s="9">
        <f>August!E28+D28</f>
        <v>9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>
        <f>1</f>
        <v>1</v>
      </c>
      <c r="C29" s="9">
        <f>August!C29+B29</f>
        <v>13</v>
      </c>
      <c r="D29" s="15">
        <f>1+1+1+2+2+2+2+2+1+32+2+2+2+1+1+4+2+2+9+2</f>
        <v>73</v>
      </c>
      <c r="E29" s="9">
        <f>August!E29+D29</f>
        <v>347</v>
      </c>
      <c r="F29" s="16"/>
      <c r="G29" s="9">
        <f>August!G29+F29</f>
        <v>36</v>
      </c>
      <c r="H29" s="17"/>
      <c r="I29" s="9">
        <f>August!I29+H29</f>
        <v>0</v>
      </c>
      <c r="J29" s="18">
        <f>2</f>
        <v>2</v>
      </c>
      <c r="K29" s="9">
        <f>August!K29+J29</f>
        <v>44</v>
      </c>
      <c r="L29" s="19"/>
      <c r="M29" s="9">
        <f>August!M29+L29</f>
        <v>0</v>
      </c>
      <c r="N29" s="19">
        <f>5</f>
        <v>5</v>
      </c>
      <c r="O29" s="9">
        <f>August!O29+N29</f>
        <v>32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>
        <f>1+2+1+8+7</f>
        <v>19</v>
      </c>
      <c r="E30" s="9">
        <f>August!E30+D30</f>
        <v>86</v>
      </c>
      <c r="F30" s="16">
        <f>640+510+550+500</f>
        <v>2200</v>
      </c>
      <c r="G30" s="9">
        <f>August!G30+F30</f>
        <v>3616</v>
      </c>
      <c r="H30" s="17"/>
      <c r="I30" s="9">
        <f>August!I30+H30</f>
        <v>0</v>
      </c>
      <c r="J30" s="18"/>
      <c r="K30" s="9">
        <f>August!K30+J30</f>
        <v>352</v>
      </c>
      <c r="L30" s="19"/>
      <c r="M30" s="9">
        <f>August!M30+L30</f>
        <v>0</v>
      </c>
      <c r="N30" s="19">
        <f>2+2</f>
        <v>4</v>
      </c>
      <c r="O30" s="9">
        <f>August!O30+N30</f>
        <v>4</v>
      </c>
      <c r="P30" s="20" t="s">
        <v>80</v>
      </c>
    </row>
    <row r="31" spans="1:16" ht="18" customHeight="1">
      <c r="A31" s="9" t="s">
        <v>35</v>
      </c>
      <c r="B31" s="14"/>
      <c r="C31" s="9">
        <f>August!C31+B31</f>
        <v>0</v>
      </c>
      <c r="D31" s="15">
        <f>5+4+8+1+36</f>
        <v>54</v>
      </c>
      <c r="E31" s="9">
        <f>August!E31+D31</f>
        <v>453</v>
      </c>
      <c r="F31" s="16">
        <f>7+6</f>
        <v>13</v>
      </c>
      <c r="G31" s="9">
        <f>August!G31+F31</f>
        <v>355</v>
      </c>
      <c r="H31" s="17"/>
      <c r="I31" s="9">
        <f>August!I31+H31</f>
        <v>135</v>
      </c>
      <c r="J31" s="18">
        <f>8+10+2</f>
        <v>20</v>
      </c>
      <c r="K31" s="9">
        <f>August!K31+J31</f>
        <v>122</v>
      </c>
      <c r="L31" s="19"/>
      <c r="M31" s="9">
        <f>August!M31+L31</f>
        <v>0</v>
      </c>
      <c r="N31" s="19"/>
      <c r="O31" s="9">
        <f>August!O31+N31</f>
        <v>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6</v>
      </c>
      <c r="F32" s="16">
        <f>2+12</f>
        <v>14</v>
      </c>
      <c r="G32" s="9">
        <f>August!G32+F32</f>
        <v>18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>
        <f>1</f>
        <v>1</v>
      </c>
      <c r="E33" s="9">
        <f>August!E33+D33</f>
        <v>4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11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39</v>
      </c>
      <c r="F35" s="16"/>
      <c r="G35" s="9">
        <f>August!G35+F35</f>
        <v>1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>
        <f>3</f>
        <v>3</v>
      </c>
      <c r="E36" s="9">
        <f>August!E36+D36</f>
        <v>9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6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24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1</v>
      </c>
      <c r="L37" s="19"/>
      <c r="M37" s="9">
        <f>August!M37+L37</f>
        <v>0</v>
      </c>
      <c r="N37" s="19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>
        <f>1</f>
        <v>1</v>
      </c>
      <c r="E38" s="9">
        <f>August!E38+D38</f>
        <v>153</v>
      </c>
      <c r="F38" s="16"/>
      <c r="G38" s="9">
        <f>August!G38+F38</f>
        <v>60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0"/>
    </row>
    <row r="39" spans="1:16" ht="18" customHeight="1">
      <c r="A39" s="9" t="s">
        <v>43</v>
      </c>
      <c r="B39" s="14">
        <f>2</f>
        <v>2</v>
      </c>
      <c r="C39" s="9">
        <f>August!C39+B39</f>
        <v>23</v>
      </c>
      <c r="D39" s="15">
        <f>2</f>
        <v>2</v>
      </c>
      <c r="E39" s="9">
        <f>August!E39+D39</f>
        <v>26</v>
      </c>
      <c r="F39" s="16">
        <f>2</f>
        <v>2</v>
      </c>
      <c r="G39" s="9">
        <f>August!G39+F39</f>
        <v>107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>
        <f>6+4+2+2</f>
        <v>14</v>
      </c>
      <c r="O39" s="9">
        <f>August!O39+N39</f>
        <v>34</v>
      </c>
      <c r="P39" s="20"/>
    </row>
    <row r="40" spans="1:16" ht="18" customHeight="1">
      <c r="A40" s="9" t="s">
        <v>44</v>
      </c>
      <c r="B40" s="14"/>
      <c r="C40" s="9">
        <f>August!C40+B40</f>
        <v>3</v>
      </c>
      <c r="D40" s="15">
        <f>12+16+11+2+11+7+2+3+14+3</f>
        <v>81</v>
      </c>
      <c r="E40" s="9">
        <f>August!E40+D40</f>
        <v>301</v>
      </c>
      <c r="F40" s="16">
        <f>4+13+4</f>
        <v>21</v>
      </c>
      <c r="G40" s="9">
        <f>August!G40+F40</f>
        <v>154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14</v>
      </c>
      <c r="P40" s="20"/>
    </row>
    <row r="41" spans="1:16" ht="18" customHeight="1">
      <c r="A41" s="9" t="s">
        <v>45</v>
      </c>
      <c r="B41" s="14"/>
      <c r="C41" s="9">
        <f>August!C41+B41</f>
        <v>1</v>
      </c>
      <c r="D41" s="15"/>
      <c r="E41" s="9">
        <f>August!E41+D41</f>
        <v>2</v>
      </c>
      <c r="F41" s="16"/>
      <c r="G41" s="9">
        <f>August!G41+F41</f>
        <v>37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>
        <f>8+2+1</f>
        <v>11</v>
      </c>
      <c r="O41" s="9">
        <f>August!O41+N41</f>
        <v>20</v>
      </c>
      <c r="P41" s="20" t="s">
        <v>80</v>
      </c>
    </row>
    <row r="42" spans="1:16" ht="18" customHeight="1">
      <c r="A42" s="9" t="s">
        <v>46</v>
      </c>
      <c r="B42" s="14"/>
      <c r="C42" s="9">
        <f>August!C42+B42</f>
        <v>2</v>
      </c>
      <c r="D42" s="15"/>
      <c r="E42" s="9">
        <f>August!E42+D42</f>
        <v>24</v>
      </c>
      <c r="F42" s="16"/>
      <c r="G42" s="9">
        <f>August!G42+F42</f>
        <v>131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11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>
        <f>9+15+1+3+2+9+1+1+7+1+2+1</f>
        <v>52</v>
      </c>
      <c r="E45" s="9">
        <f>August!E45+D45</f>
        <v>238</v>
      </c>
      <c r="F45" s="16">
        <f>24+32+69+41+148+36+41+89+1+23+40+592+18+18+21+46+14+12+14+13+1+265+49+14+8+16+23+18</f>
        <v>1686</v>
      </c>
      <c r="G45" s="9">
        <f>August!G45+F45</f>
        <v>7130</v>
      </c>
      <c r="H45" s="17"/>
      <c r="I45" s="9">
        <f>August!I45+H45</f>
        <v>57</v>
      </c>
      <c r="J45" s="18">
        <f>11+12+86+16+15</f>
        <v>140</v>
      </c>
      <c r="K45" s="9">
        <f>August!K45+J45</f>
        <v>2368</v>
      </c>
      <c r="L45" s="19"/>
      <c r="M45" s="9">
        <f>August!M45+L45</f>
        <v>7</v>
      </c>
      <c r="N45" s="19"/>
      <c r="O45" s="9">
        <f>August!O45+N45</f>
        <v>1</v>
      </c>
      <c r="P45" s="20" t="s">
        <v>80</v>
      </c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9</v>
      </c>
      <c r="F46" s="16"/>
      <c r="G46" s="9">
        <f>August!G46+F46</f>
        <v>97</v>
      </c>
      <c r="H46" s="17"/>
      <c r="I46" s="9">
        <f>August!I46+H46</f>
        <v>0</v>
      </c>
      <c r="J46" s="18"/>
      <c r="K46" s="9">
        <f>August!K46+J46</f>
        <v>1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>
        <f>1+1+3+17+4+15+1+5+4</f>
        <v>51</v>
      </c>
      <c r="E47" s="9">
        <f>August!E47+D47</f>
        <v>220</v>
      </c>
      <c r="F47" s="16"/>
      <c r="G47" s="9">
        <f>August!G47+F47</f>
        <v>18</v>
      </c>
      <c r="H47" s="17"/>
      <c r="I47" s="9">
        <f>August!I47+H47</f>
        <v>0</v>
      </c>
      <c r="J47" s="18"/>
      <c r="K47" s="9">
        <f>August!K47+J47</f>
        <v>108</v>
      </c>
      <c r="L47" s="19"/>
      <c r="M47" s="9">
        <f>August!M47+L47</f>
        <v>0</v>
      </c>
      <c r="N47" s="19"/>
      <c r="O47" s="9">
        <f>August!O47+N47</f>
        <v>0</v>
      </c>
      <c r="P47" s="20" t="s">
        <v>80</v>
      </c>
    </row>
    <row r="48" spans="1:16" ht="18" customHeight="1">
      <c r="A48" s="9" t="s">
        <v>52</v>
      </c>
      <c r="B48" s="14"/>
      <c r="C48" s="9">
        <f>August!C48+B48</f>
        <v>0</v>
      </c>
      <c r="D48" s="15">
        <f>4</f>
        <v>4</v>
      </c>
      <c r="E48" s="9">
        <f>August!E48+D48</f>
        <v>9</v>
      </c>
      <c r="F48" s="16">
        <f>5</f>
        <v>5</v>
      </c>
      <c r="G48" s="9">
        <f>August!G48+F48</f>
        <v>8</v>
      </c>
      <c r="H48" s="17"/>
      <c r="I48" s="9">
        <f>August!I48+H48</f>
        <v>0</v>
      </c>
      <c r="J48" s="18">
        <f>2</f>
        <v>2</v>
      </c>
      <c r="K48" s="9">
        <f>August!K48+J48</f>
        <v>2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3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>
        <f>1</f>
        <v>1</v>
      </c>
      <c r="E50" s="9">
        <f>August!E50+D50</f>
        <v>7</v>
      </c>
      <c r="F50" s="16">
        <f>1</f>
        <v>1</v>
      </c>
      <c r="G50" s="9">
        <f>August!G50+F50</f>
        <v>31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10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</v>
      </c>
      <c r="F51" s="16"/>
      <c r="G51" s="9">
        <f>August!G51+F51</f>
        <v>1</v>
      </c>
      <c r="H51" s="17"/>
      <c r="I51" s="9">
        <f>August!I51+H51</f>
        <v>0</v>
      </c>
      <c r="J51" s="18"/>
      <c r="K51" s="9">
        <f>August!K51+J51</f>
        <v>1</v>
      </c>
      <c r="L51" s="19"/>
      <c r="M51" s="9">
        <f>August!M51+L51</f>
        <v>0</v>
      </c>
      <c r="N51" s="19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3</v>
      </c>
      <c r="F52" s="16"/>
      <c r="G52" s="9">
        <f>August!G52+F52</f>
        <v>0</v>
      </c>
      <c r="H52" s="17"/>
      <c r="I52" s="9">
        <f>August!I52+H52</f>
        <v>0</v>
      </c>
      <c r="J52" s="18">
        <f>8+1</f>
        <v>9</v>
      </c>
      <c r="K52" s="9">
        <f>August!K52+J52</f>
        <v>9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August!C53+B53</f>
        <v>6</v>
      </c>
      <c r="D53" s="15">
        <f>2+2+1+3+2+2+4+1+2+1+1+2+2+13+17+16+8+72</f>
        <v>151</v>
      </c>
      <c r="E53" s="9">
        <f>August!E53+D53</f>
        <v>1196</v>
      </c>
      <c r="F53" s="16">
        <f>12+4+1</f>
        <v>17</v>
      </c>
      <c r="G53" s="9">
        <f>August!G53+F53</f>
        <v>394</v>
      </c>
      <c r="H53" s="17"/>
      <c r="I53" s="9">
        <f>August!I53+H53</f>
        <v>0</v>
      </c>
      <c r="J53" s="18"/>
      <c r="K53" s="9">
        <f>August!K53+J53</f>
        <v>44</v>
      </c>
      <c r="L53" s="19"/>
      <c r="M53" s="9">
        <f>August!M53+L53</f>
        <v>0</v>
      </c>
      <c r="N53" s="19">
        <f>6+8+3+2</f>
        <v>19</v>
      </c>
      <c r="O53" s="9">
        <f>August!O53+N53</f>
        <v>147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>
        <f>1+3</f>
        <v>4</v>
      </c>
      <c r="E54" s="9">
        <f>August!E54+D54</f>
        <v>39</v>
      </c>
      <c r="F54" s="16">
        <f>1250+4</f>
        <v>1254</v>
      </c>
      <c r="G54" s="9">
        <f>August!G54+F54</f>
        <v>1344</v>
      </c>
      <c r="H54" s="17"/>
      <c r="I54" s="9">
        <f>August!I54+H54</f>
        <v>0</v>
      </c>
      <c r="J54" s="18"/>
      <c r="K54" s="9">
        <f>August!K54+J54</f>
        <v>9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7</v>
      </c>
      <c r="C55" s="11"/>
      <c r="D55" s="11">
        <f>SUM(D5:D54)</f>
        <v>1009</v>
      </c>
      <c r="E55" s="11"/>
      <c r="F55" s="11">
        <f>SUM(F5:F54)</f>
        <v>5934</v>
      </c>
      <c r="G55" s="11"/>
      <c r="H55" s="11">
        <f>SUM(H5:H54)</f>
        <v>0</v>
      </c>
      <c r="I55" s="11"/>
      <c r="J55" s="11">
        <f>SUM(J5:J54)</f>
        <v>329</v>
      </c>
      <c r="K55" s="11"/>
      <c r="L55" s="11">
        <f>SUM(L5:L54)</f>
        <v>0</v>
      </c>
      <c r="M55" s="11"/>
      <c r="N55" s="11">
        <f>SUM(N5:N54)</f>
        <v>102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75</v>
      </c>
      <c r="D57" s="11"/>
      <c r="E57" s="11">
        <f>August!E57+D55</f>
        <v>5573</v>
      </c>
      <c r="F57" s="11"/>
      <c r="G57" s="11">
        <f>August!G57+F55</f>
        <v>24192</v>
      </c>
      <c r="H57" s="11"/>
      <c r="I57" s="11">
        <f>August!I57+H55</f>
        <v>192</v>
      </c>
      <c r="J57" s="11"/>
      <c r="K57" s="11">
        <f>August!K57+J55</f>
        <v>3721</v>
      </c>
      <c r="L57" s="11"/>
      <c r="M57" s="11">
        <f>August!M57+L55</f>
        <v>7</v>
      </c>
      <c r="N57" s="11"/>
      <c r="O57" s="11">
        <f>August!O57+N55</f>
        <v>436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130</v>
      </c>
      <c r="C60" s="3"/>
      <c r="D60" s="3"/>
      <c r="E60" s="3"/>
      <c r="F60" s="3">
        <v>362</v>
      </c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62</v>
      </c>
      <c r="C62" s="4">
        <f>243+130</f>
        <v>373</v>
      </c>
      <c r="G62" s="4">
        <v>362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2010-12-22T16:56:11Z</cp:lastPrinted>
  <dcterms:created xsi:type="dcterms:W3CDTF">2010-10-14T14:44:25Z</dcterms:created>
  <dcterms:modified xsi:type="dcterms:W3CDTF">2013-01-31T15:20:23Z</dcterms:modified>
  <cp:category/>
  <cp:version/>
  <cp:contentType/>
  <cp:contentStatus/>
</cp:coreProperties>
</file>