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784" firstSheet="6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'January'!$A$1:$K$62</definedName>
  </definedNames>
  <calcPr fullCalcOnLoad="1"/>
</workbook>
</file>

<file path=xl/sharedStrings.xml><?xml version="1.0" encoding="utf-8"?>
<sst xmlns="http://schemas.openxmlformats.org/spreadsheetml/2006/main" count="852" uniqueCount="76">
  <si>
    <t>Karla Crawford</t>
  </si>
  <si>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</si>
  <si>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</si>
  <si>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</si>
  <si>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</si>
  <si>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</si>
  <si>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</si>
  <si>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</si>
  <si>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</si>
  <si>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</si>
  <si>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</si>
  <si>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</si>
  <si>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</si>
  <si>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</si>
  <si>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</si>
  <si>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</si>
  <si>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</si>
  <si>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</si>
  <si>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</si>
  <si>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</si>
  <si>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</si>
  <si>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</si>
  <si>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</si>
  <si>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</si>
  <si>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</si>
  <si>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</si>
  <si>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</si>
  <si>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</si>
  <si>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</si>
  <si>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</si>
  <si>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</si>
  <si>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</si>
  <si>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</si>
  <si>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</si>
  <si>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</si>
  <si>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</si>
  <si>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</si>
  <si>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</si>
  <si>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</si>
  <si>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</si>
  <si>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</si>
  <si>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</si>
  <si>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</si>
  <si>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</si>
  <si>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</si>
  <si>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</si>
  <si>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</si>
  <si>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</si>
  <si>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</si>
  <si>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</si>
  <si>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</si>
  <si>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</si>
  <si>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</si>
  <si>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</si>
  <si>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</si>
  <si>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</si>
  <si>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</si>
  <si>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</si>
  <si>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</si>
  <si>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</si>
  <si>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</si>
  <si>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</si>
  <si>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2011 Cattle Imported Into Iowa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</si>
  <si>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</si>
  <si>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</si>
  <si>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</si>
  <si>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</si>
  <si>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</si>
  <si>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</si>
  <si>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</si>
  <si>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</si>
  <si>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</si>
  <si>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</si>
  <si>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</si>
  <si>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</si>
  <si>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KARLA CRAWFORD AND LISA POTTER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</si>
</sst>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4">
      <selection activeCell="F53" sqref="F53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63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</row>
    <row r="6" spans="1:9" s="5" customFormat="1" ht="18" customHeight="1">
      <c r="A6" s="9" t="s">
        <v>9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</row>
    <row r="7" spans="1:9" s="5" customFormat="1" ht="18" customHeight="1">
      <c r="A7" s="9" t="s">
        <v>10</v>
      </c>
      <c r="B7" s="13">
        <v>198</v>
      </c>
      <c r="C7" s="9">
        <f t="shared" si="0"/>
        <v>198</v>
      </c>
      <c r="D7" s="15"/>
      <c r="E7" s="9">
        <f t="shared" si="1"/>
        <v>0</v>
      </c>
      <c r="F7" s="17">
        <v>156</v>
      </c>
      <c r="G7" s="9">
        <f t="shared" si="2"/>
        <v>156</v>
      </c>
      <c r="H7" s="19"/>
      <c r="I7" s="9">
        <f t="shared" si="3"/>
        <v>0</v>
      </c>
    </row>
    <row r="8" spans="1:9" s="5" customFormat="1" ht="18" customHeight="1">
      <c r="A8" s="9" t="s">
        <v>11</v>
      </c>
      <c r="B8" s="13">
        <f>55+24+125+737+813+75+79</f>
        <v>1908</v>
      </c>
      <c r="C8" s="9">
        <f t="shared" si="0"/>
        <v>1908</v>
      </c>
      <c r="D8" s="15">
        <f>2</f>
        <v>2</v>
      </c>
      <c r="E8" s="9">
        <f t="shared" si="1"/>
        <v>2</v>
      </c>
      <c r="F8" s="17"/>
      <c r="G8" s="9">
        <f t="shared" si="2"/>
        <v>0</v>
      </c>
      <c r="H8" s="19"/>
      <c r="I8" s="9">
        <f t="shared" si="3"/>
        <v>0</v>
      </c>
    </row>
    <row r="9" spans="1:9" s="5" customFormat="1" ht="18" customHeight="1">
      <c r="A9" s="9" t="s">
        <v>12</v>
      </c>
      <c r="B9" s="13"/>
      <c r="C9" s="9">
        <f t="shared" si="0"/>
        <v>0</v>
      </c>
      <c r="D9" s="15">
        <v>1</v>
      </c>
      <c r="E9" s="9">
        <f t="shared" si="1"/>
        <v>1</v>
      </c>
      <c r="F9" s="17">
        <f>1+98</f>
        <v>99</v>
      </c>
      <c r="G9" s="9">
        <f t="shared" si="2"/>
        <v>99</v>
      </c>
      <c r="H9" s="19"/>
      <c r="I9" s="9">
        <f t="shared" si="3"/>
        <v>0</v>
      </c>
    </row>
    <row r="10" spans="1:9" s="5" customFormat="1" ht="18" customHeight="1">
      <c r="A10" s="9" t="s">
        <v>13</v>
      </c>
      <c r="B10" s="13"/>
      <c r="C10" s="9">
        <f t="shared" si="0"/>
        <v>0</v>
      </c>
      <c r="D10" s="15"/>
      <c r="E10" s="9">
        <f t="shared" si="1"/>
        <v>0</v>
      </c>
      <c r="F10" s="17"/>
      <c r="G10" s="9">
        <f t="shared" si="2"/>
        <v>0</v>
      </c>
      <c r="H10" s="19"/>
      <c r="I10" s="9">
        <f t="shared" si="3"/>
        <v>0</v>
      </c>
    </row>
    <row r="11" spans="1:9" s="5" customFormat="1" ht="18" customHeight="1">
      <c r="A11" s="9" t="s">
        <v>14</v>
      </c>
      <c r="B11" s="13">
        <f>85+100+180+90+5+307</f>
        <v>767</v>
      </c>
      <c r="C11" s="9">
        <f t="shared" si="0"/>
        <v>767</v>
      </c>
      <c r="D11" s="15">
        <f>35+38+62+118+119+169+1+1</f>
        <v>543</v>
      </c>
      <c r="E11" s="9">
        <f t="shared" si="1"/>
        <v>543</v>
      </c>
      <c r="F11" s="17">
        <f>100+13+16+16+16+16</f>
        <v>177</v>
      </c>
      <c r="G11" s="9">
        <f t="shared" si="2"/>
        <v>177</v>
      </c>
      <c r="H11" s="19"/>
      <c r="I11" s="9">
        <f t="shared" si="3"/>
        <v>0</v>
      </c>
    </row>
    <row r="12" spans="1:9" s="5" customFormat="1" ht="18" customHeight="1">
      <c r="A12" s="9" t="s">
        <v>15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</row>
    <row r="13" spans="1:9" s="5" customFormat="1" ht="18" customHeight="1">
      <c r="A13" s="9" t="s">
        <v>16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</row>
    <row r="14" spans="1:9" s="5" customFormat="1" ht="18" customHeight="1">
      <c r="A14" s="9" t="s">
        <v>17</v>
      </c>
      <c r="B14" s="13"/>
      <c r="C14" s="9">
        <f t="shared" si="0"/>
        <v>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</row>
    <row r="15" spans="1:9" s="5" customFormat="1" ht="18" customHeight="1">
      <c r="A15" s="9" t="s">
        <v>18</v>
      </c>
      <c r="B15" s="13">
        <f>76+80+120+4+16+5+9+12</f>
        <v>322</v>
      </c>
      <c r="C15" s="9">
        <f t="shared" si="0"/>
        <v>322</v>
      </c>
      <c r="D15" s="15">
        <f>15+33+15+33+3</f>
        <v>99</v>
      </c>
      <c r="E15" s="9">
        <f t="shared" si="1"/>
        <v>99</v>
      </c>
      <c r="F15" s="17"/>
      <c r="G15" s="9">
        <f t="shared" si="2"/>
        <v>0</v>
      </c>
      <c r="H15" s="19"/>
      <c r="I15" s="9">
        <f t="shared" si="3"/>
        <v>0</v>
      </c>
    </row>
    <row r="16" spans="1:9" s="5" customFormat="1" ht="18" customHeight="1">
      <c r="A16" s="9" t="s">
        <v>19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</row>
    <row r="17" spans="1:9" s="5" customFormat="1" ht="18" customHeight="1">
      <c r="A17" s="9" t="s">
        <v>20</v>
      </c>
      <c r="B17" s="13">
        <f>89+88+6+5+80+82+82+79+79+79+79+78+78+72+72+72</f>
        <v>1120</v>
      </c>
      <c r="C17" s="9">
        <f t="shared" si="0"/>
        <v>1120</v>
      </c>
      <c r="D17" s="15">
        <f>47+43+15</f>
        <v>105</v>
      </c>
      <c r="E17" s="9">
        <f t="shared" si="1"/>
        <v>105</v>
      </c>
      <c r="F17" s="17"/>
      <c r="G17" s="9">
        <f t="shared" si="2"/>
        <v>0</v>
      </c>
      <c r="H17" s="19"/>
      <c r="I17" s="9">
        <f t="shared" si="3"/>
        <v>0</v>
      </c>
    </row>
    <row r="18" spans="1:9" s="5" customFormat="1" ht="18" customHeight="1">
      <c r="A18" s="9" t="s">
        <v>21</v>
      </c>
      <c r="B18" s="13">
        <f>140+83+85+7+61+4+1+10+27+51+26+69+87+55+45+3+20+16+60+136</f>
        <v>986</v>
      </c>
      <c r="C18" s="9">
        <f t="shared" si="0"/>
        <v>986</v>
      </c>
      <c r="D18" s="15">
        <f>45+2+3+2+10+5+20+6+4+3</f>
        <v>100</v>
      </c>
      <c r="E18" s="9">
        <f t="shared" si="1"/>
        <v>100</v>
      </c>
      <c r="F18" s="17">
        <f>2+1+1</f>
        <v>4</v>
      </c>
      <c r="G18" s="9">
        <f t="shared" si="2"/>
        <v>4</v>
      </c>
      <c r="H18" s="19"/>
      <c r="I18" s="9">
        <f t="shared" si="3"/>
        <v>0</v>
      </c>
    </row>
    <row r="19" spans="1:9" s="5" customFormat="1" ht="18" customHeight="1">
      <c r="A19" s="9" t="s">
        <v>22</v>
      </c>
      <c r="B19" s="13">
        <f>300+12+50+240</f>
        <v>602</v>
      </c>
      <c r="C19" s="9">
        <f t="shared" si="0"/>
        <v>602</v>
      </c>
      <c r="D19" s="15">
        <f>11+15+1</f>
        <v>27</v>
      </c>
      <c r="E19" s="9">
        <f t="shared" si="1"/>
        <v>27</v>
      </c>
      <c r="F19" s="17">
        <f>24+1+100+104+150+6+150+300+150+99+98+100</f>
        <v>1282</v>
      </c>
      <c r="G19" s="9">
        <f t="shared" si="2"/>
        <v>1282</v>
      </c>
      <c r="H19" s="19"/>
      <c r="I19" s="9">
        <f t="shared" si="3"/>
        <v>0</v>
      </c>
    </row>
    <row r="20" spans="1:9" s="5" customFormat="1" ht="18" customHeight="1">
      <c r="A20" s="9" t="s">
        <v>23</v>
      </c>
      <c r="B20" s="13">
        <f>68+72+70+68+71+59+60+72+140+257+20+67+62</f>
        <v>1086</v>
      </c>
      <c r="C20" s="9">
        <f t="shared" si="0"/>
        <v>1086</v>
      </c>
      <c r="D20" s="15">
        <f>1+1</f>
        <v>2</v>
      </c>
      <c r="E20" s="9">
        <f t="shared" si="1"/>
        <v>2</v>
      </c>
      <c r="F20" s="17"/>
      <c r="G20" s="9">
        <f t="shared" si="2"/>
        <v>0</v>
      </c>
      <c r="H20" s="19"/>
      <c r="I20" s="9">
        <f t="shared" si="3"/>
        <v>0</v>
      </c>
    </row>
    <row r="21" spans="1:9" s="5" customFormat="1" ht="18" customHeight="1">
      <c r="A21" s="9" t="s">
        <v>24</v>
      </c>
      <c r="B21" s="13">
        <f>5329+99+4</f>
        <v>5432</v>
      </c>
      <c r="C21" s="9">
        <f t="shared" si="0"/>
        <v>5432</v>
      </c>
      <c r="D21" s="15"/>
      <c r="E21" s="9">
        <f t="shared" si="1"/>
        <v>0</v>
      </c>
      <c r="F21" s="17"/>
      <c r="G21" s="9">
        <f t="shared" si="2"/>
        <v>0</v>
      </c>
      <c r="H21" s="19"/>
      <c r="I21" s="9">
        <f t="shared" si="3"/>
        <v>0</v>
      </c>
    </row>
    <row r="22" spans="1:9" s="5" customFormat="1" ht="18" customHeight="1">
      <c r="A22" s="9" t="s">
        <v>25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</row>
    <row r="23" spans="1:9" s="5" customFormat="1" ht="18" customHeight="1">
      <c r="A23" s="9" t="s">
        <v>26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</row>
    <row r="24" spans="1:9" s="5" customFormat="1" ht="18" customHeight="1">
      <c r="A24" s="9" t="s">
        <v>27</v>
      </c>
      <c r="B24" s="13"/>
      <c r="C24" s="9">
        <f t="shared" si="0"/>
        <v>0</v>
      </c>
      <c r="D24" s="15"/>
      <c r="E24" s="9">
        <f t="shared" si="1"/>
        <v>0</v>
      </c>
      <c r="F24" s="17">
        <v>2</v>
      </c>
      <c r="G24" s="9">
        <f t="shared" si="2"/>
        <v>2</v>
      </c>
      <c r="H24" s="19"/>
      <c r="I24" s="9">
        <f t="shared" si="3"/>
        <v>0</v>
      </c>
    </row>
    <row r="25" spans="1:9" s="5" customFormat="1" ht="18" customHeight="1">
      <c r="A25" s="9" t="s">
        <v>28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</row>
    <row r="26" spans="1:9" s="5" customFormat="1" ht="18" customHeight="1">
      <c r="A26" s="9" t="s">
        <v>29</v>
      </c>
      <c r="B26" s="13">
        <v>77</v>
      </c>
      <c r="C26" s="9">
        <f t="shared" si="0"/>
        <v>77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</row>
    <row r="27" spans="1:9" s="5" customFormat="1" ht="18" customHeight="1">
      <c r="A27" s="9" t="s">
        <v>30</v>
      </c>
      <c r="B27" s="13">
        <f>66+22+36+69+64+1+21+85+69+81+37+12+334+71+53+18+141+70+14+26+20+89+614+70+70+70+70+70+37+17+493+38+31+74+11+14+2+2+3+24+179+108+60+8+2+12+5+25+23+22+5+58+36+20+94+15+46+3+13+61+98+1+72+22+75+149+45+2+14+40+15+29+44+16+42+8+11+7+11+39+114+137+61+2+16+1+2+11+11+24+11+18+2+12+3+2</f>
        <v>5071</v>
      </c>
      <c r="C27" s="9">
        <f t="shared" si="0"/>
        <v>5071</v>
      </c>
      <c r="D27" s="15">
        <f>1+34+1+4+10+12+10+6+5+1+1+2+2+3+15+4+6+2+1+32+1+1+10+8+13+8+6+6+3+7+6+15+7+2+4+5+1+2+1+3+1+1+6+8+1+3+3+7</f>
        <v>291</v>
      </c>
      <c r="E27" s="9">
        <f t="shared" si="1"/>
        <v>291</v>
      </c>
      <c r="F27" s="17">
        <f>147+102+2+12+82+27+43+4+61+1+27+50+31+45+47+1+46+43+1+16+9+6+3+43+24+1+1+9+41+25+41+2+3+5+51+79+7+63+38+242+1</f>
        <v>1482</v>
      </c>
      <c r="G27" s="9">
        <f t="shared" si="2"/>
        <v>1482</v>
      </c>
      <c r="H27" s="19"/>
      <c r="I27" s="9">
        <f t="shared" si="3"/>
        <v>0</v>
      </c>
    </row>
    <row r="28" spans="1:9" s="5" customFormat="1" ht="18" customHeight="1">
      <c r="A28" s="9" t="s">
        <v>31</v>
      </c>
      <c r="B28" s="13"/>
      <c r="C28" s="9">
        <f t="shared" si="0"/>
        <v>0</v>
      </c>
      <c r="D28" s="15">
        <v>1</v>
      </c>
      <c r="E28" s="9">
        <f t="shared" si="1"/>
        <v>1</v>
      </c>
      <c r="F28" s="17"/>
      <c r="G28" s="9">
        <f t="shared" si="2"/>
        <v>0</v>
      </c>
      <c r="H28" s="19"/>
      <c r="I28" s="9">
        <f t="shared" si="3"/>
        <v>0</v>
      </c>
    </row>
    <row r="29" spans="1:9" s="5" customFormat="1" ht="18" customHeight="1">
      <c r="A29" s="9" t="s">
        <v>32</v>
      </c>
      <c r="B29" s="13">
        <f>130+63+205+80+31+62+79+79+55+83+67+78+70+79+20+17+77+62+31+149+70+15+85+73+32+87+63+72+78+53+57+84+85+60+60+1+50+61+16+92+19+140+180+68+230+70+95+89+90+34+38+59+280+152+25+32+84+68+65+31+46+46+63+20+32+10+72+130+66+135+124+64+60+27+44+57+58+70+82+86+36+57+149+94+66+38+90+193+353+70+65+66+3+71+78+80+140+240+85+39+91+71+34+80+1+81+61+20+27+19+81+16+11</f>
        <v>8458</v>
      </c>
      <c r="C29" s="9">
        <f t="shared" si="0"/>
        <v>8458</v>
      </c>
      <c r="D29" s="15">
        <f>647+1+9+19+11+3+31</f>
        <v>721</v>
      </c>
      <c r="E29" s="9">
        <f t="shared" si="1"/>
        <v>721</v>
      </c>
      <c r="F29" s="17"/>
      <c r="G29" s="9">
        <f t="shared" si="2"/>
        <v>0</v>
      </c>
      <c r="H29" s="19"/>
      <c r="I29" s="9">
        <f t="shared" si="3"/>
        <v>0</v>
      </c>
    </row>
    <row r="30" spans="1:9" s="5" customFormat="1" ht="18" customHeight="1">
      <c r="A30" s="9" t="s">
        <v>33</v>
      </c>
      <c r="B30" s="13">
        <f>100+72+103+65+115+240+110+93+180+150+144+132+40+107+112+91+83+203+30+5+6+10+135+108+10+60+83+15+1+87+200+500+41+62+58+200+88+100+130+49+13+4+7+25+9+89+80+13+17</f>
        <v>4375</v>
      </c>
      <c r="C30" s="9">
        <f t="shared" si="0"/>
        <v>4375</v>
      </c>
      <c r="D30" s="15">
        <f>77+2+112+1+2+276</f>
        <v>470</v>
      </c>
      <c r="E30" s="9">
        <f t="shared" si="1"/>
        <v>470</v>
      </c>
      <c r="F30" s="17"/>
      <c r="G30" s="9">
        <f t="shared" si="2"/>
        <v>0</v>
      </c>
      <c r="H30" s="19"/>
      <c r="I30" s="9">
        <f t="shared" si="3"/>
        <v>0</v>
      </c>
    </row>
    <row r="31" spans="1:9" s="5" customFormat="1" ht="18" customHeight="1">
      <c r="A31" s="9" t="s">
        <v>34</v>
      </c>
      <c r="B31" s="13">
        <f>96+71+47+11+7+68+20+70+211+23+263+100+92+147+68+160+75+37+6+4+92+81+24+97+174+200+196+35+50+306+62+150+393+3+14+221+408+31+53+45+75+76</f>
        <v>4362</v>
      </c>
      <c r="C31" s="9">
        <f t="shared" si="0"/>
        <v>4362</v>
      </c>
      <c r="D31" s="15">
        <f>44+33+97+6+44+2+12+49+40+86+22+6+38+10+1+2+12+1+2+11+7+19+24+54+4+1+1+1+33</f>
        <v>662</v>
      </c>
      <c r="E31" s="9">
        <f t="shared" si="1"/>
        <v>662</v>
      </c>
      <c r="F31" s="17">
        <f>40+40+42+3+70</f>
        <v>195</v>
      </c>
      <c r="G31" s="9">
        <f t="shared" si="2"/>
        <v>195</v>
      </c>
      <c r="H31" s="19"/>
      <c r="I31" s="9">
        <f t="shared" si="3"/>
        <v>0</v>
      </c>
    </row>
    <row r="32" spans="1:9" s="5" customFormat="1" ht="18" customHeight="1">
      <c r="A32" s="9" t="s">
        <v>35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</row>
    <row r="33" spans="1:9" s="5" customFormat="1" ht="18" customHeight="1">
      <c r="A33" s="9" t="s">
        <v>36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</row>
    <row r="34" spans="1:9" s="5" customFormat="1" ht="18" customHeight="1">
      <c r="A34" s="9" t="s">
        <v>37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</row>
    <row r="35" spans="1:9" s="5" customFormat="1" ht="18" customHeight="1">
      <c r="A35" s="9" t="s">
        <v>38</v>
      </c>
      <c r="B35" s="13">
        <f>57+180</f>
        <v>237</v>
      </c>
      <c r="C35" s="9">
        <f t="shared" si="0"/>
        <v>237</v>
      </c>
      <c r="D35" s="15"/>
      <c r="E35" s="9">
        <f t="shared" si="1"/>
        <v>0</v>
      </c>
      <c r="F35" s="17">
        <f>4</f>
        <v>4</v>
      </c>
      <c r="G35" s="9">
        <f t="shared" si="2"/>
        <v>4</v>
      </c>
      <c r="H35" s="19"/>
      <c r="I35" s="9">
        <f t="shared" si="3"/>
        <v>0</v>
      </c>
    </row>
    <row r="36" spans="1:9" s="5" customFormat="1" ht="18" customHeight="1">
      <c r="A36" s="9" t="s">
        <v>39</v>
      </c>
      <c r="B36" s="13"/>
      <c r="C36" s="9">
        <f t="shared" si="0"/>
        <v>0</v>
      </c>
      <c r="D36" s="15"/>
      <c r="E36" s="9">
        <f t="shared" si="1"/>
        <v>0</v>
      </c>
      <c r="F36" s="17">
        <v>38</v>
      </c>
      <c r="G36" s="9">
        <f t="shared" si="2"/>
        <v>38</v>
      </c>
      <c r="H36" s="19"/>
      <c r="I36" s="9">
        <f t="shared" si="3"/>
        <v>0</v>
      </c>
    </row>
    <row r="37" spans="1:9" s="5" customFormat="1" ht="18" customHeight="1">
      <c r="A37" s="9" t="s">
        <v>40</v>
      </c>
      <c r="B37" s="13">
        <v>90</v>
      </c>
      <c r="C37" s="9">
        <f aca="true" t="shared" si="4" ref="C37:C54">B37</f>
        <v>90</v>
      </c>
      <c r="D37" s="15">
        <v>1</v>
      </c>
      <c r="E37" s="9">
        <f aca="true" t="shared" si="5" ref="E37:E54">D37</f>
        <v>1</v>
      </c>
      <c r="F37" s="17"/>
      <c r="G37" s="9">
        <f aca="true" t="shared" si="6" ref="G37:G54">F37</f>
        <v>0</v>
      </c>
      <c r="H37" s="19"/>
      <c r="I37" s="9">
        <f aca="true" t="shared" si="7" ref="I37:I54">H37</f>
        <v>0</v>
      </c>
    </row>
    <row r="38" spans="1:9" s="5" customFormat="1" ht="18" customHeight="1">
      <c r="A38" s="9" t="s">
        <v>41</v>
      </c>
      <c r="B38" s="13">
        <f>70+120+150+198+172+85+40+378+157+260+85+85+671+82+101+94+64+59+113+160+120+39+78+218+110+134+315+89+87+77+68+188+96+82+99+82+181+71+281+89+85+87+234+185+82+78+89+118+156+87+179+287+77+160+267+145+110+120+200+100+115+121+15+15+110+75+75+191+77+83+12+80+90+55+84+148+93+34+44+82+185+96+82+91+70+252+248+169+72+80+50+70+82+58+80+115+82+81+102+77</f>
        <v>12235</v>
      </c>
      <c r="C38" s="9">
        <f t="shared" si="4"/>
        <v>12235</v>
      </c>
      <c r="D38" s="15">
        <f>29+12+9+127+45</f>
        <v>222</v>
      </c>
      <c r="E38" s="9">
        <f t="shared" si="5"/>
        <v>222</v>
      </c>
      <c r="F38" s="17">
        <v>79</v>
      </c>
      <c r="G38" s="9">
        <f t="shared" si="6"/>
        <v>79</v>
      </c>
      <c r="H38" s="19"/>
      <c r="I38" s="9">
        <f t="shared" si="7"/>
        <v>0</v>
      </c>
    </row>
    <row r="39" spans="1:9" s="5" customFormat="1" ht="18" customHeight="1">
      <c r="A39" s="9" t="s">
        <v>42</v>
      </c>
      <c r="B39" s="13">
        <f>110+110+110+12+12+4+90+90+4+12+12+115+115+90</f>
        <v>886</v>
      </c>
      <c r="C39" s="9">
        <f t="shared" si="4"/>
        <v>886</v>
      </c>
      <c r="D39" s="15">
        <v>10</v>
      </c>
      <c r="E39" s="9">
        <f t="shared" si="5"/>
        <v>10</v>
      </c>
      <c r="F39" s="17">
        <f>9+6+6+2+12+11</f>
        <v>46</v>
      </c>
      <c r="G39" s="9">
        <f t="shared" si="6"/>
        <v>46</v>
      </c>
      <c r="H39" s="19"/>
      <c r="I39" s="9">
        <f t="shared" si="7"/>
        <v>0</v>
      </c>
    </row>
    <row r="40" spans="1:9" s="5" customFormat="1" ht="18" customHeight="1">
      <c r="A40" s="9" t="s">
        <v>43</v>
      </c>
      <c r="B40" s="13">
        <v>113</v>
      </c>
      <c r="C40" s="9">
        <f t="shared" si="4"/>
        <v>113</v>
      </c>
      <c r="D40" s="15">
        <f>1+1+4</f>
        <v>6</v>
      </c>
      <c r="E40" s="9">
        <f t="shared" si="5"/>
        <v>6</v>
      </c>
      <c r="F40" s="17"/>
      <c r="G40" s="9">
        <f t="shared" si="6"/>
        <v>0</v>
      </c>
      <c r="H40" s="19"/>
      <c r="I40" s="9">
        <f t="shared" si="7"/>
        <v>0</v>
      </c>
    </row>
    <row r="41" spans="1:9" s="5" customFormat="1" ht="18" customHeight="1">
      <c r="A41" s="9" t="s">
        <v>44</v>
      </c>
      <c r="B41" s="13"/>
      <c r="C41" s="9">
        <f t="shared" si="4"/>
        <v>0</v>
      </c>
      <c r="D41" s="15">
        <f>36+1+48</f>
        <v>85</v>
      </c>
      <c r="E41" s="9">
        <f t="shared" si="5"/>
        <v>85</v>
      </c>
      <c r="F41" s="17"/>
      <c r="G41" s="9">
        <f t="shared" si="6"/>
        <v>0</v>
      </c>
      <c r="H41" s="19"/>
      <c r="I41" s="9">
        <f t="shared" si="7"/>
        <v>0</v>
      </c>
    </row>
    <row r="42" spans="1:9" s="5" customFormat="1" ht="18" customHeight="1">
      <c r="A42" s="9" t="s">
        <v>45</v>
      </c>
      <c r="B42" s="13">
        <f>100+70+70</f>
        <v>240</v>
      </c>
      <c r="C42" s="9">
        <f t="shared" si="4"/>
        <v>240</v>
      </c>
      <c r="D42" s="15">
        <f>1+10+2+95</f>
        <v>108</v>
      </c>
      <c r="E42" s="9">
        <f t="shared" si="5"/>
        <v>108</v>
      </c>
      <c r="F42" s="17">
        <v>1</v>
      </c>
      <c r="G42" s="9">
        <f t="shared" si="6"/>
        <v>1</v>
      </c>
      <c r="H42" s="19"/>
      <c r="I42" s="9">
        <f t="shared" si="7"/>
        <v>0</v>
      </c>
    </row>
    <row r="43" spans="1:9" s="5" customFormat="1" ht="18" customHeight="1">
      <c r="A43" s="9" t="s">
        <v>46</v>
      </c>
      <c r="B43" s="13"/>
      <c r="C43" s="9">
        <f t="shared" si="4"/>
        <v>0</v>
      </c>
      <c r="D43" s="15"/>
      <c r="E43" s="9">
        <f t="shared" si="5"/>
        <v>0</v>
      </c>
      <c r="F43" s="17"/>
      <c r="G43" s="9">
        <f t="shared" si="6"/>
        <v>0</v>
      </c>
      <c r="H43" s="19"/>
      <c r="I43" s="9">
        <f t="shared" si="7"/>
        <v>0</v>
      </c>
    </row>
    <row r="44" spans="1:9" s="5" customFormat="1" ht="18" customHeight="1">
      <c r="A44" s="9" t="s">
        <v>47</v>
      </c>
      <c r="B44" s="13">
        <f>99+90</f>
        <v>189</v>
      </c>
      <c r="C44" s="9">
        <f t="shared" si="4"/>
        <v>189</v>
      </c>
      <c r="D44" s="15"/>
      <c r="E44" s="9">
        <f t="shared" si="5"/>
        <v>0</v>
      </c>
      <c r="F44" s="17"/>
      <c r="G44" s="9">
        <f t="shared" si="6"/>
        <v>0</v>
      </c>
      <c r="H44" s="19"/>
      <c r="I44" s="9">
        <f t="shared" si="7"/>
        <v>0</v>
      </c>
    </row>
    <row r="45" spans="1:9" s="5" customFormat="1" ht="18" customHeight="1">
      <c r="A45" s="9" t="s">
        <v>48</v>
      </c>
      <c r="B45" s="13">
        <f>41+6+8+19+16+110+72+21+21+29+29+12+17+29+80+75+25+161+84+78+76+67+52+100+70+30+190+200+155+9+39+58+69+68+41+82+15+101+141+108+106+44+82+27+116+94+114+63+105+40+50+60+81+94+43+34+88+59+48+180+88+41+80+111+92+10+19+14+44+18+19+19+3+14+13+68+59+59+83+52+17+23+24+83+9+4+8+90+100+563+226+124+236+59+154+82+13+109+60+31+50+48+5+70+18+16+12+2+2+23+26+1+15+86+162+82+139+107+7+81+174+71+10+93+86+33+63+12+5+197+6+5+6+34+81+8+1+7+21+2+79+24+10+8+61+102+32+43+7+65+74+97+22+86+19+84+9+8+4+14+9+27+7+117+4+106+74+22+17+44+4+90+30+100+157+34+104+464+42+64+59+14+30+95+30+29+64+4+8+1+1+95+30+29+64+4+90+80+52+18+27+137+39+87+159+95+14+71+85+121+197+108+46+100+302+163+46+147+399+16+32+79+70+77+86+100+91+63+74+89+48+84+74+426+170+133+36+114+58+41+90+90+282+82+80+113+75+234+46+99+90+96+320+130+86+101+78+88+142+253+60+253+125+67+333+493+5+2+96+93+86+82+93+76+74+90+77+80+60+83+1+250+340+183+14+36+67+42+2+38+3+15+92+42+6+18+146+58+11+1+8+15+41+25+68+78+20+89+13+15+658+30+20+1+11+1+1+80+9+7+16+30+67+16+62+171+123+17+9+95+91+35+78+174+89+83+81+196+391+270+340+88+28+76+20+91+67+108+174+71+87+116+26+175+150+96+157+80+71+142+155+258+112+18+54+85+77</f>
        <v>28859</v>
      </c>
      <c r="C45" s="9">
        <f t="shared" si="4"/>
        <v>28859</v>
      </c>
      <c r="D45" s="15">
        <f>1+15+8+17+8+17+8+7+2+54+2+35+2+1+1+5+4+45+4515+6+20+2+2+2+2+41+10+6+9+15+26</f>
        <v>4888</v>
      </c>
      <c r="E45" s="9">
        <f t="shared" si="5"/>
        <v>4888</v>
      </c>
      <c r="F45" s="17">
        <v>11</v>
      </c>
      <c r="G45" s="9">
        <f t="shared" si="6"/>
        <v>11</v>
      </c>
      <c r="H45" s="19"/>
      <c r="I45" s="9">
        <f t="shared" si="7"/>
        <v>0</v>
      </c>
    </row>
    <row r="46" spans="1:9" s="5" customFormat="1" ht="18" customHeight="1">
      <c r="A46" s="9" t="s">
        <v>49</v>
      </c>
      <c r="B46" s="13">
        <f>105+151+101+60+53+56+56+69+78+55+55</f>
        <v>839</v>
      </c>
      <c r="C46" s="9">
        <f t="shared" si="4"/>
        <v>839</v>
      </c>
      <c r="D46" s="15">
        <f>1+1+1+27+27+1</f>
        <v>58</v>
      </c>
      <c r="E46" s="9">
        <f t="shared" si="5"/>
        <v>58</v>
      </c>
      <c r="F46" s="17"/>
      <c r="G46" s="9">
        <f t="shared" si="6"/>
        <v>0</v>
      </c>
      <c r="H46" s="19"/>
      <c r="I46" s="9">
        <f t="shared" si="7"/>
        <v>0</v>
      </c>
    </row>
    <row r="47" spans="1:9" s="5" customFormat="1" ht="18" customHeight="1">
      <c r="A47" s="9" t="s">
        <v>50</v>
      </c>
      <c r="B47" s="13"/>
      <c r="C47" s="9">
        <f t="shared" si="4"/>
        <v>0</v>
      </c>
      <c r="D47" s="15"/>
      <c r="E47" s="9">
        <f t="shared" si="5"/>
        <v>0</v>
      </c>
      <c r="F47" s="17"/>
      <c r="G47" s="9">
        <f t="shared" si="6"/>
        <v>0</v>
      </c>
      <c r="H47" s="19"/>
      <c r="I47" s="9">
        <f t="shared" si="7"/>
        <v>0</v>
      </c>
    </row>
    <row r="48" spans="1:9" s="5" customFormat="1" ht="18" customHeight="1">
      <c r="A48" s="9" t="s">
        <v>51</v>
      </c>
      <c r="B48" s="13"/>
      <c r="C48" s="9">
        <f t="shared" si="4"/>
        <v>0</v>
      </c>
      <c r="D48" s="15"/>
      <c r="E48" s="9">
        <f t="shared" si="5"/>
        <v>0</v>
      </c>
      <c r="F48" s="17"/>
      <c r="G48" s="9">
        <f t="shared" si="6"/>
        <v>0</v>
      </c>
      <c r="H48" s="19"/>
      <c r="I48" s="9">
        <f t="shared" si="7"/>
        <v>0</v>
      </c>
    </row>
    <row r="49" spans="1:9" s="5" customFormat="1" ht="18" customHeight="1">
      <c r="A49" s="9" t="s">
        <v>52</v>
      </c>
      <c r="B49" s="13"/>
      <c r="C49" s="9">
        <f t="shared" si="4"/>
        <v>0</v>
      </c>
      <c r="D49" s="15"/>
      <c r="E49" s="9">
        <f t="shared" si="5"/>
        <v>0</v>
      </c>
      <c r="F49" s="17"/>
      <c r="G49" s="9">
        <f t="shared" si="6"/>
        <v>0</v>
      </c>
      <c r="H49" s="19"/>
      <c r="I49" s="9">
        <f t="shared" si="7"/>
        <v>0</v>
      </c>
    </row>
    <row r="50" spans="1:9" s="5" customFormat="1" ht="18" customHeight="1">
      <c r="A50" s="9" t="s">
        <v>53</v>
      </c>
      <c r="B50" s="13">
        <f>74+22+35+78+148+68+80+65+75+144</f>
        <v>789</v>
      </c>
      <c r="C50" s="9">
        <f t="shared" si="4"/>
        <v>789</v>
      </c>
      <c r="D50" s="15"/>
      <c r="E50" s="9">
        <f t="shared" si="5"/>
        <v>0</v>
      </c>
      <c r="F50" s="17"/>
      <c r="G50" s="9">
        <f t="shared" si="6"/>
        <v>0</v>
      </c>
      <c r="H50" s="19"/>
      <c r="I50" s="9">
        <f t="shared" si="7"/>
        <v>0</v>
      </c>
    </row>
    <row r="51" spans="1:9" s="5" customFormat="1" ht="18" customHeight="1">
      <c r="A51" s="9" t="s">
        <v>54</v>
      </c>
      <c r="B51" s="13">
        <f>160+16+14+160</f>
        <v>350</v>
      </c>
      <c r="C51" s="9">
        <f t="shared" si="4"/>
        <v>350</v>
      </c>
      <c r="D51" s="15"/>
      <c r="E51" s="9">
        <f t="shared" si="5"/>
        <v>0</v>
      </c>
      <c r="F51" s="17">
        <v>1</v>
      </c>
      <c r="G51" s="9">
        <f t="shared" si="6"/>
        <v>1</v>
      </c>
      <c r="H51" s="19"/>
      <c r="I51" s="9">
        <f t="shared" si="7"/>
        <v>0</v>
      </c>
    </row>
    <row r="52" spans="1:9" s="5" customFormat="1" ht="18" customHeight="1">
      <c r="A52" s="9" t="s">
        <v>55</v>
      </c>
      <c r="B52" s="13">
        <f>83+64+68+83+101+87</f>
        <v>486</v>
      </c>
      <c r="C52" s="9">
        <f t="shared" si="4"/>
        <v>486</v>
      </c>
      <c r="D52" s="15"/>
      <c r="E52" s="9">
        <f t="shared" si="5"/>
        <v>0</v>
      </c>
      <c r="F52" s="17"/>
      <c r="G52" s="9">
        <f t="shared" si="6"/>
        <v>0</v>
      </c>
      <c r="H52" s="19"/>
      <c r="I52" s="9">
        <f t="shared" si="7"/>
        <v>0</v>
      </c>
    </row>
    <row r="53" spans="1:9" s="5" customFormat="1" ht="18" customHeight="1">
      <c r="A53" s="9" t="s">
        <v>56</v>
      </c>
      <c r="B53" s="13">
        <f>288+10+11+3+170+80+23+28+15+288+125+37+74+19+35+23+3+34+22+51+57+123+7+17+20+24+17+14+25+12+204+30+40+21+20+100+21+5+44+10+5+188+43+101+8+14+57+10+13+7+15+20+11+94+137+6+1+10+37+13+21+20+250+72+125+15</f>
        <v>3443</v>
      </c>
      <c r="C53" s="9">
        <f t="shared" si="4"/>
        <v>3443</v>
      </c>
      <c r="D53" s="15">
        <f>1+1+2+30+29+1+40+2+4+24+1+1+1+1</f>
        <v>138</v>
      </c>
      <c r="E53" s="9">
        <f t="shared" si="5"/>
        <v>138</v>
      </c>
      <c r="F53" s="17">
        <f>38+10+1+80+16+38+40+41+2+3+80+1+321+1+16+6+19+1+7+21+22</f>
        <v>764</v>
      </c>
      <c r="G53" s="9">
        <f t="shared" si="6"/>
        <v>764</v>
      </c>
      <c r="H53" s="19"/>
      <c r="I53" s="9">
        <f t="shared" si="7"/>
        <v>0</v>
      </c>
    </row>
    <row r="54" spans="1:9" s="5" customFormat="1" ht="18" customHeight="1" thickBot="1">
      <c r="A54" s="10" t="s">
        <v>57</v>
      </c>
      <c r="B54" s="14">
        <f>80+75+136+110+440+98+275+29+100+100</f>
        <v>1443</v>
      </c>
      <c r="C54" s="9">
        <f t="shared" si="4"/>
        <v>1443</v>
      </c>
      <c r="D54" s="16">
        <f>195+1+1+3+1+16+87+2</f>
        <v>306</v>
      </c>
      <c r="E54" s="9">
        <f t="shared" si="5"/>
        <v>306</v>
      </c>
      <c r="F54" s="18"/>
      <c r="G54" s="9">
        <f t="shared" si="6"/>
        <v>0</v>
      </c>
      <c r="H54" s="20"/>
      <c r="I54" s="9">
        <f t="shared" si="7"/>
        <v>0</v>
      </c>
    </row>
    <row r="55" spans="1:9" s="5" customFormat="1" ht="18" customHeight="1" thickBot="1" thickTop="1">
      <c r="A55" s="11" t="s">
        <v>58</v>
      </c>
      <c r="B55" s="11">
        <f>SUM(B5:B54)</f>
        <v>84963</v>
      </c>
      <c r="C55" s="11"/>
      <c r="D55" s="11">
        <f>SUM(D5:D54)</f>
        <v>8846</v>
      </c>
      <c r="E55" s="11"/>
      <c r="F55" s="11">
        <f>SUM(F5:F54)</f>
        <v>4341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B55</f>
        <v>84963</v>
      </c>
      <c r="D57" s="11"/>
      <c r="E57" s="11">
        <f>D55</f>
        <v>8846</v>
      </c>
      <c r="F57" s="11"/>
      <c r="G57" s="11">
        <f>F55</f>
        <v>4341</v>
      </c>
      <c r="H57" s="11"/>
      <c r="I57" s="11">
        <f>H55</f>
        <v>0</v>
      </c>
    </row>
    <row r="58" s="5" customFormat="1" ht="18" customHeight="1" thickTop="1"/>
    <row r="59" s="5" customFormat="1" ht="18" customHeight="1">
      <c r="A59" s="5" t="s">
        <v>60</v>
      </c>
    </row>
    <row r="60" spans="1:6" s="5" customFormat="1" ht="18" customHeight="1">
      <c r="A60" s="5" t="s">
        <v>13</v>
      </c>
      <c r="D60" s="5">
        <f>32</f>
        <v>32</v>
      </c>
      <c r="F60" s="5">
        <f>2500</f>
        <v>2500</v>
      </c>
    </row>
    <row r="61" s="5" customFormat="1" ht="18" customHeight="1"/>
    <row r="62" spans="1:7" s="4" customFormat="1" ht="18" customHeight="1">
      <c r="A62" s="4" t="s">
        <v>61</v>
      </c>
      <c r="E62" s="4">
        <f>D60</f>
        <v>32</v>
      </c>
      <c r="G62" s="4">
        <f>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H3:I3"/>
    <mergeCell ref="B3:C3"/>
    <mergeCell ref="D3:E3"/>
    <mergeCell ref="F3:G3"/>
  </mergeCells>
  <printOptions/>
  <pageMargins left="0.5" right="0.5" top="0.1" bottom="0.1" header="0.5" footer="0.5"/>
  <pageSetup horizontalDpi="600" verticalDpi="600" orientation="portrait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A46" sqref="A46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72</v>
      </c>
      <c r="H1" s="2" t="s">
        <v>75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>
        <f>250+74+68+250+64+250+255+250</f>
        <v>1461</v>
      </c>
      <c r="C5" s="9">
        <f>September!C5+B5</f>
        <v>3787</v>
      </c>
      <c r="D5" s="15">
        <f>2</f>
        <v>2</v>
      </c>
      <c r="E5" s="9">
        <f>September!E5+D5</f>
        <v>1196</v>
      </c>
      <c r="F5" s="17"/>
      <c r="G5" s="9">
        <f>September!G5+F5</f>
        <v>116</v>
      </c>
      <c r="H5" s="19"/>
      <c r="I5" s="9">
        <f>September!I5+H5</f>
        <v>0</v>
      </c>
    </row>
    <row r="6" spans="1:9" s="5" customFormat="1" ht="18" customHeight="1">
      <c r="A6" s="9" t="s">
        <v>9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</row>
    <row r="7" spans="1:9" s="5" customFormat="1" ht="18" customHeight="1">
      <c r="A7" s="9" t="s">
        <v>10</v>
      </c>
      <c r="B7" s="13"/>
      <c r="C7" s="9">
        <f>September!C7+B7</f>
        <v>198</v>
      </c>
      <c r="D7" s="15"/>
      <c r="E7" s="9">
        <f>September!E7+D7</f>
        <v>5</v>
      </c>
      <c r="F7" s="17"/>
      <c r="G7" s="9">
        <f>September!G7+F7</f>
        <v>156</v>
      </c>
      <c r="H7" s="19"/>
      <c r="I7" s="9">
        <f>September!I7+H7</f>
        <v>0</v>
      </c>
    </row>
    <row r="8" spans="1:9" s="5" customFormat="1" ht="18" customHeight="1">
      <c r="A8" s="9" t="s">
        <v>11</v>
      </c>
      <c r="B8" s="13">
        <f>35+90+76+38+86+87+65+65</f>
        <v>542</v>
      </c>
      <c r="C8" s="9">
        <f>September!C8+B8</f>
        <v>7761</v>
      </c>
      <c r="D8" s="15"/>
      <c r="E8" s="9">
        <f>September!E8+D8</f>
        <v>17</v>
      </c>
      <c r="F8" s="17"/>
      <c r="G8" s="9">
        <f>September!G8+F8</f>
        <v>18</v>
      </c>
      <c r="H8" s="19"/>
      <c r="I8" s="9">
        <f>September!I8+H8</f>
        <v>0</v>
      </c>
    </row>
    <row r="9" spans="1:9" s="5" customFormat="1" ht="18" customHeight="1">
      <c r="A9" s="9" t="s">
        <v>12</v>
      </c>
      <c r="B9" s="13">
        <f>73+17</f>
        <v>90</v>
      </c>
      <c r="C9" s="9">
        <f>September!C9+B9</f>
        <v>920</v>
      </c>
      <c r="D9" s="15">
        <f>8</f>
        <v>8</v>
      </c>
      <c r="E9" s="9">
        <f>September!E9+D9</f>
        <v>278</v>
      </c>
      <c r="F9" s="17">
        <f>1</f>
        <v>1</v>
      </c>
      <c r="G9" s="9">
        <f>September!G9+F9</f>
        <v>1782</v>
      </c>
      <c r="H9" s="19"/>
      <c r="I9" s="9">
        <f>September!I9+H9</f>
        <v>144</v>
      </c>
    </row>
    <row r="10" spans="1:9" s="5" customFormat="1" ht="18" customHeight="1">
      <c r="A10" s="9" t="s">
        <v>13</v>
      </c>
      <c r="B10" s="13">
        <f>46+13+59</f>
        <v>118</v>
      </c>
      <c r="C10" s="9">
        <f>September!C10+B10</f>
        <v>1041</v>
      </c>
      <c r="D10" s="15">
        <f>2+2+4+2+10+31</f>
        <v>51</v>
      </c>
      <c r="E10" s="9">
        <f>September!E10+D10</f>
        <v>202</v>
      </c>
      <c r="F10" s="17"/>
      <c r="G10" s="9">
        <f>September!G10+F10</f>
        <v>605</v>
      </c>
      <c r="H10" s="19"/>
      <c r="I10" s="9">
        <f>September!I10+H10</f>
        <v>0</v>
      </c>
    </row>
    <row r="11" spans="1:9" s="5" customFormat="1" ht="18" customHeight="1">
      <c r="A11" s="9" t="s">
        <v>14</v>
      </c>
      <c r="B11" s="13"/>
      <c r="C11" s="9">
        <f>September!C11+B11</f>
        <v>1554</v>
      </c>
      <c r="D11" s="15"/>
      <c r="E11" s="9">
        <f>September!E11+D11</f>
        <v>573</v>
      </c>
      <c r="F11" s="17"/>
      <c r="G11" s="9">
        <f>September!G11+F11</f>
        <v>783</v>
      </c>
      <c r="H11" s="19"/>
      <c r="I11" s="9">
        <f>September!I11+H11</f>
        <v>0</v>
      </c>
    </row>
    <row r="12" spans="1:9" s="5" customFormat="1" ht="18" customHeight="1">
      <c r="A12" s="9" t="s">
        <v>15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</row>
    <row r="13" spans="1:9" s="5" customFormat="1" ht="18" customHeight="1">
      <c r="A13" s="9" t="s">
        <v>16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</row>
    <row r="14" spans="1:9" s="5" customFormat="1" ht="18" customHeight="1">
      <c r="A14" s="9" t="s">
        <v>17</v>
      </c>
      <c r="B14" s="13">
        <f>76+77</f>
        <v>153</v>
      </c>
      <c r="C14" s="9">
        <f>September!C14+B14</f>
        <v>1037</v>
      </c>
      <c r="D14" s="15"/>
      <c r="E14" s="9">
        <f>September!E14+D14</f>
        <v>3</v>
      </c>
      <c r="F14" s="17"/>
      <c r="G14" s="9">
        <f>September!G14+F14</f>
        <v>0</v>
      </c>
      <c r="H14" s="19"/>
      <c r="I14" s="9">
        <f>September!I14+H14</f>
        <v>0</v>
      </c>
    </row>
    <row r="15" spans="1:9" s="5" customFormat="1" ht="18" customHeight="1">
      <c r="A15" s="9" t="s">
        <v>18</v>
      </c>
      <c r="B15" s="13">
        <f>92+60+30+73+83+70+70</f>
        <v>478</v>
      </c>
      <c r="C15" s="9">
        <f>September!C15+B15</f>
        <v>3188</v>
      </c>
      <c r="D15" s="15"/>
      <c r="E15" s="9">
        <f>September!E15+D15</f>
        <v>188</v>
      </c>
      <c r="F15" s="17"/>
      <c r="G15" s="9">
        <f>September!G15+F15</f>
        <v>0</v>
      </c>
      <c r="H15" s="19"/>
      <c r="I15" s="9">
        <f>September!I15+H15</f>
        <v>0</v>
      </c>
    </row>
    <row r="16" spans="1:9" s="5" customFormat="1" ht="18" customHeight="1">
      <c r="A16" s="9" t="s">
        <v>19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</row>
    <row r="17" spans="1:9" s="5" customFormat="1" ht="18" customHeight="1">
      <c r="A17" s="9" t="s">
        <v>20</v>
      </c>
      <c r="B17" s="13">
        <f>146+1630+95+13+61+58+53+85+230+90+53+53+87+107+77+100+210+73+80</f>
        <v>3301</v>
      </c>
      <c r="C17" s="9">
        <f>September!C17+B17</f>
        <v>9905</v>
      </c>
      <c r="D17" s="15">
        <f>1</f>
        <v>1</v>
      </c>
      <c r="E17" s="9">
        <f>September!E17+D17</f>
        <v>867</v>
      </c>
      <c r="F17" s="17">
        <f>2</f>
        <v>2</v>
      </c>
      <c r="G17" s="9">
        <f>September!G17+F17</f>
        <v>302</v>
      </c>
      <c r="H17" s="19"/>
      <c r="I17" s="9">
        <f>September!I17+H17</f>
        <v>0</v>
      </c>
    </row>
    <row r="18" spans="1:9" s="5" customFormat="1" ht="18" customHeight="1">
      <c r="A18" s="9" t="s">
        <v>21</v>
      </c>
      <c r="B18" s="13">
        <f>6+15+40+1+1+82+4+9+30+5+27+250+4+2+8+20+105+83+100+88</f>
        <v>880</v>
      </c>
      <c r="C18" s="9">
        <f>September!C18+B18</f>
        <v>5049</v>
      </c>
      <c r="D18" s="15">
        <f>6+1+1+1+1+2+1+8+1+1+1+2+5+1+1+1+1+1+1+1+1+1</f>
        <v>40</v>
      </c>
      <c r="E18" s="9">
        <f>September!E18+D18</f>
        <v>437</v>
      </c>
      <c r="F18" s="17">
        <f>102+101+2+3+12+14+48</f>
        <v>282</v>
      </c>
      <c r="G18" s="9">
        <f>September!G18+F18</f>
        <v>1065</v>
      </c>
      <c r="H18" s="19"/>
      <c r="I18" s="9">
        <f>September!I18+H18</f>
        <v>0</v>
      </c>
    </row>
    <row r="19" spans="1:9" s="5" customFormat="1" ht="18" customHeight="1">
      <c r="A19" s="9" t="s">
        <v>22</v>
      </c>
      <c r="B19" s="13">
        <f>145+150+150+120+120+67</f>
        <v>752</v>
      </c>
      <c r="C19" s="9">
        <f>September!C19+B19</f>
        <v>8363</v>
      </c>
      <c r="D19" s="15">
        <f>1+1+1+2+1+1+1+45+20+15+1+1+1</f>
        <v>91</v>
      </c>
      <c r="E19" s="9">
        <f>September!E19+D19</f>
        <v>808</v>
      </c>
      <c r="F19" s="17">
        <f>115+1+150+150+50+100+60</f>
        <v>626</v>
      </c>
      <c r="G19" s="9">
        <f>September!G19+F19</f>
        <v>4437</v>
      </c>
      <c r="H19" s="19"/>
      <c r="I19" s="9">
        <f>September!I19+H19</f>
        <v>0</v>
      </c>
    </row>
    <row r="20" spans="1:9" s="5" customFormat="1" ht="18" customHeight="1">
      <c r="A20" s="9" t="s">
        <v>23</v>
      </c>
      <c r="B20" s="13">
        <f>192+85+73+27+51+115+161+64+280+65+55</f>
        <v>1168</v>
      </c>
      <c r="C20" s="9">
        <f>September!C20+B20</f>
        <v>30563</v>
      </c>
      <c r="D20" s="15">
        <f>1+1+1+80+86+25+7+2</f>
        <v>203</v>
      </c>
      <c r="E20" s="9">
        <f>September!E20+D20</f>
        <v>2215</v>
      </c>
      <c r="F20" s="17">
        <f>18</f>
        <v>18</v>
      </c>
      <c r="G20" s="9">
        <f>September!G20+F20</f>
        <v>780</v>
      </c>
      <c r="H20" s="19"/>
      <c r="I20" s="9">
        <f>September!I20+H20</f>
        <v>0</v>
      </c>
    </row>
    <row r="21" spans="1:9" s="5" customFormat="1" ht="18" customHeight="1">
      <c r="A21" s="9" t="s">
        <v>24</v>
      </c>
      <c r="B21" s="13">
        <f>62+78+102+56+75+62+140+131+142+46+14+26+20+67+58+207+240+60+150+67+78+162+84+65+66+117+63+61+231+78+62+64+65+130+60+184+120+61+96+76+73+120+77+91+13+80+80+87+95+63+37+25+55+61+12+59+377+89+56+61+125+181+93+800+80+62+55+65+132+235+113+59+89+43+40+85+82+90</f>
        <v>7766</v>
      </c>
      <c r="C21" s="9">
        <f>September!C21+B21</f>
        <v>106312</v>
      </c>
      <c r="D21" s="15">
        <f>103</f>
        <v>103</v>
      </c>
      <c r="E21" s="9">
        <f>September!E21+D21</f>
        <v>191</v>
      </c>
      <c r="F21" s="17"/>
      <c r="G21" s="9">
        <f>September!G21+F21</f>
        <v>110</v>
      </c>
      <c r="H21" s="19"/>
      <c r="I21" s="9">
        <f>September!I21+H21</f>
        <v>0</v>
      </c>
    </row>
    <row r="22" spans="1:9" s="5" customFormat="1" ht="18" customHeight="1">
      <c r="A22" s="9" t="s">
        <v>25</v>
      </c>
      <c r="B22" s="13"/>
      <c r="C22" s="9">
        <f>September!C22+B22</f>
        <v>0</v>
      </c>
      <c r="D22" s="15"/>
      <c r="E22" s="9">
        <f>September!E22+D22</f>
        <v>0</v>
      </c>
      <c r="F22" s="17"/>
      <c r="G22" s="9">
        <f>September!G22+F22</f>
        <v>0</v>
      </c>
      <c r="H22" s="19"/>
      <c r="I22" s="9">
        <f>September!I22+H22</f>
        <v>0</v>
      </c>
    </row>
    <row r="23" spans="1:9" s="5" customFormat="1" ht="18" customHeight="1">
      <c r="A23" s="9" t="s">
        <v>26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0</v>
      </c>
      <c r="H23" s="19"/>
      <c r="I23" s="9">
        <f>September!I23+H23</f>
        <v>0</v>
      </c>
    </row>
    <row r="24" spans="1:9" s="5" customFormat="1" ht="18" customHeight="1">
      <c r="A24" s="9" t="s">
        <v>27</v>
      </c>
      <c r="B24" s="13"/>
      <c r="C24" s="9">
        <f>September!C24+B24</f>
        <v>0</v>
      </c>
      <c r="D24" s="15"/>
      <c r="E24" s="9">
        <f>September!E24+D24</f>
        <v>7</v>
      </c>
      <c r="F24" s="17"/>
      <c r="G24" s="9">
        <f>September!G24+F24</f>
        <v>17</v>
      </c>
      <c r="H24" s="19"/>
      <c r="I24" s="9">
        <f>September!I24+H24</f>
        <v>0</v>
      </c>
    </row>
    <row r="25" spans="1:9" s="5" customFormat="1" ht="18" customHeight="1">
      <c r="A25" s="9" t="s">
        <v>28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0</v>
      </c>
      <c r="H25" s="19"/>
      <c r="I25" s="9">
        <f>September!I25+H25</f>
        <v>0</v>
      </c>
    </row>
    <row r="26" spans="1:9" s="5" customFormat="1" ht="18" customHeight="1">
      <c r="A26" s="9" t="s">
        <v>29</v>
      </c>
      <c r="B26" s="13">
        <f>300+590</f>
        <v>890</v>
      </c>
      <c r="C26" s="9">
        <f>September!C26+B26</f>
        <v>7510</v>
      </c>
      <c r="D26" s="15">
        <f>9+1+1+9+1</f>
        <v>21</v>
      </c>
      <c r="E26" s="9">
        <f>September!E26+D26</f>
        <v>184</v>
      </c>
      <c r="F26" s="17"/>
      <c r="G26" s="9">
        <f>September!G26+F26</f>
        <v>39</v>
      </c>
      <c r="H26" s="19"/>
      <c r="I26" s="9">
        <f>September!I26+H26</f>
        <v>0</v>
      </c>
    </row>
    <row r="27" spans="1:9" s="5" customFormat="1" ht="18" customHeight="1">
      <c r="A27" s="9" t="s">
        <v>30</v>
      </c>
      <c r="B27" s="13">
        <f>4+2+18+1+4+112+101+52+48+68+38+48+391+840+63+109+70+58+22+61+2+72+25+43+21+180+70+109+61+22+58+65+4+34+50+30+6+1+10+17+37+68+104+30+12+11+61+91+59+57+104+68+37+460+41+42+31+59+41+38+9</f>
        <v>4450</v>
      </c>
      <c r="C27" s="9">
        <f>September!C27+B27</f>
        <v>37170</v>
      </c>
      <c r="D27" s="15">
        <f>3+2+1+9+9+1+1+1+1+1+8+1+3+3+1+3+5+4+7+1+2+4+1+1+1+1+7</f>
        <v>82</v>
      </c>
      <c r="E27" s="9">
        <f>September!E27+D27</f>
        <v>1694</v>
      </c>
      <c r="F27" s="17">
        <f>9+123+3+2+4+2+8+5+149+190+1+1+1+39+61+13+141+60+11+6+3+7+4+45+147+23+1+18+2+7+174+173</f>
        <v>1433</v>
      </c>
      <c r="G27" s="9">
        <f>September!G27+F27</f>
        <v>19477</v>
      </c>
      <c r="H27" s="19"/>
      <c r="I27" s="9">
        <f>September!I27+H27</f>
        <v>0</v>
      </c>
    </row>
    <row r="28" spans="1:9" s="5" customFormat="1" ht="18" customHeight="1">
      <c r="A28" s="9" t="s">
        <v>31</v>
      </c>
      <c r="B28" s="13">
        <f>45+31+98+90+52+23+24+51+28+47+34+36+38+35+80</f>
        <v>712</v>
      </c>
      <c r="C28" s="9">
        <f>September!C28+B28</f>
        <v>5138</v>
      </c>
      <c r="D28" s="15"/>
      <c r="E28" s="9">
        <f>September!E28+D28</f>
        <v>142</v>
      </c>
      <c r="F28" s="17"/>
      <c r="G28" s="9">
        <f>September!G28+F28</f>
        <v>0</v>
      </c>
      <c r="H28" s="19"/>
      <c r="I28" s="9">
        <f>September!I28+H28</f>
        <v>0</v>
      </c>
    </row>
    <row r="29" spans="1:9" s="5" customFormat="1" ht="18" customHeight="1">
      <c r="A29" s="9" t="s">
        <v>32</v>
      </c>
      <c r="B29" s="13">
        <f>42+46+30</f>
        <v>118</v>
      </c>
      <c r="C29" s="9">
        <f>September!C29+B29</f>
        <v>143391</v>
      </c>
      <c r="D29" s="15"/>
      <c r="E29" s="9">
        <f>September!E29+D29</f>
        <v>5110</v>
      </c>
      <c r="F29" s="17"/>
      <c r="G29" s="9">
        <f>September!G29+F29</f>
        <v>1055</v>
      </c>
      <c r="H29" s="19"/>
      <c r="I29" s="9">
        <f>September!I29+H29</f>
        <v>277</v>
      </c>
    </row>
    <row r="30" spans="1:9" s="5" customFormat="1" ht="18" customHeight="1">
      <c r="A30" s="9" t="s">
        <v>33</v>
      </c>
      <c r="B30" s="13">
        <f>10+55+532+130+148+85+250+48+70+24+85+58+61+69+46+74+59+11+310+360+60+110+120+90+710+110+54+231+284+420+13+600+450+325+67+120+78+182+95+96+56+171+92+94+23+150+1100+163+72+120+280+106+97+26+31+14+192+149+150+76+64+62+84+330+60+20+127+290+323+183+100+101+90+126+13+81+90+100+103+38+13+313+250+270+90+70+95+166+412+45+110+227+180+97+212+115+92+72+210+180+255+70+91+34+315+245+85+90+90+85+72+92+150+150+90+69+80+493+152+40+40+220+77+185+105+300+101+111+91+210+90+210+125+97+118+280+950+640+225+86+610+330+225+62+150+165+450+700+110+66+280+93+97+70+103+138+200+330+90+277+148+44+105+46+165+79+3+95+18+250+300+48+30+356+100+103+105+350+75+25+261+45+315+126+78+7+182+159+135+175+208+47+97+5+23+110+95+208+95+80+120+90+75+360+140+130+172+70+205+157+140+72+105+78+96+60+19+115+470+600+370+100+170+108+190+50+200+68+35+16+21+73+180+195+105+46+53+90+81+86+235+75+93+56+11+35+85+30+83+236+261+38+23+335+70+202+159+99+100+100+440+341+650+90+88+90+105+63+7+218+114+195+130+81+95+25+90+105+191+125+106+200+93+376+35+239+239+550+230+85+99+87+95+90+175+175+79+9+76+100+110+75+285+59+101+95+104+377+60+300+100+365+81+42+90+850+100+380+278+125+92+18+230+146+70+92+8+120+120+360+270+282+195+50+189+200+250+94+11+74+85+80+105+200+229+103+101+95+83+121+32+109+210+103+65+230+90+15+180+13+99+106+270+75+100+165+91+225+90+195+210+93+90+26+61+15034</f>
        <v>72162</v>
      </c>
      <c r="C30" s="9">
        <f>September!C30+B30</f>
        <v>116298</v>
      </c>
      <c r="D30" s="15">
        <f>1+1+1+8+1+4+16+28+15</f>
        <v>75</v>
      </c>
      <c r="E30" s="9">
        <f>September!E30+D30</f>
        <v>4872</v>
      </c>
      <c r="F30" s="17"/>
      <c r="G30" s="9">
        <f>September!G30+F30</f>
        <v>0</v>
      </c>
      <c r="H30" s="19"/>
      <c r="I30" s="9">
        <f>September!I30+H30</f>
        <v>0</v>
      </c>
    </row>
    <row r="31" spans="1:9" s="5" customFormat="1" ht="18" customHeight="1">
      <c r="A31" s="9" t="s">
        <v>34</v>
      </c>
      <c r="B31" s="13">
        <f>82+55+60+1000+600+220+8+176+52+112+194+55+217+444+315+22+131+58+56+65+56+67+105+194+252+64+63+244+57+56+130+62+201+182+103+103+100+63+34+146+300+125+111+124+4+3+61+529+127+1+65+368+81+358+57+440+65+130+1+136+130+47+5+195+169+325+3+19+6+58+90+75+15+70+8+270+70+177+87+100+167+120+57+130+128+112+62+89+75+98+97+120+48+573</f>
        <v>13085</v>
      </c>
      <c r="C31" s="9">
        <f>September!C31+B31</f>
        <v>56683</v>
      </c>
      <c r="D31" s="15">
        <f>48+1+6+6+1+1+1+2+1+1+1+3+1+1+1+1+1+15+7+55+50+1+3+1+11+1+1+1+68</f>
        <v>291</v>
      </c>
      <c r="E31" s="9">
        <f>September!E31+D31</f>
        <v>6169</v>
      </c>
      <c r="F31" s="17">
        <f>40+47+41+1+14+31+40+40+6+74</f>
        <v>334</v>
      </c>
      <c r="G31" s="9">
        <f>September!G31+F31</f>
        <v>2923</v>
      </c>
      <c r="H31" s="19"/>
      <c r="I31" s="9">
        <f>September!I31+H31</f>
        <v>30</v>
      </c>
    </row>
    <row r="32" spans="1:9" s="5" customFormat="1" ht="18" customHeight="1">
      <c r="A32" s="9" t="s">
        <v>35</v>
      </c>
      <c r="B32" s="13"/>
      <c r="C32" s="9">
        <f>September!C32+B32</f>
        <v>0</v>
      </c>
      <c r="D32" s="15"/>
      <c r="E32" s="9">
        <f>September!E32+D32</f>
        <v>0</v>
      </c>
      <c r="F32" s="17"/>
      <c r="G32" s="9">
        <f>September!G32+F32</f>
        <v>0</v>
      </c>
      <c r="H32" s="19"/>
      <c r="I32" s="9">
        <f>September!I32+H32</f>
        <v>0</v>
      </c>
    </row>
    <row r="33" spans="1:9" s="5" customFormat="1" ht="18" customHeight="1">
      <c r="A33" s="9" t="s">
        <v>36</v>
      </c>
      <c r="B33" s="13"/>
      <c r="C33" s="9">
        <f>September!C33+B33</f>
        <v>0</v>
      </c>
      <c r="D33" s="15"/>
      <c r="E33" s="9">
        <f>September!E33+D33</f>
        <v>0</v>
      </c>
      <c r="F33" s="17">
        <f>80</f>
        <v>80</v>
      </c>
      <c r="G33" s="9">
        <f>September!G33+F33</f>
        <v>80</v>
      </c>
      <c r="H33" s="19"/>
      <c r="I33" s="9">
        <f>September!I33+H33</f>
        <v>0</v>
      </c>
    </row>
    <row r="34" spans="1:9" s="5" customFormat="1" ht="18" customHeight="1">
      <c r="A34" s="9" t="s">
        <v>37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</row>
    <row r="35" spans="1:9" s="5" customFormat="1" ht="18" customHeight="1">
      <c r="A35" s="9" t="s">
        <v>38</v>
      </c>
      <c r="B35" s="13">
        <f>70+65+16+66+350+355+120</f>
        <v>1042</v>
      </c>
      <c r="C35" s="9">
        <f>September!C35+B35</f>
        <v>1836</v>
      </c>
      <c r="D35" s="15"/>
      <c r="E35" s="9">
        <f>September!E35+D35</f>
        <v>829</v>
      </c>
      <c r="F35" s="17"/>
      <c r="G35" s="9">
        <f>September!G35+F35</f>
        <v>945</v>
      </c>
      <c r="H35" s="19"/>
      <c r="I35" s="9">
        <f>September!I35+H35</f>
        <v>0</v>
      </c>
    </row>
    <row r="36" spans="1:9" s="5" customFormat="1" ht="18" customHeight="1">
      <c r="A36" s="9" t="s">
        <v>39</v>
      </c>
      <c r="B36" s="13"/>
      <c r="C36" s="9">
        <f>September!C36+B36</f>
        <v>0</v>
      </c>
      <c r="D36" s="15">
        <f>1+10+10+7+20+7</f>
        <v>55</v>
      </c>
      <c r="E36" s="9">
        <f>September!E36+D36</f>
        <v>74</v>
      </c>
      <c r="F36" s="17">
        <f>69+2</f>
        <v>71</v>
      </c>
      <c r="G36" s="9">
        <f>September!G36+F36</f>
        <v>551</v>
      </c>
      <c r="H36" s="19"/>
      <c r="I36" s="9">
        <f>September!I36+H36</f>
        <v>0</v>
      </c>
    </row>
    <row r="37" spans="1:9" s="5" customFormat="1" ht="18" customHeight="1">
      <c r="A37" s="9" t="s">
        <v>40</v>
      </c>
      <c r="B37" s="13">
        <f>50+48+51+76</f>
        <v>225</v>
      </c>
      <c r="C37" s="9">
        <f>September!C37+B37</f>
        <v>758</v>
      </c>
      <c r="D37" s="15"/>
      <c r="E37" s="9">
        <f>September!E37+D37</f>
        <v>19</v>
      </c>
      <c r="F37" s="17"/>
      <c r="G37" s="9">
        <f>September!G37+F37</f>
        <v>11</v>
      </c>
      <c r="H37" s="19"/>
      <c r="I37" s="9">
        <f>September!I37+H37</f>
        <v>0</v>
      </c>
    </row>
    <row r="38" spans="1:9" s="5" customFormat="1" ht="18" customHeight="1">
      <c r="A38" s="9" t="s">
        <v>41</v>
      </c>
      <c r="B38" s="13">
        <f>28+33+37+32+123+55+44+80+250+145+68+71+63+62+122+121+120+68+63+118+260+500+72+73+132+15+84+76+23+72+77+330+750+72+64+8+69+64+11+123+60+60+67+62+454+129+68+220+65+215+39+141+86+132+70+138+8+63+70+93+140+108+140+160+33+23+59+16+233+165+375+200+100+66+121+90+22+65+213+104+180+54+93+72+96+110+120+100+100+75+95+96+140+70+210+65+150+351+274+98+98+127+198+122+106+230+51+96+13+8+110+80+112+66+27+2+7+7+622</f>
        <v>13882</v>
      </c>
      <c r="C38" s="9">
        <f>September!C38+B38</f>
        <v>54600</v>
      </c>
      <c r="D38" s="15">
        <f>4+1+114+6</f>
        <v>125</v>
      </c>
      <c r="E38" s="9">
        <f>September!E38+D38</f>
        <v>880</v>
      </c>
      <c r="F38" s="17">
        <f>13</f>
        <v>13</v>
      </c>
      <c r="G38" s="9">
        <f>September!G38+F38</f>
        <v>135</v>
      </c>
      <c r="H38" s="19"/>
      <c r="I38" s="9">
        <f>September!I38+H38</f>
        <v>0</v>
      </c>
    </row>
    <row r="39" spans="1:9" s="5" customFormat="1" ht="18" customHeight="1">
      <c r="A39" s="9" t="s">
        <v>42</v>
      </c>
      <c r="B39" s="13">
        <f>9+11+12+12+12+9+12+114</f>
        <v>191</v>
      </c>
      <c r="C39" s="9">
        <f>September!C39+B39</f>
        <v>4182</v>
      </c>
      <c r="D39" s="15">
        <f>2+2</f>
        <v>4</v>
      </c>
      <c r="E39" s="9">
        <f>September!E39+D39</f>
        <v>56</v>
      </c>
      <c r="F39" s="17"/>
      <c r="G39" s="9">
        <f>September!G39+F39</f>
        <v>2216</v>
      </c>
      <c r="H39" s="19"/>
      <c r="I39" s="9">
        <f>September!I39+H39</f>
        <v>0</v>
      </c>
    </row>
    <row r="40" spans="1:9" s="5" customFormat="1" ht="18" customHeight="1">
      <c r="A40" s="9" t="s">
        <v>43</v>
      </c>
      <c r="B40" s="13">
        <f>128+47+117+262+42+80+80+96+153+52</f>
        <v>1057</v>
      </c>
      <c r="C40" s="9">
        <f>September!C40+B40</f>
        <v>13765</v>
      </c>
      <c r="D40" s="15">
        <f>47+20+145+82+20+11+57+57+57+57+57+57+46+14+14+10+20+10+10+10+3+16+10+43+10+6+54+44+10+45+95</f>
        <v>1137</v>
      </c>
      <c r="E40" s="9">
        <f>September!E40+D40</f>
        <v>5200</v>
      </c>
      <c r="F40" s="17">
        <f>10+10+10+10+10</f>
        <v>50</v>
      </c>
      <c r="G40" s="9">
        <f>September!G40+F40</f>
        <v>59</v>
      </c>
      <c r="H40" s="19"/>
      <c r="I40" s="9">
        <f>September!I40+H40</f>
        <v>0</v>
      </c>
    </row>
    <row r="41" spans="1:9" s="5" customFormat="1" ht="18" customHeight="1">
      <c r="A41" s="9" t="s">
        <v>44</v>
      </c>
      <c r="B41" s="13">
        <f>73+74+28+25+230+80+375+90</f>
        <v>975</v>
      </c>
      <c r="C41" s="9">
        <f>September!C41+B41</f>
        <v>1738</v>
      </c>
      <c r="D41" s="15">
        <f>104+6</f>
        <v>110</v>
      </c>
      <c r="E41" s="9">
        <f>September!E41+D41</f>
        <v>195</v>
      </c>
      <c r="F41" s="17"/>
      <c r="G41" s="9">
        <f>September!G41+F41</f>
        <v>69</v>
      </c>
      <c r="H41" s="19"/>
      <c r="I41" s="9">
        <f>September!I41+H41</f>
        <v>0</v>
      </c>
    </row>
    <row r="42" spans="1:9" s="5" customFormat="1" ht="18" customHeight="1">
      <c r="A42" s="9" t="s">
        <v>45</v>
      </c>
      <c r="B42" s="13">
        <f>100</f>
        <v>100</v>
      </c>
      <c r="C42" s="9">
        <f>September!C42+B42</f>
        <v>1268</v>
      </c>
      <c r="D42" s="15">
        <f>1+1</f>
        <v>2</v>
      </c>
      <c r="E42" s="9">
        <f>September!E42+D42</f>
        <v>244</v>
      </c>
      <c r="F42" s="17"/>
      <c r="G42" s="9">
        <f>September!G42+F42</f>
        <v>1115</v>
      </c>
      <c r="H42" s="19"/>
      <c r="I42" s="9">
        <f>September!I42+H42</f>
        <v>0</v>
      </c>
    </row>
    <row r="43" spans="1:9" s="5" customFormat="1" ht="18" customHeight="1">
      <c r="A43" s="9" t="s">
        <v>46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</row>
    <row r="44" spans="1:9" s="5" customFormat="1" ht="18" customHeight="1">
      <c r="A44" s="9" t="s">
        <v>47</v>
      </c>
      <c r="B44" s="13">
        <f>90+94+1+73+32+58+101+79+90+119+91+115+77+78+94+99+91</f>
        <v>1382</v>
      </c>
      <c r="C44" s="9">
        <f>September!C44+B44</f>
        <v>14024</v>
      </c>
      <c r="D44" s="15"/>
      <c r="E44" s="9">
        <f>September!E44+D44</f>
        <v>0</v>
      </c>
      <c r="F44" s="17"/>
      <c r="G44" s="9">
        <f>September!G44+F44</f>
        <v>126</v>
      </c>
      <c r="H44" s="19"/>
      <c r="I44" s="9">
        <f>September!I44+H44</f>
        <v>0</v>
      </c>
    </row>
    <row r="45" spans="1:9" s="5" customFormat="1" ht="18" customHeight="1">
      <c r="A45" s="9" t="s">
        <v>48</v>
      </c>
      <c r="B45" s="13">
        <f>172+30+64+49+114+150+75+11+67+70+141+137+63+65+52+123+109+83+45+248+64+288+10+62+291+20+1+117+201+120+77+89+90+640+68+110+59+47+65+7+2+3+5+5+7+7+19+2+52+38+21+32+8+26+94+38+126+43+240+252+38+2+138+192+67+139+62+83+132+251+162+219+71+323+105+47+129+73+59+281+63+45+113+180+214+63+284+116+22+26+109+25+7+63+10+65+20+1+7+84+45+96+56+107+460+7+46+10+18+20+204+89+138+80+56+45+20+4+11+14+63+136+11+20+8+40+7+44+23+40+71+71+212+76+18+29+15+58+87+2+112+14+148+81+148+130+49+183+147+189+124+261+120+60+122+163+116+77+51+30+30+43+52+55+99+63+57+85+140+265+245+13+62+213+215+165+95+150+72+65+117+15+260+75+30+130+59+200+86+75+65+67+69+59+64+71+184+164+180+97+113+406+161+7+6+5+25+130+38+65+64+130+189+12+139+70+100+59+57+231+57+114+108+135+34+70+110+96+101+254+190+347+29+147+120+65+106+87+136+107+267+116+74+61+97+99+329+68+247+86+85+184+60+355+67+150+96+7+19+123+95+140+209+120+97+263+76+37+79+31+26+116+75+97+44+87+83+147+22+315+72+108+186+128+28+360+130+67+18+120+136+91+371+100+90+91+41+16+33+6+95+21+25+185+59+10+450+14+45+450+61+103+92+94+108+62+58+36+23+153+320+111+110+45+11+61+365+85+108+290+131+63+54+46+186+129+78+2+174+95+176+60+39+110+101+24+275+96+108+111+219+100+211+39+88+10+99+104+109+83+97+16+95+95+197+193+101+129+127+209+254+116+118+358+103+142+162+52+310+86+212+8+4+5+1+139+155+135+199+90</f>
        <v>40576</v>
      </c>
      <c r="C45" s="9">
        <f>September!C45+B45</f>
        <v>215622</v>
      </c>
      <c r="D45" s="15">
        <f>1+21+14+2+22+3+2+2+2+4+6+9+2+47+31+91+91+91+91+6+28</f>
        <v>566</v>
      </c>
      <c r="E45" s="9">
        <f>September!E45+D45</f>
        <v>10467</v>
      </c>
      <c r="F45" s="17">
        <f>1</f>
        <v>1</v>
      </c>
      <c r="G45" s="9">
        <f>September!G45+F45</f>
        <v>304</v>
      </c>
      <c r="H45" s="19"/>
      <c r="I45" s="9">
        <f>September!I45+H45</f>
        <v>0</v>
      </c>
    </row>
    <row r="46" spans="1:9" s="5" customFormat="1" ht="18" customHeight="1">
      <c r="A46" s="9" t="s">
        <v>49</v>
      </c>
      <c r="B46" s="13">
        <f>76+130+76+75+225+75+24+72+55+210+60+60+66+90+130+66+60+150+57+46+9+210+83+45+70+54+15+24+45+41+75+65</f>
        <v>2539</v>
      </c>
      <c r="C46" s="9">
        <f>September!C46+B46</f>
        <v>13579</v>
      </c>
      <c r="D46" s="15"/>
      <c r="E46" s="9">
        <f>September!E46+D46</f>
        <v>267</v>
      </c>
      <c r="F46" s="17"/>
      <c r="G46" s="9">
        <f>September!G46+F46</f>
        <v>81</v>
      </c>
      <c r="H46" s="19"/>
      <c r="I46" s="9">
        <f>September!I46+H46</f>
        <v>0</v>
      </c>
    </row>
    <row r="47" spans="1:9" s="5" customFormat="1" ht="18" customHeight="1">
      <c r="A47" s="9" t="s">
        <v>50</v>
      </c>
      <c r="B47" s="13">
        <f>75+4+128+112+62+85+95+8+84+64+125+220+168+180+50+132+180+45+130+36+36+91+15+15+15+15+15+90+138</f>
        <v>2413</v>
      </c>
      <c r="C47" s="9">
        <f>September!C47+B47</f>
        <v>15451</v>
      </c>
      <c r="D47" s="15">
        <f>40+93+98+48+20+15+20+25+2+10+23+4+63+63+63+36+96+60+14+33+39+80+12+7+8+15+38+15+27+34+15+15+15+23+30+22+24+22+43+116+8+1+103+103+42+40+26+24+15+30+96+47+74+76+233+15+13+12+53+11+19+24+43+45+1+5+94+32+32+62+49</f>
        <v>2854</v>
      </c>
      <c r="E47" s="9">
        <f>September!E47+D47</f>
        <v>7144</v>
      </c>
      <c r="F47" s="17">
        <f>2+246+265</f>
        <v>513</v>
      </c>
      <c r="G47" s="9">
        <f>September!G47+F47</f>
        <v>1140</v>
      </c>
      <c r="H47" s="19"/>
      <c r="I47" s="9">
        <f>September!I47+H47</f>
        <v>90</v>
      </c>
    </row>
    <row r="48" spans="1:9" s="5" customFormat="1" ht="18" customHeight="1">
      <c r="A48" s="9" t="s">
        <v>51</v>
      </c>
      <c r="B48" s="13">
        <f>74+80+100+72+21+9723</f>
        <v>10070</v>
      </c>
      <c r="C48" s="9">
        <f>September!C48+B48</f>
        <v>10174</v>
      </c>
      <c r="D48" s="15"/>
      <c r="E48" s="9">
        <f>September!E48+D48</f>
        <v>7</v>
      </c>
      <c r="F48" s="17"/>
      <c r="G48" s="9">
        <f>September!G48+F48</f>
        <v>324</v>
      </c>
      <c r="H48" s="19">
        <f>60+60</f>
        <v>120</v>
      </c>
      <c r="I48" s="9">
        <f>September!I48+H48</f>
        <v>120</v>
      </c>
    </row>
    <row r="49" spans="1:9" s="5" customFormat="1" ht="18" customHeight="1">
      <c r="A49" s="9" t="s">
        <v>52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123</v>
      </c>
      <c r="H49" s="19"/>
      <c r="I49" s="9">
        <f>September!I49+H49</f>
        <v>0</v>
      </c>
    </row>
    <row r="50" spans="1:9" s="5" customFormat="1" ht="18" customHeight="1">
      <c r="A50" s="9" t="s">
        <v>53</v>
      </c>
      <c r="B50" s="13">
        <f>88+380+110+131+66+178+165+64+64+90+58+86+68+27+59+55+12+65+76+110+190+60+62+60+78+170+58+76+380+65+156+92+62+60+55+110+238+54+122+74+86+86+68+126+77+67+80+75+80+78+77+90</f>
        <v>5164</v>
      </c>
      <c r="C50" s="9">
        <f>September!C50+B50</f>
        <v>18571</v>
      </c>
      <c r="D50" s="15"/>
      <c r="E50" s="9">
        <f>September!E50+D50</f>
        <v>62</v>
      </c>
      <c r="F50" s="17">
        <f>1</f>
        <v>1</v>
      </c>
      <c r="G50" s="9">
        <f>September!G50+F50</f>
        <v>1</v>
      </c>
      <c r="H50" s="19"/>
      <c r="I50" s="9">
        <f>September!I50+H50</f>
        <v>0</v>
      </c>
    </row>
    <row r="51" spans="1:9" s="5" customFormat="1" ht="18" customHeight="1">
      <c r="A51" s="9" t="s">
        <v>54</v>
      </c>
      <c r="B51" s="13"/>
      <c r="C51" s="9">
        <f>September!C51+B51</f>
        <v>1930</v>
      </c>
      <c r="D51" s="15">
        <f>1+2</f>
        <v>3</v>
      </c>
      <c r="E51" s="9">
        <f>September!E51+D51</f>
        <v>21</v>
      </c>
      <c r="F51" s="17"/>
      <c r="G51" s="9">
        <f>September!G51+F51</f>
        <v>466</v>
      </c>
      <c r="H51" s="19"/>
      <c r="I51" s="9">
        <f>September!I51+H51</f>
        <v>0</v>
      </c>
    </row>
    <row r="52" spans="1:9" s="5" customFormat="1" ht="18" customHeight="1">
      <c r="A52" s="9" t="s">
        <v>55</v>
      </c>
      <c r="B52" s="13">
        <f>62+44+23+90+68+55+55+70+63+65+65+27+57+82+57+92+80+57+94+57+60+96+95+94</f>
        <v>1608</v>
      </c>
      <c r="C52" s="9">
        <f>September!C52+B52</f>
        <v>8487</v>
      </c>
      <c r="D52" s="15"/>
      <c r="E52" s="9">
        <f>September!E52+D52</f>
        <v>63</v>
      </c>
      <c r="F52" s="17"/>
      <c r="G52" s="9">
        <f>September!G52+F52</f>
        <v>0</v>
      </c>
      <c r="H52" s="19"/>
      <c r="I52" s="9">
        <f>September!I52+H52</f>
        <v>0</v>
      </c>
    </row>
    <row r="53" spans="1:9" s="5" customFormat="1" ht="18" customHeight="1">
      <c r="A53" s="9" t="s">
        <v>56</v>
      </c>
      <c r="B53" s="13">
        <f>38+40+72+185+19+9+2+3+7+102+3+29+17+11+120+16+21+72+19+2+2+212+11+3+28+12+59+10+23+20+27+3+37+37+120+32+43+288+1+27+72+77+5+40+70+19+44+78+84+66+3+17+517</f>
        <v>2874</v>
      </c>
      <c r="C53" s="9">
        <f>September!C53+B53</f>
        <v>32206</v>
      </c>
      <c r="D53" s="15">
        <f>27+12+7+14+10+1+1+10+1+2+1+4+38+2+25+15+11+7+8+2+1+1+7+12+4</f>
        <v>223</v>
      </c>
      <c r="E53" s="9">
        <f>September!E53+D53</f>
        <v>2186</v>
      </c>
      <c r="F53" s="17">
        <f>2+16+5+25+27+12+12+12+32+1+9+4+1+38+4+30+80+1+2+1+1+1+3+3+38+47+20+6+2+17+18+100+2+4+32+4+1</f>
        <v>613</v>
      </c>
      <c r="G53" s="9">
        <f>September!G53+F53</f>
        <v>9760</v>
      </c>
      <c r="H53" s="19"/>
      <c r="I53" s="9">
        <f>September!I53+H53</f>
        <v>0</v>
      </c>
    </row>
    <row r="54" spans="1:9" s="5" customFormat="1" ht="18" customHeight="1" thickBot="1">
      <c r="A54" s="10" t="s">
        <v>57</v>
      </c>
      <c r="B54" s="13">
        <f>794+394+177+1+407+60+47+141+64+14+110+60+60+60+60+60+60+180+52+60+180+60+60+180+60+60+60+550+60+55+64+67+98+112+65+287+77+14+190+214+100+95+57+121+70+87+195+500+237+109+64+93+96+100+110+92+98+350+1+2+285+114</f>
        <v>8350</v>
      </c>
      <c r="C54" s="9">
        <f>September!C54+B54</f>
        <v>20314</v>
      </c>
      <c r="D54" s="16">
        <f>53</f>
        <v>53</v>
      </c>
      <c r="E54" s="9">
        <f>September!E54+D54</f>
        <v>1541</v>
      </c>
      <c r="F54" s="17"/>
      <c r="G54" s="9">
        <f>September!G54+F54</f>
        <v>0</v>
      </c>
      <c r="H54" s="19"/>
      <c r="I54" s="9">
        <f>September!I54+H54</f>
        <v>0</v>
      </c>
    </row>
    <row r="55" spans="1:9" s="5" customFormat="1" ht="18" customHeight="1" thickBot="1" thickTop="1">
      <c r="A55" s="11" t="s">
        <v>58</v>
      </c>
      <c r="B55" s="11">
        <f>SUM(B5:B54)</f>
        <v>200574</v>
      </c>
      <c r="C55" s="11"/>
      <c r="D55" s="11">
        <f>SUM(D5:D54)</f>
        <v>6100</v>
      </c>
      <c r="E55" s="11"/>
      <c r="F55" s="11">
        <f>SUM(F5:F54)</f>
        <v>4038</v>
      </c>
      <c r="G55" s="11"/>
      <c r="H55" s="11">
        <f>SUM(H5:H54)</f>
        <v>120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September!C57+B55</f>
        <v>974373</v>
      </c>
      <c r="D57" s="11"/>
      <c r="E57" s="11">
        <f>September!E57+D55</f>
        <v>54413</v>
      </c>
      <c r="F57" s="11"/>
      <c r="G57" s="11">
        <f>September!G57+F55</f>
        <v>51171</v>
      </c>
      <c r="H57" s="11"/>
      <c r="I57" s="11">
        <f>September!I57+H55</f>
        <v>661</v>
      </c>
    </row>
    <row r="58" s="5" customFormat="1" ht="18" customHeight="1" thickTop="1"/>
    <row r="59" s="5" customFormat="1" ht="18" customHeight="1">
      <c r="A59" s="5" t="s">
        <v>60</v>
      </c>
    </row>
    <row r="60" spans="1:6" s="5" customFormat="1" ht="18" customHeight="1">
      <c r="A60" s="5" t="s">
        <v>13</v>
      </c>
      <c r="D60" s="5">
        <f>5276</f>
        <v>5276</v>
      </c>
      <c r="F60" s="5">
        <v>12000</v>
      </c>
    </row>
    <row r="61" s="5" customFormat="1" ht="18" customHeight="1"/>
    <row r="62" spans="1:7" s="4" customFormat="1" ht="18" customHeight="1">
      <c r="A62" s="4" t="s">
        <v>61</v>
      </c>
      <c r="E62" s="4">
        <f>September!E62+D60</f>
        <v>7758</v>
      </c>
      <c r="G62" s="4">
        <f>September!G62+F60</f>
        <v>25410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28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73</v>
      </c>
      <c r="H1" s="2" t="s">
        <v>75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>
        <f>250+70+245+76+70</f>
        <v>711</v>
      </c>
      <c r="C5" s="9">
        <f>October!C5+B5</f>
        <v>4498</v>
      </c>
      <c r="D5" s="15"/>
      <c r="E5" s="9">
        <f>October!E5+D5</f>
        <v>1196</v>
      </c>
      <c r="F5" s="17"/>
      <c r="G5" s="9">
        <f>October!G5+F5</f>
        <v>116</v>
      </c>
      <c r="H5" s="19"/>
      <c r="I5" s="9">
        <f>October!I5+H5</f>
        <v>0</v>
      </c>
    </row>
    <row r="6" spans="1:9" s="5" customFormat="1" ht="18" customHeight="1">
      <c r="A6" s="9" t="s">
        <v>9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</row>
    <row r="7" spans="1:9" s="5" customFormat="1" ht="18" customHeight="1">
      <c r="A7" s="9" t="s">
        <v>10</v>
      </c>
      <c r="B7" s="13"/>
      <c r="C7" s="9">
        <f>October!C7+B7</f>
        <v>198</v>
      </c>
      <c r="D7" s="15"/>
      <c r="E7" s="9">
        <f>October!E7+D7</f>
        <v>5</v>
      </c>
      <c r="F7" s="17"/>
      <c r="G7" s="9">
        <f>October!G7+F7</f>
        <v>156</v>
      </c>
      <c r="H7" s="19"/>
      <c r="I7" s="9">
        <f>October!I7+H7</f>
        <v>0</v>
      </c>
    </row>
    <row r="8" spans="1:9" s="5" customFormat="1" ht="18" customHeight="1">
      <c r="A8" s="9" t="s">
        <v>11</v>
      </c>
      <c r="B8" s="13">
        <f>98+104+75+77+98+81+14+69+42+34+69</f>
        <v>761</v>
      </c>
      <c r="C8" s="9">
        <f>October!C8+B8</f>
        <v>8522</v>
      </c>
      <c r="D8" s="15"/>
      <c r="E8" s="9">
        <f>October!E8+D8</f>
        <v>17</v>
      </c>
      <c r="F8" s="17"/>
      <c r="G8" s="9">
        <f>October!G8+F8</f>
        <v>18</v>
      </c>
      <c r="H8" s="19"/>
      <c r="I8" s="9">
        <f>October!I8+H8</f>
        <v>0</v>
      </c>
    </row>
    <row r="9" spans="1:9" s="5" customFormat="1" ht="18" customHeight="1">
      <c r="A9" s="9" t="s">
        <v>12</v>
      </c>
      <c r="B9" s="13">
        <f>11+17</f>
        <v>28</v>
      </c>
      <c r="C9" s="9">
        <f>October!C9+B9</f>
        <v>948</v>
      </c>
      <c r="D9" s="15"/>
      <c r="E9" s="9">
        <f>October!E9+D9</f>
        <v>278</v>
      </c>
      <c r="F9" s="17">
        <f>120</f>
        <v>120</v>
      </c>
      <c r="G9" s="9">
        <f>October!G9+F9</f>
        <v>1902</v>
      </c>
      <c r="H9" s="19"/>
      <c r="I9" s="9">
        <f>October!I9+H9</f>
        <v>144</v>
      </c>
    </row>
    <row r="10" spans="1:9" s="5" customFormat="1" ht="18" customHeight="1">
      <c r="A10" s="9" t="s">
        <v>13</v>
      </c>
      <c r="B10" s="13"/>
      <c r="C10" s="9">
        <f>October!C10+B10</f>
        <v>1041</v>
      </c>
      <c r="D10" s="15">
        <v>20</v>
      </c>
      <c r="E10" s="9">
        <f>October!E10+D10</f>
        <v>222</v>
      </c>
      <c r="F10" s="17"/>
      <c r="G10" s="9">
        <f>October!G10+F10</f>
        <v>605</v>
      </c>
      <c r="H10" s="19"/>
      <c r="I10" s="9">
        <f>October!I10+H10</f>
        <v>0</v>
      </c>
    </row>
    <row r="11" spans="1:9" s="5" customFormat="1" ht="18" customHeight="1">
      <c r="A11" s="9" t="s">
        <v>14</v>
      </c>
      <c r="B11" s="13">
        <f>90+25</f>
        <v>115</v>
      </c>
      <c r="C11" s="9">
        <f>October!C11+B11</f>
        <v>1669</v>
      </c>
      <c r="D11" s="15">
        <f>1+8</f>
        <v>9</v>
      </c>
      <c r="E11" s="9">
        <f>October!E11+D11</f>
        <v>582</v>
      </c>
      <c r="F11" s="17"/>
      <c r="G11" s="9">
        <f>October!G11+F11</f>
        <v>783</v>
      </c>
      <c r="H11" s="19"/>
      <c r="I11" s="9">
        <f>October!I11+H11</f>
        <v>0</v>
      </c>
    </row>
    <row r="12" spans="1:9" s="5" customFormat="1" ht="18" customHeight="1">
      <c r="A12" s="9" t="s">
        <v>15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</row>
    <row r="13" spans="1:9" s="5" customFormat="1" ht="18" customHeight="1">
      <c r="A13" s="9" t="s">
        <v>16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</row>
    <row r="14" spans="1:9" s="5" customFormat="1" ht="18" customHeight="1">
      <c r="A14" s="9" t="s">
        <v>17</v>
      </c>
      <c r="B14" s="13">
        <f>78</f>
        <v>78</v>
      </c>
      <c r="C14" s="9">
        <f>October!C14+B14</f>
        <v>1115</v>
      </c>
      <c r="D14" s="15"/>
      <c r="E14" s="9">
        <f>October!E14+D14</f>
        <v>3</v>
      </c>
      <c r="F14" s="17"/>
      <c r="G14" s="9">
        <f>October!G14+F14</f>
        <v>0</v>
      </c>
      <c r="H14" s="19"/>
      <c r="I14" s="9">
        <f>October!I14+H14</f>
        <v>0</v>
      </c>
    </row>
    <row r="15" spans="1:9" s="5" customFormat="1" ht="18" customHeight="1">
      <c r="A15" s="9" t="s">
        <v>18</v>
      </c>
      <c r="B15" s="13">
        <f>328+75+75+75+75+80+72+77+91+85+140+75+80+72</f>
        <v>1400</v>
      </c>
      <c r="C15" s="9">
        <f>October!C15+B15</f>
        <v>4588</v>
      </c>
      <c r="D15" s="15">
        <f>1</f>
        <v>1</v>
      </c>
      <c r="E15" s="9">
        <f>October!E15+D15</f>
        <v>189</v>
      </c>
      <c r="F15" s="17"/>
      <c r="G15" s="9">
        <f>October!G15+F15</f>
        <v>0</v>
      </c>
      <c r="H15" s="19"/>
      <c r="I15" s="9">
        <f>October!I15+H15</f>
        <v>0</v>
      </c>
    </row>
    <row r="16" spans="1:9" s="5" customFormat="1" ht="18" customHeight="1">
      <c r="A16" s="9" t="s">
        <v>19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</row>
    <row r="17" spans="1:9" s="5" customFormat="1" ht="18" customHeight="1">
      <c r="A17" s="9" t="s">
        <v>20</v>
      </c>
      <c r="B17" s="13">
        <f>160+59+45+195+110+85+80</f>
        <v>734</v>
      </c>
      <c r="C17" s="9">
        <f>October!C17+B17</f>
        <v>10639</v>
      </c>
      <c r="D17" s="15">
        <f>61+105+56+100+51</f>
        <v>373</v>
      </c>
      <c r="E17" s="9">
        <f>October!E17+D17</f>
        <v>1240</v>
      </c>
      <c r="F17" s="17"/>
      <c r="G17" s="9">
        <f>October!G17+F17</f>
        <v>302</v>
      </c>
      <c r="H17" s="19"/>
      <c r="I17" s="9">
        <f>October!I17+H17</f>
        <v>0</v>
      </c>
    </row>
    <row r="18" spans="1:9" s="5" customFormat="1" ht="18" customHeight="1">
      <c r="A18" s="9" t="s">
        <v>21</v>
      </c>
      <c r="B18" s="13">
        <f>88+2+82+2+89+85+48+40+85+84+76+76+62+89+83+70</f>
        <v>1061</v>
      </c>
      <c r="C18" s="9">
        <f>October!C18+B18</f>
        <v>6110</v>
      </c>
      <c r="D18" s="15">
        <f>1+1+1+1+20+20+20+18+2</f>
        <v>84</v>
      </c>
      <c r="E18" s="9">
        <f>October!E18+D18</f>
        <v>521</v>
      </c>
      <c r="F18" s="17">
        <f>9+3+1</f>
        <v>13</v>
      </c>
      <c r="G18" s="9">
        <f>October!G18+F18</f>
        <v>1078</v>
      </c>
      <c r="H18" s="19"/>
      <c r="I18" s="9">
        <f>October!I18+H18</f>
        <v>0</v>
      </c>
    </row>
    <row r="19" spans="1:9" s="5" customFormat="1" ht="18" customHeight="1">
      <c r="A19" s="9" t="s">
        <v>22</v>
      </c>
      <c r="B19" s="13">
        <f>202+750+150+154+150+150+40+123+14+14+150+67+700</f>
        <v>2664</v>
      </c>
      <c r="C19" s="9">
        <f>October!C19+B19</f>
        <v>11027</v>
      </c>
      <c r="D19" s="15">
        <f>1+2+1</f>
        <v>4</v>
      </c>
      <c r="E19" s="9">
        <f>October!E19+D19</f>
        <v>812</v>
      </c>
      <c r="F19" s="17">
        <f>65+87</f>
        <v>152</v>
      </c>
      <c r="G19" s="9">
        <f>October!G19+F19</f>
        <v>4589</v>
      </c>
      <c r="H19" s="19"/>
      <c r="I19" s="9">
        <f>October!I19+H19</f>
        <v>0</v>
      </c>
    </row>
    <row r="20" spans="1:9" s="5" customFormat="1" ht="18" customHeight="1">
      <c r="A20" s="9" t="s">
        <v>23</v>
      </c>
      <c r="B20" s="13">
        <f>32+162+59+170+58+144+34+240+67+51+216+87+92+176+65+140+46+69</f>
        <v>1908</v>
      </c>
      <c r="C20" s="9">
        <f>October!C20+B20</f>
        <v>32471</v>
      </c>
      <c r="D20" s="15">
        <f>20+12+15+69+1+6+8+15+1+1+11+1+3+1+1+12+12</f>
        <v>189</v>
      </c>
      <c r="E20" s="9">
        <f>October!E20+D20</f>
        <v>2404</v>
      </c>
      <c r="F20" s="17">
        <f>1+145+1+12</f>
        <v>159</v>
      </c>
      <c r="G20" s="9">
        <f>October!G20+F20</f>
        <v>939</v>
      </c>
      <c r="H20" s="19"/>
      <c r="I20" s="9">
        <f>October!I20+H20</f>
        <v>0</v>
      </c>
    </row>
    <row r="21" spans="1:9" s="5" customFormat="1" ht="18" customHeight="1">
      <c r="A21" s="9" t="s">
        <v>24</v>
      </c>
      <c r="B21" s="13">
        <f>419+53+56+21+18+19+66+148+118+74+101+102+62+71+87+54+51+93+195+80+72+125+72+134+68+63+62+224+64+75+123+64+121+74+85+122+70+83+61+101+113+138+67+119+58+55+110+89+180+119+73+131+116+74+172+123+63+113+74+72+120+64+62+66+348+63+100+140+72+142+69+68+62+235+54+15+118+70+62+95+132+235+113+59+71+85+58+63+61+81+55+370+61+60+55+93+258</f>
        <v>9745</v>
      </c>
      <c r="C21" s="9">
        <f>October!C21+B21</f>
        <v>116057</v>
      </c>
      <c r="D21" s="15">
        <f>1+1</f>
        <v>2</v>
      </c>
      <c r="E21" s="9">
        <f>October!E21+D21</f>
        <v>193</v>
      </c>
      <c r="F21" s="17"/>
      <c r="G21" s="9">
        <f>October!G21+F21</f>
        <v>110</v>
      </c>
      <c r="H21" s="19"/>
      <c r="I21" s="9">
        <f>October!I21+H21</f>
        <v>0</v>
      </c>
    </row>
    <row r="22" spans="1:9" s="5" customFormat="1" ht="18" customHeight="1">
      <c r="A22" s="9" t="s">
        <v>25</v>
      </c>
      <c r="B22" s="13"/>
      <c r="C22" s="9">
        <f>October!C22+B22</f>
        <v>0</v>
      </c>
      <c r="D22" s="15"/>
      <c r="E22" s="9">
        <f>October!E22+D22</f>
        <v>0</v>
      </c>
      <c r="F22" s="17"/>
      <c r="G22" s="9">
        <f>October!G22+F22</f>
        <v>0</v>
      </c>
      <c r="H22" s="19"/>
      <c r="I22" s="9">
        <f>October!I22+H22</f>
        <v>0</v>
      </c>
    </row>
    <row r="23" spans="1:9" s="5" customFormat="1" ht="18" customHeight="1">
      <c r="A23" s="9" t="s">
        <v>26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0</v>
      </c>
      <c r="H23" s="19"/>
      <c r="I23" s="9">
        <f>October!I23+H23</f>
        <v>0</v>
      </c>
    </row>
    <row r="24" spans="1:9" s="5" customFormat="1" ht="18" customHeight="1">
      <c r="A24" s="9" t="s">
        <v>27</v>
      </c>
      <c r="B24" s="13"/>
      <c r="C24" s="9">
        <f>October!C24+B24</f>
        <v>0</v>
      </c>
      <c r="D24" s="15"/>
      <c r="E24" s="9">
        <f>October!E24+D24</f>
        <v>7</v>
      </c>
      <c r="F24" s="17"/>
      <c r="G24" s="9">
        <f>October!G24+F24</f>
        <v>17</v>
      </c>
      <c r="H24" s="19"/>
      <c r="I24" s="9">
        <f>October!I24+H24</f>
        <v>0</v>
      </c>
    </row>
    <row r="25" spans="1:9" s="5" customFormat="1" ht="18" customHeight="1">
      <c r="A25" s="9" t="s">
        <v>28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0</v>
      </c>
      <c r="H25" s="19"/>
      <c r="I25" s="9">
        <f>October!I25+H25</f>
        <v>0</v>
      </c>
    </row>
    <row r="26" spans="1:9" s="5" customFormat="1" ht="18" customHeight="1">
      <c r="A26" s="9" t="s">
        <v>29</v>
      </c>
      <c r="B26" s="13">
        <f>541+60+60+60+60+150+90+209+567</f>
        <v>1797</v>
      </c>
      <c r="C26" s="9">
        <f>October!C26+B26</f>
        <v>9307</v>
      </c>
      <c r="D26" s="15">
        <f>81</f>
        <v>81</v>
      </c>
      <c r="E26" s="9">
        <f>October!E26+D26</f>
        <v>265</v>
      </c>
      <c r="F26" s="17"/>
      <c r="G26" s="9">
        <f>October!G26+F26</f>
        <v>39</v>
      </c>
      <c r="H26" s="19"/>
      <c r="I26" s="9">
        <f>October!I26+H26</f>
        <v>0</v>
      </c>
    </row>
    <row r="27" spans="1:9" s="5" customFormat="1" ht="18" customHeight="1">
      <c r="A27" s="9" t="s">
        <v>30</v>
      </c>
      <c r="B27" s="13">
        <f>12+34+6+7+11+3+7+7+23+2+7+19+15+88+18+25+30+81+61+63+6+32+41+46+98+51+84+82+72+91+59+57+18+31+10+2+2+42+12+2+14+64+12+42+14+79+16+11+5+2+83+164+93+362+96+138+100+131+108+125+53+79+37+118+49+25+43+8+6+69+35+19+42+25+24+14+14+4+4+16+20+10+13+32+33+26+17+21+3+14+16+22+4+3+3+11+9+6+39+76+8+5+112+22+3</f>
        <v>4228</v>
      </c>
      <c r="C27" s="9">
        <f>October!C27+B27</f>
        <v>41398</v>
      </c>
      <c r="D27" s="15">
        <f>27+6+18+62+4+2+1</f>
        <v>120</v>
      </c>
      <c r="E27" s="9">
        <f>October!E27+D27</f>
        <v>1814</v>
      </c>
      <c r="F27" s="17">
        <f>12+11+121+120+32+41+3+44+61+62+101+162+154+133+149+66+66+1+7+9+2+61+50</f>
        <v>1468</v>
      </c>
      <c r="G27" s="9">
        <f>October!G27+F27</f>
        <v>20945</v>
      </c>
      <c r="H27" s="19"/>
      <c r="I27" s="9">
        <f>October!I27+H27</f>
        <v>0</v>
      </c>
    </row>
    <row r="28" spans="1:9" s="5" customFormat="1" ht="18" customHeight="1">
      <c r="A28" s="9" t="s">
        <v>31</v>
      </c>
      <c r="B28" s="13"/>
      <c r="C28" s="9">
        <f>October!C28+B28</f>
        <v>5138</v>
      </c>
      <c r="D28" s="15"/>
      <c r="E28" s="9">
        <f>October!E28+D28</f>
        <v>142</v>
      </c>
      <c r="F28" s="17"/>
      <c r="G28" s="9">
        <f>October!G28+F28</f>
        <v>0</v>
      </c>
      <c r="H28" s="19"/>
      <c r="I28" s="9">
        <f>October!I28+H28</f>
        <v>0</v>
      </c>
    </row>
    <row r="29" spans="1:9" s="5" customFormat="1" ht="18" customHeight="1">
      <c r="A29" s="9" t="s">
        <v>32</v>
      </c>
      <c r="B29" s="13">
        <f>77+91+50+121+96+57+51+14+75+14+83+107+100+31</f>
        <v>967</v>
      </c>
      <c r="C29" s="9">
        <f>October!C29+B29</f>
        <v>144358</v>
      </c>
      <c r="D29" s="15"/>
      <c r="E29" s="9">
        <f>October!E29+D29</f>
        <v>5110</v>
      </c>
      <c r="F29" s="17"/>
      <c r="G29" s="9">
        <f>October!G29+F29</f>
        <v>1055</v>
      </c>
      <c r="H29" s="19"/>
      <c r="I29" s="9">
        <f>October!I29+H29</f>
        <v>277</v>
      </c>
    </row>
    <row r="30" spans="1:9" s="5" customFormat="1" ht="18" customHeight="1">
      <c r="A30" s="9" t="s">
        <v>33</v>
      </c>
      <c r="B30" s="13">
        <f>35+110+110+195+87+180+100+110+26+90+47+45+193+88+64+28+79+80+2+62+505+110+110+200+110+105+180+315+122+55+106+110+95+178+33+112+107+18+112+101+135+352+95+170+5+168+500+85+89+103+90+100+110+100+210+105+90+160+200+190+100+90+73+275+105+95+98+109+114+72+118+11+109+124+26+97+125+30+25+80+25+97+25+58+45+172+87+185+340+230+1448+110+110+170+160+225+330+315+110+92+80+182+113+250+314+70+57+111+132+72+97+97+176+80+90+107+155+150+90+108+310+130+88+108+190+99+48+510+97+5+300+95+300+110+195+250+240+76+170+185+110+110+62+110+105+170+405+101+100+266+93+129+411+500+423+178+159+100+60+56+175+99+135+960+240+110+110+550+150+37+190+144+120+232+78+96+184+159+202+208+98+282+316+554+92+88+110+25+15+119+37+90+41+10+32+108+5+26+90+200+380+120+150+240+87+68+87+500+204+105+278+180+96+93+111+139+126+99+211+128+80+105+120+225+65+86+115+68+218+300+120+120+61+360+130+180+12+125+171+173+102+450+155+210+112+92+114+79+34+365+315+52+107+85+10+99+176+360+286+72+90+190+308+315+121+150+107+62+110+203+140+149+410+165+310+100+85+90+350+220+280+271+350+265+245+95+26+180+335+95+110+541+168+151+70+2+85+63+102+105+94+94+94+110+100+257+200+38+108+100+90+110+79+88+117+36+105+86+100+95+50+80+85+95+78+140+75+97+199+277+51+92+110+119+114+62+33+33+94+81+25+16+41+22134+31+100+210+8+11+500+130+166</f>
        <v>74147</v>
      </c>
      <c r="C30" s="9">
        <f>October!C30+B30</f>
        <v>190445</v>
      </c>
      <c r="D30" s="15">
        <f>114+209+17+58+8+2+39+3+65+1+98+43+2+1+148+84+122+192+21+128+157</f>
        <v>1512</v>
      </c>
      <c r="E30" s="9">
        <f>October!E30+D30</f>
        <v>6384</v>
      </c>
      <c r="F30" s="17"/>
      <c r="G30" s="9">
        <f>October!G30+F30</f>
        <v>0</v>
      </c>
      <c r="H30" s="19"/>
      <c r="I30" s="9">
        <f>October!I30+H30</f>
        <v>0</v>
      </c>
    </row>
    <row r="31" spans="1:9" s="5" customFormat="1" ht="18" customHeight="1">
      <c r="A31" s="9" t="s">
        <v>34</v>
      </c>
      <c r="B31" s="13">
        <f>3+26+28+55+98+100+225+112+99+117+97+61+10+92+75+10+225+80+200+27+31+186+117+71+39+73+98+82+94+82+253+110+1+52+89+86+221+267+44+160+110+147+93+110+60+176+104+260+90+271+8+104+84+69+99+37+95+45+180+45+100+177+67+72+125+85+8+10+93+194+253+116+207+72+98+191+277+32+183+80+65+95+70+177+72+195+62+67+66+21+150+79+206+32+76+151+169+63+57+187+275+84+75+8+100+106+162+90+175+53+77+67+70+119+12+42+86+211+16+170+87+193+90+120+31+94+290+2+90+65+77+78+1+4+5+24+33+20+26+21+1+2+30+191+10+3+2+1</f>
        <v>14172</v>
      </c>
      <c r="C31" s="9">
        <f>October!C31+B31</f>
        <v>70855</v>
      </c>
      <c r="D31" s="15">
        <f>6+4+60+110+8+4+3+80+6+1+6+4+36+1+1+3+48+50+46+19+21+12+15+15+13+4+1+1+2+4+2+3+22+2+12+6+15+2+8+6+2+1+3+1+160+160+160+43+1+40+48+1+15+1+86+103+205+16+40+80+80+80+4+6+1+13+63+65+65+65+65+2+1+2+10</f>
        <v>2350</v>
      </c>
      <c r="E31" s="9">
        <f>October!E31+D31</f>
        <v>8519</v>
      </c>
      <c r="F31" s="17">
        <f>80+2+40+145</f>
        <v>267</v>
      </c>
      <c r="G31" s="9">
        <f>October!G31+F31</f>
        <v>3190</v>
      </c>
      <c r="H31" s="19"/>
      <c r="I31" s="9">
        <f>October!I31+H31</f>
        <v>30</v>
      </c>
    </row>
    <row r="32" spans="1:9" s="5" customFormat="1" ht="18" customHeight="1">
      <c r="A32" s="9" t="s">
        <v>35</v>
      </c>
      <c r="B32" s="13"/>
      <c r="C32" s="9">
        <f>October!C32+B32</f>
        <v>0</v>
      </c>
      <c r="D32" s="15"/>
      <c r="E32" s="9">
        <f>October!E32+D32</f>
        <v>0</v>
      </c>
      <c r="F32" s="17"/>
      <c r="G32" s="9">
        <f>October!G32+F32</f>
        <v>0</v>
      </c>
      <c r="H32" s="19"/>
      <c r="I32" s="9">
        <f>October!I32+H32</f>
        <v>0</v>
      </c>
    </row>
    <row r="33" spans="1:9" s="5" customFormat="1" ht="18" customHeight="1">
      <c r="A33" s="9" t="s">
        <v>36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80</v>
      </c>
      <c r="H33" s="19"/>
      <c r="I33" s="9">
        <f>October!I33+H33</f>
        <v>0</v>
      </c>
    </row>
    <row r="34" spans="1:9" s="5" customFormat="1" ht="18" customHeight="1">
      <c r="A34" s="9" t="s">
        <v>37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</row>
    <row r="35" spans="1:9" s="5" customFormat="1" ht="18" customHeight="1">
      <c r="A35" s="9" t="s">
        <v>38</v>
      </c>
      <c r="B35" s="13">
        <f>10+340+106</f>
        <v>456</v>
      </c>
      <c r="C35" s="9">
        <f>October!C35+B35</f>
        <v>2292</v>
      </c>
      <c r="D35" s="15">
        <f>1</f>
        <v>1</v>
      </c>
      <c r="E35" s="9">
        <f>October!E35+D35</f>
        <v>830</v>
      </c>
      <c r="F35" s="17">
        <f>6</f>
        <v>6</v>
      </c>
      <c r="G35" s="9">
        <f>October!G35+F35</f>
        <v>951</v>
      </c>
      <c r="H35" s="19"/>
      <c r="I35" s="9">
        <f>October!I35+H35</f>
        <v>0</v>
      </c>
    </row>
    <row r="36" spans="1:9" s="5" customFormat="1" ht="18" customHeight="1">
      <c r="A36" s="9" t="s">
        <v>39</v>
      </c>
      <c r="B36" s="13"/>
      <c r="C36" s="9">
        <f>October!C36+B36</f>
        <v>0</v>
      </c>
      <c r="D36" s="15">
        <f>1</f>
        <v>1</v>
      </c>
      <c r="E36" s="9">
        <f>October!E36+D36</f>
        <v>75</v>
      </c>
      <c r="F36" s="17"/>
      <c r="G36" s="9">
        <f>October!G36+F36</f>
        <v>551</v>
      </c>
      <c r="H36" s="19"/>
      <c r="I36" s="9">
        <f>October!I36+H36</f>
        <v>0</v>
      </c>
    </row>
    <row r="37" spans="1:9" s="5" customFormat="1" ht="18" customHeight="1">
      <c r="A37" s="9" t="s">
        <v>40</v>
      </c>
      <c r="B37" s="13">
        <f>73</f>
        <v>73</v>
      </c>
      <c r="C37" s="9">
        <f>October!C37+B37</f>
        <v>831</v>
      </c>
      <c r="D37" s="15"/>
      <c r="E37" s="9">
        <f>October!E37+D37</f>
        <v>19</v>
      </c>
      <c r="F37" s="17"/>
      <c r="G37" s="9">
        <f>October!G37+F37</f>
        <v>11</v>
      </c>
      <c r="H37" s="19"/>
      <c r="I37" s="9">
        <f>October!I37+H37</f>
        <v>0</v>
      </c>
    </row>
    <row r="38" spans="1:9" s="5" customFormat="1" ht="18" customHeight="1">
      <c r="A38" s="9" t="s">
        <v>41</v>
      </c>
      <c r="B38" s="13">
        <f>205+83+53+52+215+100+211+96+80+80+166+95+58+85+113+115+116+116+124+82+90+98+85+193+82+89+99+347+136+493+94+95+115+24+200+60+125+106+600+100+182+96+50+174+146+111+178+51+180+215+120+80+185+60+32+75+441+94+229+86+87+90+155+100+72+152+128+82+117+90+105+80+116+113+116+125+113+164+77+28+144+201+146+172+181+278+185+110+105+49+231+92+96+92+104+100+105+104+228+105+90+441+80+502+102+105+80+102+168+71+224+106+91+115+120+125+80+100+125+105+69+85+208+97+106+90+90+95+33+70+110+112+210+100+295+157+95+275+190+70+113+81+203+57+85+127+97+186+90+85+200+45+30+12+2+102+92+105+288+290+85+17+250+90+30+167+96+110+120+28+64+89+180+136+70+196+121+20+130+230+98+200+106+87+54+79+12+190+305+105</f>
        <v>24443</v>
      </c>
      <c r="C38" s="9">
        <f>October!C38+B38</f>
        <v>79043</v>
      </c>
      <c r="D38" s="15">
        <f>24+29+11+104+48</f>
        <v>216</v>
      </c>
      <c r="E38" s="9">
        <f>October!E38+D38</f>
        <v>1096</v>
      </c>
      <c r="F38" s="17"/>
      <c r="G38" s="9">
        <f>October!G38+F38</f>
        <v>135</v>
      </c>
      <c r="H38" s="19"/>
      <c r="I38" s="9">
        <f>October!I38+H38</f>
        <v>0</v>
      </c>
    </row>
    <row r="39" spans="1:9" s="5" customFormat="1" ht="18" customHeight="1">
      <c r="A39" s="9" t="s">
        <v>42</v>
      </c>
      <c r="B39" s="13">
        <f>12+80+75+12+6+23</f>
        <v>208</v>
      </c>
      <c r="C39" s="9">
        <f>October!C39+B39</f>
        <v>4390</v>
      </c>
      <c r="D39" s="15">
        <f>1+3+1+1+1+1+1</f>
        <v>9</v>
      </c>
      <c r="E39" s="9">
        <f>October!E39+D39</f>
        <v>65</v>
      </c>
      <c r="F39" s="17">
        <f>12</f>
        <v>12</v>
      </c>
      <c r="G39" s="9">
        <f>October!G39+F39</f>
        <v>2228</v>
      </c>
      <c r="H39" s="19"/>
      <c r="I39" s="9">
        <f>October!I39+H39</f>
        <v>0</v>
      </c>
    </row>
    <row r="40" spans="1:9" s="5" customFormat="1" ht="18" customHeight="1">
      <c r="A40" s="9" t="s">
        <v>43</v>
      </c>
      <c r="B40" s="13">
        <f>116+96+1+64+64+70+58+112+6+35+48+90+110+95+101+30+103+117+95+95+80+302+92+86+111+124+85+107+113+87+44+12+13+110+105+101+88+104+105+112+121+74+72+231+74+44</f>
        <v>4103</v>
      </c>
      <c r="C40" s="9">
        <f>October!C40+B40</f>
        <v>17868</v>
      </c>
      <c r="D40" s="15">
        <f>101+101+101+40+90+90+90+90+15+90+3+39+3+5+2+13+38+44+35+31+4+10+10+10+10+47+7+6+23+42+17+30+42+5+20+120+240+240+240+240+240+240+240+240+240+10+240+240+30+10+38+38+38+20+14+15+39+14+15+15+2+1</f>
        <v>4363</v>
      </c>
      <c r="E40" s="9">
        <f>October!E40+D40</f>
        <v>9563</v>
      </c>
      <c r="F40" s="17"/>
      <c r="G40" s="9">
        <f>October!G40+F40</f>
        <v>59</v>
      </c>
      <c r="H40" s="19"/>
      <c r="I40" s="9">
        <f>October!I40+H40</f>
        <v>0</v>
      </c>
    </row>
    <row r="41" spans="1:9" s="5" customFormat="1" ht="18" customHeight="1">
      <c r="A41" s="9" t="s">
        <v>44</v>
      </c>
      <c r="B41" s="13">
        <f>80+80+76+53+71+75</f>
        <v>435</v>
      </c>
      <c r="C41" s="9">
        <f>October!C41+B41</f>
        <v>2173</v>
      </c>
      <c r="D41" s="15">
        <f>70</f>
        <v>70</v>
      </c>
      <c r="E41" s="9">
        <f>October!E41+D41</f>
        <v>265</v>
      </c>
      <c r="F41" s="17"/>
      <c r="G41" s="9">
        <f>October!G41+F41</f>
        <v>69</v>
      </c>
      <c r="H41" s="19"/>
      <c r="I41" s="9">
        <f>October!I41+H41</f>
        <v>0</v>
      </c>
    </row>
    <row r="42" spans="1:9" s="5" customFormat="1" ht="18" customHeight="1">
      <c r="A42" s="9" t="s">
        <v>45</v>
      </c>
      <c r="B42" s="13">
        <f>60+60+108</f>
        <v>228</v>
      </c>
      <c r="C42" s="9">
        <f>October!C42+B42</f>
        <v>1496</v>
      </c>
      <c r="D42" s="15">
        <f>2</f>
        <v>2</v>
      </c>
      <c r="E42" s="9">
        <f>October!E42+D42</f>
        <v>246</v>
      </c>
      <c r="F42" s="17">
        <f>1+2+14</f>
        <v>17</v>
      </c>
      <c r="G42" s="9">
        <f>October!G42+F42</f>
        <v>1132</v>
      </c>
      <c r="H42" s="19"/>
      <c r="I42" s="9">
        <f>October!I42+H42</f>
        <v>0</v>
      </c>
    </row>
    <row r="43" spans="1:9" s="5" customFormat="1" ht="18" customHeight="1">
      <c r="A43" s="9" t="s">
        <v>46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</row>
    <row r="44" spans="1:9" s="5" customFormat="1" ht="18" customHeight="1">
      <c r="A44" s="9" t="s">
        <v>47</v>
      </c>
      <c r="B44" s="13">
        <f>93+87+87+93+96+84+149+90+94+108+90+195+92+92+150+89+98+91+93+90+79+79+205+95+89+89+116</f>
        <v>2813</v>
      </c>
      <c r="C44" s="9">
        <f>October!C44+B44</f>
        <v>16837</v>
      </c>
      <c r="D44" s="15"/>
      <c r="E44" s="9">
        <f>October!E44+D44</f>
        <v>0</v>
      </c>
      <c r="F44" s="17"/>
      <c r="G44" s="9">
        <f>October!G44+F44</f>
        <v>126</v>
      </c>
      <c r="H44" s="19"/>
      <c r="I44" s="9">
        <f>October!I44+H44</f>
        <v>0</v>
      </c>
    </row>
    <row r="45" spans="1:9" s="5" customFormat="1" ht="18" customHeight="1">
      <c r="A45" s="9" t="s">
        <v>48</v>
      </c>
      <c r="B45" s="13">
        <f>300+42+20+39+54+67+32+7+25+21+15+246+46+103+27+129+160+100+110+95+201+26+9+5+57+57+57+57+93+21+117+43+113+171+113+71+235+29+52+36+110+105+36+64+17+9+94+23+880+375+175+500+288+219+88+190+209+230+95+220+82+109+105+375+880+80+110+207+206+111+59+120+103+51+227+249+146+106+116+131+97+156+96+90+100+27+987+104+73+93+96+21+112+31+100+127+95+188+387+199+116+84+128+94+132+16+100+91+98+84+294+164+93+85+135+112+100+123+67+25+99+89+99+19+57+156+82+95+102+108+111+193+191+192+70+104+121+62+86+429+131+316+91+216+258+95+112+126+18+118+63+122+116+105+231+27+93+88+250+109+388+123+78+95+198+79+102+195+190+77+441+98+93+95+89+84+35+118+72+62+140+87+104+72+62+91+89+190+472+242+201+224+105+196+96+94+65+92+116+185+200+96+132+102+97+362+85+98+58+84+49+24+42+67+527+110+339+89+11+300+30+112+102+285+210+94+200+190+72+16+15+56+86+114+120+98+180+106+106+31+173+32+88+116+218+118+93+96+91+20+100+119+184+15+113+21+112+105+94+99+208+65+171+345+28907+334+500+78+106+108</f>
        <v>64730</v>
      </c>
      <c r="C45" s="9">
        <f>October!C45+B45</f>
        <v>280352</v>
      </c>
      <c r="D45" s="15">
        <f>18+38+8+2+62+3+35+7+2+1+39+69+90+14+10+22+11+18+12+8</f>
        <v>469</v>
      </c>
      <c r="E45" s="9">
        <f>October!E45+D45</f>
        <v>10936</v>
      </c>
      <c r="F45" s="17">
        <f>23</f>
        <v>23</v>
      </c>
      <c r="G45" s="9">
        <f>October!G45+F45</f>
        <v>327</v>
      </c>
      <c r="H45" s="19"/>
      <c r="I45" s="9">
        <f>October!I45+H45</f>
        <v>0</v>
      </c>
    </row>
    <row r="46" spans="1:9" s="5" customFormat="1" ht="18" customHeight="1">
      <c r="A46" s="9" t="s">
        <v>49</v>
      </c>
      <c r="B46" s="13">
        <f>80+55+62+107+80+67+61+70+67+62+58+72+84+62+60+94+25+40</f>
        <v>1206</v>
      </c>
      <c r="C46" s="9">
        <f>October!C46+B46</f>
        <v>14785</v>
      </c>
      <c r="D46" s="15">
        <f>7</f>
        <v>7</v>
      </c>
      <c r="E46" s="9">
        <f>October!E46+D46</f>
        <v>274</v>
      </c>
      <c r="F46" s="17"/>
      <c r="G46" s="9">
        <f>October!G46+F46</f>
        <v>81</v>
      </c>
      <c r="H46" s="19"/>
      <c r="I46" s="9">
        <f>October!I46+H46</f>
        <v>0</v>
      </c>
    </row>
    <row r="47" spans="1:9" s="5" customFormat="1" ht="18" customHeight="1">
      <c r="A47" s="9" t="s">
        <v>50</v>
      </c>
      <c r="B47" s="13">
        <f>8+243</f>
        <v>251</v>
      </c>
      <c r="C47" s="9">
        <f>October!C47+B47</f>
        <v>15702</v>
      </c>
      <c r="D47" s="15">
        <f>62+48+65+39+5+39+5+39+5+35+28+13+47+8+17+17+48+48+48+48+42+42+42+45</f>
        <v>835</v>
      </c>
      <c r="E47" s="9">
        <f>October!E47+D47</f>
        <v>7979</v>
      </c>
      <c r="F47" s="17">
        <v>250</v>
      </c>
      <c r="G47" s="9">
        <f>October!G47+F47</f>
        <v>1390</v>
      </c>
      <c r="H47" s="19"/>
      <c r="I47" s="9">
        <f>October!I47+H47</f>
        <v>90</v>
      </c>
    </row>
    <row r="48" spans="1:9" s="5" customFormat="1" ht="18" customHeight="1">
      <c r="A48" s="9" t="s">
        <v>51</v>
      </c>
      <c r="B48" s="13"/>
      <c r="C48" s="9">
        <f>October!C48+B48</f>
        <v>10174</v>
      </c>
      <c r="D48" s="15">
        <f>75+95+73+195</f>
        <v>438</v>
      </c>
      <c r="E48" s="9">
        <f>October!E48+D48</f>
        <v>445</v>
      </c>
      <c r="F48" s="17">
        <f>1+2</f>
        <v>3</v>
      </c>
      <c r="G48" s="9">
        <f>October!G48+F48</f>
        <v>327</v>
      </c>
      <c r="H48" s="19"/>
      <c r="I48" s="9">
        <f>October!I48+H48</f>
        <v>120</v>
      </c>
    </row>
    <row r="49" spans="1:9" s="5" customFormat="1" ht="18" customHeight="1">
      <c r="A49" s="9" t="s">
        <v>52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123</v>
      </c>
      <c r="H49" s="19"/>
      <c r="I49" s="9">
        <f>October!I49+H49</f>
        <v>0</v>
      </c>
    </row>
    <row r="50" spans="1:9" s="5" customFormat="1" ht="18" customHeight="1">
      <c r="A50" s="9" t="s">
        <v>53</v>
      </c>
      <c r="B50" s="13">
        <f>85+58+138+250+120+90+300+16+85+136+140+240+64+65+82+62+65+260</f>
        <v>2256</v>
      </c>
      <c r="C50" s="9">
        <f>October!C50+B50</f>
        <v>20827</v>
      </c>
      <c r="D50" s="15"/>
      <c r="E50" s="9">
        <f>October!E50+D50</f>
        <v>62</v>
      </c>
      <c r="F50" s="17"/>
      <c r="G50" s="9">
        <f>October!G50+F50</f>
        <v>1</v>
      </c>
      <c r="H50" s="19"/>
      <c r="I50" s="9">
        <f>October!I50+H50</f>
        <v>0</v>
      </c>
    </row>
    <row r="51" spans="1:9" s="5" customFormat="1" ht="18" customHeight="1">
      <c r="A51" s="9" t="s">
        <v>54</v>
      </c>
      <c r="B51" s="13">
        <f>26+51+3</f>
        <v>80</v>
      </c>
      <c r="C51" s="9">
        <f>October!C51+B51</f>
        <v>2010</v>
      </c>
      <c r="D51" s="15"/>
      <c r="E51" s="9">
        <f>October!E51+D51</f>
        <v>21</v>
      </c>
      <c r="F51" s="17"/>
      <c r="G51" s="9">
        <f>October!G51+F51</f>
        <v>466</v>
      </c>
      <c r="H51" s="19"/>
      <c r="I51" s="9">
        <f>October!I51+H51</f>
        <v>0</v>
      </c>
    </row>
    <row r="52" spans="1:9" s="5" customFormat="1" ht="18" customHeight="1">
      <c r="A52" s="9" t="s">
        <v>55</v>
      </c>
      <c r="B52" s="13">
        <f>13+63+80+90+71+63+65+51+60+49+30+80+96+65+62+62+60+80+70+68+63+80+62+65+75+92+58+37+20+24+33+54</f>
        <v>1941</v>
      </c>
      <c r="C52" s="9">
        <f>October!C52+B52</f>
        <v>10428</v>
      </c>
      <c r="D52" s="15"/>
      <c r="E52" s="9">
        <f>October!E52+D52</f>
        <v>63</v>
      </c>
      <c r="F52" s="17"/>
      <c r="G52" s="9">
        <f>October!G52+F52</f>
        <v>0</v>
      </c>
      <c r="H52" s="19"/>
      <c r="I52" s="9">
        <f>October!I52+H52</f>
        <v>0</v>
      </c>
    </row>
    <row r="53" spans="1:9" s="5" customFormat="1" ht="18" customHeight="1">
      <c r="A53" s="9" t="s">
        <v>56</v>
      </c>
      <c r="B53" s="13">
        <f>17+69+32+3+38+101+57+10+15+39+55+21+11+63+135+201+7+98+166+69+20+17+60+201+29+72+50+21+26+23+20+380+115+302+48+12+13+25+5+18+28+21+114+29+17+7+102+36+56+4+69+4+13+92+172+125+58+91+27+188+24+31+71+73+84+11+10+63+4+79+68+36+55+4+37+27+23+20+31+74+3+9+16+9+130+102+98+101+171+205+111+206+185+360+92</f>
        <v>6540</v>
      </c>
      <c r="C53" s="9">
        <f>October!C53+B53</f>
        <v>38746</v>
      </c>
      <c r="D53" s="15">
        <f>22+26+12+8+6+31+12+71+11+58+111+39+8+27+68+51+57</f>
        <v>618</v>
      </c>
      <c r="E53" s="9">
        <f>October!E53+D53</f>
        <v>2804</v>
      </c>
      <c r="F53" s="17">
        <f>682</f>
        <v>682</v>
      </c>
      <c r="G53" s="9">
        <f>October!G53+F53</f>
        <v>10442</v>
      </c>
      <c r="H53" s="19"/>
      <c r="I53" s="9">
        <f>October!I53+H53</f>
        <v>0</v>
      </c>
    </row>
    <row r="54" spans="1:9" s="5" customFormat="1" ht="18" customHeight="1" thickBot="1">
      <c r="A54" s="10" t="s">
        <v>57</v>
      </c>
      <c r="B54" s="13">
        <f>93+50+76+40+364+95+140+40+54+404+193+120+190+304+110+105+95+67+85+180+97+85+95+110+180+90+90+50+225+210+200+103+94+147+194+105+900+68+15+12+170+97+139+174+350+78+104+195+65</f>
        <v>7247</v>
      </c>
      <c r="C54" s="9">
        <f>October!C54+B54</f>
        <v>27561</v>
      </c>
      <c r="D54" s="16">
        <f>84+46+53+32+33+13</f>
        <v>261</v>
      </c>
      <c r="E54" s="9">
        <f>October!E54+D54</f>
        <v>1802</v>
      </c>
      <c r="F54" s="17"/>
      <c r="G54" s="9">
        <f>October!G54+F54</f>
        <v>0</v>
      </c>
      <c r="H54" s="19"/>
      <c r="I54" s="9">
        <f>October!I54+H54</f>
        <v>0</v>
      </c>
    </row>
    <row r="55" spans="1:9" s="5" customFormat="1" ht="18" customHeight="1" thickBot="1" thickTop="1">
      <c r="A55" s="11" t="s">
        <v>58</v>
      </c>
      <c r="B55" s="11">
        <f>SUM(B5:B54)</f>
        <v>231526</v>
      </c>
      <c r="C55" s="11"/>
      <c r="D55" s="11">
        <f>SUM(D5:D54)</f>
        <v>12035</v>
      </c>
      <c r="E55" s="11"/>
      <c r="F55" s="11">
        <f>SUM(F5:F54)</f>
        <v>3172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October!C57+B55</f>
        <v>1205899</v>
      </c>
      <c r="D57" s="11"/>
      <c r="E57" s="11">
        <f>October!E57+D55</f>
        <v>66448</v>
      </c>
      <c r="F57" s="11"/>
      <c r="G57" s="11">
        <f>October!G57+F55</f>
        <v>54343</v>
      </c>
      <c r="H57" s="11"/>
      <c r="I57" s="11">
        <f>October!I57+H55</f>
        <v>661</v>
      </c>
    </row>
    <row r="58" s="5" customFormat="1" ht="18" customHeight="1" thickTop="1"/>
    <row r="59" s="5" customFormat="1" ht="18" customHeight="1">
      <c r="A59" s="5" t="s">
        <v>60</v>
      </c>
    </row>
    <row r="60" spans="1:4" s="5" customFormat="1" ht="18" customHeight="1">
      <c r="A60" s="5" t="s">
        <v>13</v>
      </c>
      <c r="D60" s="5">
        <v>39</v>
      </c>
    </row>
    <row r="61" s="5" customFormat="1" ht="18" customHeight="1"/>
    <row r="62" spans="1:7" s="4" customFormat="1" ht="18" customHeight="1">
      <c r="A62" s="4" t="s">
        <v>61</v>
      </c>
      <c r="E62" s="4">
        <f>October!E62+D60</f>
        <v>7797</v>
      </c>
      <c r="G62" s="4">
        <f>October!G62+F60</f>
        <v>25410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32">
      <selection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74</v>
      </c>
      <c r="H1" s="2" t="s">
        <v>75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>
        <f>76</f>
        <v>76</v>
      </c>
      <c r="C5" s="9">
        <f>November!C5+B5</f>
        <v>4574</v>
      </c>
      <c r="D5" s="15"/>
      <c r="E5" s="9">
        <f>November!E5+D5</f>
        <v>1196</v>
      </c>
      <c r="F5" s="17"/>
      <c r="G5" s="9">
        <f>November!G5+F5</f>
        <v>116</v>
      </c>
      <c r="H5" s="19"/>
      <c r="I5" s="9">
        <f>November!I5+H5</f>
        <v>0</v>
      </c>
    </row>
    <row r="6" spans="1:9" s="5" customFormat="1" ht="18" customHeight="1">
      <c r="A6" s="9" t="s">
        <v>9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</row>
    <row r="7" spans="1:9" s="5" customFormat="1" ht="18" customHeight="1">
      <c r="A7" s="9" t="s">
        <v>10</v>
      </c>
      <c r="B7" s="13"/>
      <c r="C7" s="9">
        <f>November!C7+B7</f>
        <v>198</v>
      </c>
      <c r="D7" s="15"/>
      <c r="E7" s="9">
        <f>November!E7+D7</f>
        <v>5</v>
      </c>
      <c r="F7" s="17"/>
      <c r="G7" s="9"/>
      <c r="H7" s="19"/>
      <c r="I7" s="9">
        <f>November!I7+H7</f>
        <v>0</v>
      </c>
    </row>
    <row r="8" spans="1:9" s="5" customFormat="1" ht="18" customHeight="1">
      <c r="A8" s="9" t="s">
        <v>11</v>
      </c>
      <c r="B8" s="13">
        <f>90+99</f>
        <v>189</v>
      </c>
      <c r="C8" s="9">
        <f>November!C8+B8</f>
        <v>8711</v>
      </c>
      <c r="D8" s="15"/>
      <c r="E8" s="9">
        <f>November!E8+D8</f>
        <v>17</v>
      </c>
      <c r="F8" s="17"/>
      <c r="G8" s="9">
        <f>November!G8+F8</f>
        <v>18</v>
      </c>
      <c r="H8" s="19"/>
      <c r="I8" s="9">
        <f>November!I8+H8</f>
        <v>0</v>
      </c>
    </row>
    <row r="9" spans="1:9" s="5" customFormat="1" ht="18" customHeight="1">
      <c r="A9" s="9" t="s">
        <v>12</v>
      </c>
      <c r="B9" s="13">
        <f>11+26+33+14+1+32</f>
        <v>117</v>
      </c>
      <c r="C9" s="9">
        <f>November!C9+B9</f>
        <v>1065</v>
      </c>
      <c r="D9" s="15"/>
      <c r="E9" s="9">
        <f>November!E9+D9</f>
        <v>278</v>
      </c>
      <c r="F9" s="17">
        <f>410+283+1+236</f>
        <v>930</v>
      </c>
      <c r="G9" s="9">
        <f>November!G9+F9</f>
        <v>2832</v>
      </c>
      <c r="H9" s="19">
        <f>75</f>
        <v>75</v>
      </c>
      <c r="I9" s="9">
        <f>November!I9+H9</f>
        <v>219</v>
      </c>
    </row>
    <row r="10" spans="1:9" s="5" customFormat="1" ht="18" customHeight="1">
      <c r="A10" s="9" t="s">
        <v>13</v>
      </c>
      <c r="B10" s="13"/>
      <c r="C10" s="9">
        <f>November!C10+B10</f>
        <v>1041</v>
      </c>
      <c r="D10" s="15">
        <v>9</v>
      </c>
      <c r="E10" s="9">
        <f>November!E10+D10</f>
        <v>231</v>
      </c>
      <c r="F10" s="17"/>
      <c r="G10" s="9">
        <f>November!G10+F10</f>
        <v>605</v>
      </c>
      <c r="H10" s="19"/>
      <c r="I10" s="9">
        <f>November!I10+H10</f>
        <v>0</v>
      </c>
    </row>
    <row r="11" spans="1:9" s="5" customFormat="1" ht="18" customHeight="1">
      <c r="A11" s="9" t="s">
        <v>14</v>
      </c>
      <c r="B11" s="13">
        <f>30</f>
        <v>30</v>
      </c>
      <c r="C11" s="9">
        <f>November!C11+B11</f>
        <v>1699</v>
      </c>
      <c r="D11" s="15">
        <f>153+61+95+195+140+100+2+46+48+1+2+2</f>
        <v>845</v>
      </c>
      <c r="E11" s="9">
        <f>November!E11+D11</f>
        <v>1427</v>
      </c>
      <c r="F11" s="17">
        <f>2+1</f>
        <v>3</v>
      </c>
      <c r="G11" s="9">
        <f>November!G11+F11</f>
        <v>786</v>
      </c>
      <c r="H11" s="19"/>
      <c r="I11" s="9">
        <f>November!I11+H11</f>
        <v>0</v>
      </c>
    </row>
    <row r="12" spans="1:9" s="5" customFormat="1" ht="18" customHeight="1">
      <c r="A12" s="9" t="s">
        <v>15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</row>
    <row r="13" spans="1:9" s="5" customFormat="1" ht="18" customHeight="1">
      <c r="A13" s="9" t="s">
        <v>16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</row>
    <row r="14" spans="1:9" s="5" customFormat="1" ht="18" customHeight="1">
      <c r="A14" s="9" t="s">
        <v>17</v>
      </c>
      <c r="B14" s="13"/>
      <c r="C14" s="9">
        <f>November!C14+B14</f>
        <v>1115</v>
      </c>
      <c r="D14" s="15"/>
      <c r="E14" s="9">
        <f>November!E14+D14</f>
        <v>3</v>
      </c>
      <c r="F14" s="17"/>
      <c r="G14" s="9">
        <f>November!G14+F14</f>
        <v>0</v>
      </c>
      <c r="H14" s="19"/>
      <c r="I14" s="9">
        <f>November!I14+H14</f>
        <v>0</v>
      </c>
    </row>
    <row r="15" spans="1:9" s="5" customFormat="1" ht="18" customHeight="1">
      <c r="A15" s="9" t="s">
        <v>18</v>
      </c>
      <c r="B15" s="13">
        <f>62+23+40+40+70+67+75</f>
        <v>377</v>
      </c>
      <c r="C15" s="9">
        <f>November!C15+B15</f>
        <v>4965</v>
      </c>
      <c r="D15" s="15"/>
      <c r="E15" s="9">
        <f>November!E15+D15</f>
        <v>189</v>
      </c>
      <c r="F15" s="17">
        <f>2</f>
        <v>2</v>
      </c>
      <c r="G15" s="9">
        <f>November!G15+F15</f>
        <v>2</v>
      </c>
      <c r="H15" s="19"/>
      <c r="I15" s="9">
        <f>November!I15+H15</f>
        <v>0</v>
      </c>
    </row>
    <row r="16" spans="1:9" s="5" customFormat="1" ht="18" customHeight="1">
      <c r="A16" s="9" t="s">
        <v>19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</row>
    <row r="17" spans="1:9" s="5" customFormat="1" ht="18" customHeight="1">
      <c r="A17" s="9" t="s">
        <v>20</v>
      </c>
      <c r="B17" s="13">
        <f>103+90+100+87+240</f>
        <v>620</v>
      </c>
      <c r="C17" s="9">
        <f>November!C17+B17</f>
        <v>11259</v>
      </c>
      <c r="D17" s="15">
        <f>150+53+60+1</f>
        <v>264</v>
      </c>
      <c r="E17" s="9">
        <f>November!E17+D17</f>
        <v>1504</v>
      </c>
      <c r="F17" s="17">
        <v>2</v>
      </c>
      <c r="G17" s="9">
        <f>November!G17+F17</f>
        <v>304</v>
      </c>
      <c r="H17" s="19"/>
      <c r="I17" s="9">
        <f>November!I17+H17</f>
        <v>0</v>
      </c>
    </row>
    <row r="18" spans="1:9" s="5" customFormat="1" ht="18" customHeight="1">
      <c r="A18" s="9" t="s">
        <v>21</v>
      </c>
      <c r="B18" s="13">
        <f>1+13+75+17+7+7+9+6+67+66+9+9+17+28+2+76+86+62</f>
        <v>557</v>
      </c>
      <c r="C18" s="9">
        <f>November!C18+B18</f>
        <v>6667</v>
      </c>
      <c r="D18" s="15">
        <f>2+2+1+2+75+7+1+4+2+2+1+1+18+56+7+30+1+1+1+10+9</f>
        <v>233</v>
      </c>
      <c r="E18" s="9">
        <f>November!E18+D18</f>
        <v>754</v>
      </c>
      <c r="F18" s="17">
        <f>1+1+1+1+1+1+1+1+1+1+1+1+1+1+1+1+1+1+1+1+14</f>
        <v>34</v>
      </c>
      <c r="G18" s="9">
        <f>November!G18+F18</f>
        <v>1112</v>
      </c>
      <c r="H18" s="19"/>
      <c r="I18" s="9">
        <f>November!I18+H18</f>
        <v>0</v>
      </c>
    </row>
    <row r="19" spans="1:9" s="5" customFormat="1" ht="18" customHeight="1">
      <c r="A19" s="9" t="s">
        <v>22</v>
      </c>
      <c r="B19" s="13">
        <f>26+57+15+6+435</f>
        <v>539</v>
      </c>
      <c r="C19" s="9">
        <f>November!C19+B19</f>
        <v>11566</v>
      </c>
      <c r="D19" s="15">
        <f>1+4+1+12+12+12+6+12+5+12+1+18+6+150</f>
        <v>252</v>
      </c>
      <c r="E19" s="9">
        <f>November!E19+D19</f>
        <v>1064</v>
      </c>
      <c r="F19" s="17">
        <f>114+150+150+150+22</f>
        <v>586</v>
      </c>
      <c r="G19" s="9">
        <f>November!G19+F19</f>
        <v>5175</v>
      </c>
      <c r="H19" s="19"/>
      <c r="I19" s="9">
        <f>November!I19+H19</f>
        <v>0</v>
      </c>
    </row>
    <row r="20" spans="1:9" s="5" customFormat="1" ht="18" customHeight="1">
      <c r="A20" s="9" t="s">
        <v>23</v>
      </c>
      <c r="B20" s="13">
        <f>170+68+80+210+50+179+15+15+146+10+79+59+25+56+69+175+71+61+190+130+49+79+74+23+48+75+17</f>
        <v>2223</v>
      </c>
      <c r="C20" s="9">
        <f>November!C20+B20</f>
        <v>34694</v>
      </c>
      <c r="D20" s="15">
        <f>6+4+2+12</f>
        <v>24</v>
      </c>
      <c r="E20" s="9">
        <f>November!E20+D20</f>
        <v>2428</v>
      </c>
      <c r="F20" s="17"/>
      <c r="G20" s="9">
        <f>November!G20+F20</f>
        <v>939</v>
      </c>
      <c r="H20" s="19"/>
      <c r="I20" s="9">
        <f>November!I20+H20</f>
        <v>0</v>
      </c>
    </row>
    <row r="21" spans="1:9" s="5" customFormat="1" ht="18" customHeight="1">
      <c r="A21" s="9" t="s">
        <v>24</v>
      </c>
      <c r="B21" s="13">
        <f>195+73+56+69+200+133+248+70+59+71+110+88+65+136+66+60+90+340+151+121+113+108+160+114+32+28+150+60+80+86+82+70+75+153+22+96+286+191+55+18+53+33+31+71+69+71+97+63+61+137+52+36+28+53+57+140+220+130+86+70+66+135+68+335+170+72+200+76+185+65+185+59+198+53+21+61+60+69+160+72+63+132+62+83+75+125+61+62+81+77+72+81+86+74+114+87+65+78+129+46+44+79+40+40+65+67+13+60+55+13+56+62+115+61+4+60+100+66+62+70</f>
        <v>11033</v>
      </c>
      <c r="C21" s="9">
        <f>November!C21+B21</f>
        <v>127090</v>
      </c>
      <c r="D21" s="15">
        <f>1+1+4+10+13+12</f>
        <v>41</v>
      </c>
      <c r="E21" s="9">
        <f>November!E21+D21</f>
        <v>234</v>
      </c>
      <c r="F21" s="17"/>
      <c r="G21" s="9">
        <f>November!G21+F21</f>
        <v>110</v>
      </c>
      <c r="H21" s="19"/>
      <c r="I21" s="9">
        <f>November!I21+H21</f>
        <v>0</v>
      </c>
    </row>
    <row r="22" spans="1:9" s="5" customFormat="1" ht="18" customHeight="1">
      <c r="A22" s="9" t="s">
        <v>25</v>
      </c>
      <c r="B22" s="13"/>
      <c r="C22" s="9">
        <f>November!C22+B22</f>
        <v>0</v>
      </c>
      <c r="D22" s="15"/>
      <c r="E22" s="9">
        <f>November!E22+D22</f>
        <v>0</v>
      </c>
      <c r="F22" s="17"/>
      <c r="G22" s="9">
        <f>November!G22+F22</f>
        <v>0</v>
      </c>
      <c r="H22" s="19"/>
      <c r="I22" s="9">
        <f>November!I22+H22</f>
        <v>0</v>
      </c>
    </row>
    <row r="23" spans="1:9" s="5" customFormat="1" ht="18" customHeight="1">
      <c r="A23" s="9" t="s">
        <v>26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0</v>
      </c>
      <c r="H23" s="19"/>
      <c r="I23" s="9">
        <f>November!I23+H23</f>
        <v>0</v>
      </c>
    </row>
    <row r="24" spans="1:9" s="5" customFormat="1" ht="18" customHeight="1">
      <c r="A24" s="9" t="s">
        <v>27</v>
      </c>
      <c r="B24" s="13">
        <v>63</v>
      </c>
      <c r="C24" s="9">
        <f>November!C24+B24</f>
        <v>63</v>
      </c>
      <c r="D24" s="15"/>
      <c r="E24" s="9">
        <f>November!E24+D24</f>
        <v>7</v>
      </c>
      <c r="F24" s="17"/>
      <c r="G24" s="9">
        <f>November!G24+F24</f>
        <v>17</v>
      </c>
      <c r="H24" s="19"/>
      <c r="I24" s="9">
        <f>November!I24+H24</f>
        <v>0</v>
      </c>
    </row>
    <row r="25" spans="1:9" s="5" customFormat="1" ht="18" customHeight="1">
      <c r="A25" s="9" t="s">
        <v>28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0</v>
      </c>
      <c r="H25" s="19"/>
      <c r="I25" s="9">
        <f>November!I25+H25</f>
        <v>0</v>
      </c>
    </row>
    <row r="26" spans="1:9" s="5" customFormat="1" ht="18" customHeight="1">
      <c r="A26" s="9" t="s">
        <v>29</v>
      </c>
      <c r="B26" s="13">
        <f>145+98</f>
        <v>243</v>
      </c>
      <c r="C26" s="9">
        <f>November!C26+B26</f>
        <v>9550</v>
      </c>
      <c r="D26" s="15">
        <f>1+3+9+4+6</f>
        <v>23</v>
      </c>
      <c r="E26" s="9">
        <f>November!E26+D26</f>
        <v>288</v>
      </c>
      <c r="F26" s="17"/>
      <c r="G26" s="9">
        <f>November!G26+F26</f>
        <v>39</v>
      </c>
      <c r="H26" s="19"/>
      <c r="I26" s="9">
        <f>November!I26+H26</f>
        <v>0</v>
      </c>
    </row>
    <row r="27" spans="1:9" s="5" customFormat="1" ht="18" customHeight="1">
      <c r="A27" s="9" t="s">
        <v>30</v>
      </c>
      <c r="B27" s="13">
        <f>3+10+25+19+22+35+29+64+86+17+2+13+13+17+17+6+14+2+5+8+11+13+17+2+9+9+15+2+5+4+2+96+48+5+26+26+1+9+1+7+8+9+4+1+1+63+16+12+20+83+63+57+17+29+32+49+55+1+33+29+20+3+43+61+26+120+7+12+56+68+334+103+23+129+72+106+70+134+120+65+144+99+135+55+160+53+46+46+2+19+4+10+5+11+97+134+30+4+27+3+73+40+31+14+9+75+12+17+12+17+14+92+156+47</f>
        <v>4562</v>
      </c>
      <c r="C27" s="9">
        <f>November!C27+B27</f>
        <v>45960</v>
      </c>
      <c r="D27" s="15">
        <f>6+53+10+73+1+46+1+2+10+92+6+2+2+2+1+2+1+1+16+10+22+12+39+6+8+12+5+3+1+1+12+10+3+1+2</f>
        <v>474</v>
      </c>
      <c r="E27" s="9">
        <f>November!E27+D27</f>
        <v>2288</v>
      </c>
      <c r="F27" s="17">
        <f>50+50+50+50+1+1+1+1+2+12+16+146+1+2+1+9+123+101+7+19+37</f>
        <v>680</v>
      </c>
      <c r="G27" s="9">
        <f>November!G27+F27</f>
        <v>21625</v>
      </c>
      <c r="H27" s="19"/>
      <c r="I27" s="9">
        <f>November!I27+H27</f>
        <v>0</v>
      </c>
    </row>
    <row r="28" spans="1:9" s="5" customFormat="1" ht="18" customHeight="1">
      <c r="A28" s="9" t="s">
        <v>31</v>
      </c>
      <c r="B28" s="13">
        <f>68+69</f>
        <v>137</v>
      </c>
      <c r="C28" s="9">
        <f>November!C28+B28</f>
        <v>5275</v>
      </c>
      <c r="D28" s="15">
        <f>3</f>
        <v>3</v>
      </c>
      <c r="E28" s="9">
        <f>November!E28+D28</f>
        <v>145</v>
      </c>
      <c r="F28" s="17"/>
      <c r="G28" s="9">
        <f>November!G28+F28</f>
        <v>0</v>
      </c>
      <c r="H28" s="19"/>
      <c r="I28" s="9">
        <f>November!I28+H28</f>
        <v>0</v>
      </c>
    </row>
    <row r="29" spans="1:9" s="5" customFormat="1" ht="18" customHeight="1">
      <c r="A29" s="9" t="s">
        <v>32</v>
      </c>
      <c r="B29" s="13">
        <f>25804+29+219+91+82+89+94+74+90+77+74+60+72+108+64+60+188+3+170+60+31+96+297+67+101+86+87+3+15+21+59+25+52+80+140+36+29+76+165+18+20+94+96+67+297+96+31+108+72+64+60+86+170+135+101+87+3+188+33+15+21+59+25+52+80+140+36+96+94+20+18+165+76+29+86+74+92+383+70+154+14+60+1+166+120+71+72+66+90+25+63+34+80+89+180+85+116+91+58+11+48+82+188+85+13+144+92+4+84+196+73+91+88+106+78+93+132+93+90+91+72+23+68+76+60+71+294+88+62+150+130+20+64+746+52+92+84+81+9+70+22+74+61+106+80+60+87+67+59+62+42+130+7+91+24+63+76+95+78+162+85+127+35+66+78+235+60+80+23+75+84+66+89+139+165+88+63+167+63+9+7+3+79+100+53+7+67+71+62+99+68+56+88+33+63+87+100+13+18+29+63+67+114+550+112+125+91+86+89</f>
        <v>43903</v>
      </c>
      <c r="C29" s="9">
        <f>November!C29+B29</f>
        <v>188261</v>
      </c>
      <c r="D29" s="15">
        <f>1+15+18+20+13+15+5+5+5+4+4+7+7+1+12+20+5+4+20+4+11+7+42+1+1+2+1+42+14+1+10+8+14+5+14+14+16+4+1+27+40+40+73+36+1+31</f>
        <v>641</v>
      </c>
      <c r="E29" s="9">
        <f>November!E29+D29</f>
        <v>5751</v>
      </c>
      <c r="F29" s="17">
        <f>43</f>
        <v>43</v>
      </c>
      <c r="G29" s="9">
        <f>November!G29+F29</f>
        <v>1098</v>
      </c>
      <c r="H29" s="19"/>
      <c r="I29" s="9">
        <f>November!I29+H29</f>
        <v>277</v>
      </c>
    </row>
    <row r="30" spans="1:9" s="5" customFormat="1" ht="18" customHeight="1">
      <c r="A30" s="9" t="s">
        <v>33</v>
      </c>
      <c r="B30" s="13">
        <f>28+79+290+180+75+31+181+79+65+115+418+375+90+86+82+220+100+95+105+86+128+34+9+18+170+134+185+40+29+47+85+113+100+27+45+500+105+180+175+100+110+275+52+190+120+184+81+235+610+110+86+80+100+215+55+16+41+59+34+38+8+89+25+105+85+76+460+225+97+225+198+63+140+86+49+29+22+102+703+115+84+48+110+35+44+116+70+189+109+108+51+113+19+113+95+45+70+95+380+55+825+33+65+44+3+54+5+39+94+62+38+21+80+95+145+89+70+100+115+110+42+19+28+11+19+876+39+30+99+82+125+15+150+109+103+38+46+12+150+96+100+100+120+57+90+32+34+66+13+95+74+8+145+200+325+300+17+115+95+130+105+85+93+81+83+100+110+400+4+108+123+105+132+6+51+19+80+182+296+106+12+270</f>
        <v>21389</v>
      </c>
      <c r="C30" s="9">
        <f>November!C30+B30</f>
        <v>211834</v>
      </c>
      <c r="D30" s="15">
        <f>2+47+46+2+1+4+176+121+55+1+43+50+47+55+48+15+11+1+18+15+120+2+45+58+3+41+90+109+50+8</f>
        <v>1284</v>
      </c>
      <c r="E30" s="9">
        <f>November!E30+D30</f>
        <v>7668</v>
      </c>
      <c r="F30" s="17"/>
      <c r="G30" s="9">
        <f>November!G30+F30</f>
        <v>0</v>
      </c>
      <c r="H30" s="19"/>
      <c r="I30" s="9">
        <f>November!I30+H30</f>
        <v>0</v>
      </c>
    </row>
    <row r="31" spans="1:9" s="5" customFormat="1" ht="18" customHeight="1">
      <c r="A31" s="9" t="s">
        <v>34</v>
      </c>
      <c r="B31" s="13">
        <f>3+4+18+11+90+5+45+21+118+100+175+100+54+71+93+210+110+100+326+83+121+73+3+140+180+110+118+145+91+116+170+208+124+245+27+91+45+110+80+80+89+96+98+90+112+100+111+2+137+175+120+81+1+178+80+180+85+110+94+98+57+240+135+83+138+236+71+185+93+70+151+80+188+94+166+40+34+39+90+3+100+197+75+35+93+189+266+100+82+190+77+361+106+81+38+73+59+37+99+126+255+230+100+25+100+331+126+67+90+19</f>
        <v>11971</v>
      </c>
      <c r="C31" s="9">
        <f>November!C31+B31</f>
        <v>82826</v>
      </c>
      <c r="D31" s="15">
        <f>4+25+7+5+2+15+44+30+43+8+50+41+42+6+76+41+100+44+10+176+41+3+1+14+8+15+15+2+2+8+55+39+3+11+1+19+68+71+48+2+31+1+50+85+45+9+29+45+8+4+1+44+45+45+44+40+52+50+5+2+195+50+33+49+38+39+43+6+4+15+46+43+123+41+57+54+40+52+40+5+1+4+1+1</f>
        <v>2810</v>
      </c>
      <c r="E31" s="9">
        <f>November!E31+D31</f>
        <v>11329</v>
      </c>
      <c r="F31" s="17">
        <f>15+43+40+80+80+43+41+40+40+40+40+12+40+40+40+12+2+153</f>
        <v>801</v>
      </c>
      <c r="G31" s="9">
        <f>November!G31+F31</f>
        <v>3991</v>
      </c>
      <c r="H31" s="19"/>
      <c r="I31" s="9">
        <f>November!I31+H31</f>
        <v>30</v>
      </c>
    </row>
    <row r="32" spans="1:9" s="5" customFormat="1" ht="18" customHeight="1">
      <c r="A32" s="9" t="s">
        <v>35</v>
      </c>
      <c r="B32" s="13">
        <v>160</v>
      </c>
      <c r="C32" s="9">
        <f>November!C32+B32</f>
        <v>160</v>
      </c>
      <c r="D32" s="15">
        <f>48</f>
        <v>48</v>
      </c>
      <c r="E32" s="9">
        <f>November!E32+D32</f>
        <v>48</v>
      </c>
      <c r="F32" s="17"/>
      <c r="G32" s="9">
        <f>November!G32+F32</f>
        <v>0</v>
      </c>
      <c r="H32" s="19"/>
      <c r="I32" s="9">
        <f>November!I32+H32</f>
        <v>0</v>
      </c>
    </row>
    <row r="33" spans="1:9" s="5" customFormat="1" ht="18" customHeight="1">
      <c r="A33" s="9" t="s">
        <v>36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80</v>
      </c>
      <c r="H33" s="19"/>
      <c r="I33" s="9">
        <f>November!I33+H33</f>
        <v>0</v>
      </c>
    </row>
    <row r="34" spans="1:9" s="5" customFormat="1" ht="18" customHeight="1">
      <c r="A34" s="9" t="s">
        <v>37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</row>
    <row r="35" spans="1:9" s="5" customFormat="1" ht="18" customHeight="1">
      <c r="A35" s="9" t="s">
        <v>38</v>
      </c>
      <c r="B35" s="13">
        <f>110+2</f>
        <v>112</v>
      </c>
      <c r="C35" s="9">
        <f>November!C35+B35</f>
        <v>2404</v>
      </c>
      <c r="D35" s="15">
        <f>38</f>
        <v>38</v>
      </c>
      <c r="E35" s="9">
        <f>November!E35+D35</f>
        <v>868</v>
      </c>
      <c r="F35" s="17"/>
      <c r="G35" s="9">
        <f>November!G35+F35</f>
        <v>951</v>
      </c>
      <c r="H35" s="19"/>
      <c r="I35" s="9">
        <f>November!I35+H35</f>
        <v>0</v>
      </c>
    </row>
    <row r="36" spans="1:9" s="5" customFormat="1" ht="18" customHeight="1">
      <c r="A36" s="9" t="s">
        <v>39</v>
      </c>
      <c r="B36" s="13">
        <f>30</f>
        <v>30</v>
      </c>
      <c r="C36" s="9">
        <f>November!C36+B36</f>
        <v>30</v>
      </c>
      <c r="D36" s="15">
        <f>51</f>
        <v>51</v>
      </c>
      <c r="E36" s="9">
        <f>November!E36+D36</f>
        <v>126</v>
      </c>
      <c r="F36" s="17">
        <f>83+84+21+37+34+8+7+9+8+9+9+8+5+10+9</f>
        <v>341</v>
      </c>
      <c r="G36" s="9">
        <f>November!G36+F36</f>
        <v>892</v>
      </c>
      <c r="H36" s="19"/>
      <c r="I36" s="9">
        <f>November!I36+H36</f>
        <v>0</v>
      </c>
    </row>
    <row r="37" spans="1:9" s="5" customFormat="1" ht="18" customHeight="1">
      <c r="A37" s="9" t="s">
        <v>40</v>
      </c>
      <c r="B37" s="13">
        <f>81</f>
        <v>81</v>
      </c>
      <c r="C37" s="9">
        <f>November!C37+B37</f>
        <v>912</v>
      </c>
      <c r="D37" s="15">
        <f>4</f>
        <v>4</v>
      </c>
      <c r="E37" s="9">
        <f>November!E37+D37</f>
        <v>23</v>
      </c>
      <c r="F37" s="17"/>
      <c r="G37" s="9">
        <f>November!G37+F37</f>
        <v>11</v>
      </c>
      <c r="H37" s="19"/>
      <c r="I37" s="9">
        <f>November!I37+H37</f>
        <v>0</v>
      </c>
    </row>
    <row r="38" spans="1:9" s="5" customFormat="1" ht="18" customHeight="1">
      <c r="A38" s="9" t="s">
        <v>41</v>
      </c>
      <c r="B38" s="13">
        <f>106+289+100+85+73+127+88+75+135+119+112+114+132+111+103+66+93+80+78+740+58+180+73+28+104+36+113+86+201+197+55+92+42+101+108+118+70+55+110+39+138+207+92+74+298+204+46+88+49+96+112+45+92+127+39+329+178+110+83+156+98+103+65+110+243+52+110+168+112+104+94+104+83+106+182+344+57+87+97+80+116+82+62+130+82+14+335+35+157+31+92+53+247+57+33+129+85+98+101+106+121+97+74+96+117+92+140+100+100+100+31+8+85+60+95+90+35+43+85+38+97+85+67+72+72+75+49+76+108+106+50+44+84+72+200+49</f>
        <v>14612</v>
      </c>
      <c r="C38" s="9">
        <f>November!C38+B38</f>
        <v>93655</v>
      </c>
      <c r="D38" s="15">
        <f>241+2+45+29+25+33+13+2</f>
        <v>390</v>
      </c>
      <c r="E38" s="9">
        <f>November!E38+D38</f>
        <v>1486</v>
      </c>
      <c r="F38" s="17"/>
      <c r="G38" s="9">
        <f>November!G38+F38</f>
        <v>135</v>
      </c>
      <c r="H38" s="19"/>
      <c r="I38" s="9">
        <f>November!I38+H38</f>
        <v>0</v>
      </c>
    </row>
    <row r="39" spans="1:9" s="5" customFormat="1" ht="18" customHeight="1">
      <c r="A39" s="9" t="s">
        <v>42</v>
      </c>
      <c r="B39" s="13">
        <f>141+100+410+309+12+8+62+15+250+109+95+262+8+241+4+163</f>
        <v>2189</v>
      </c>
      <c r="C39" s="9">
        <f>November!C39+B39</f>
        <v>6579</v>
      </c>
      <c r="D39" s="15">
        <f>3+1+1</f>
        <v>5</v>
      </c>
      <c r="E39" s="9">
        <f>November!E39+D39</f>
        <v>70</v>
      </c>
      <c r="F39" s="17"/>
      <c r="G39" s="9">
        <f>November!G39+F39</f>
        <v>2228</v>
      </c>
      <c r="H39" s="19"/>
      <c r="I39" s="9">
        <f>November!I39+H39</f>
        <v>0</v>
      </c>
    </row>
    <row r="40" spans="1:9" s="5" customFormat="1" ht="18" customHeight="1">
      <c r="A40" s="9" t="s">
        <v>43</v>
      </c>
      <c r="B40" s="13">
        <f>90+209+94+19+34+56+435+84+80+90+15+100</f>
        <v>1306</v>
      </c>
      <c r="C40" s="9">
        <f>November!C40+B40</f>
        <v>19174</v>
      </c>
      <c r="D40" s="15">
        <f>20+40+19+35+1+6+88+25+70+42+47+28+42+1+4+16+40+40+15+40+5+10+28+1</f>
        <v>663</v>
      </c>
      <c r="E40" s="9">
        <f>November!E40+D40</f>
        <v>10226</v>
      </c>
      <c r="F40" s="17">
        <f>17+17</f>
        <v>34</v>
      </c>
      <c r="G40" s="9">
        <f>November!G40+F40</f>
        <v>93</v>
      </c>
      <c r="H40" s="19"/>
      <c r="I40" s="9">
        <f>November!I40+H40</f>
        <v>0</v>
      </c>
    </row>
    <row r="41" spans="1:9" s="5" customFormat="1" ht="18" customHeight="1">
      <c r="A41" s="9" t="s">
        <v>44</v>
      </c>
      <c r="B41" s="13">
        <f>950+78+88+59</f>
        <v>1175</v>
      </c>
      <c r="C41" s="9">
        <f>November!C41+B41</f>
        <v>3348</v>
      </c>
      <c r="D41" s="15">
        <f>3</f>
        <v>3</v>
      </c>
      <c r="E41" s="9">
        <f>November!E41+D41</f>
        <v>268</v>
      </c>
      <c r="F41" s="17"/>
      <c r="G41" s="9">
        <f>November!G41+F41</f>
        <v>69</v>
      </c>
      <c r="H41" s="19"/>
      <c r="I41" s="9">
        <f>November!I41+H41</f>
        <v>0</v>
      </c>
    </row>
    <row r="42" spans="1:9" s="5" customFormat="1" ht="18" customHeight="1">
      <c r="A42" s="9" t="s">
        <v>45</v>
      </c>
      <c r="B42" s="13">
        <f>101</f>
        <v>101</v>
      </c>
      <c r="C42" s="9">
        <f>November!C42+B42</f>
        <v>1597</v>
      </c>
      <c r="D42" s="15"/>
      <c r="E42" s="9">
        <f>November!E42+D42</f>
        <v>246</v>
      </c>
      <c r="F42" s="17">
        <f>42+15+2+1</f>
        <v>60</v>
      </c>
      <c r="G42" s="9">
        <f>November!G42+F42</f>
        <v>1192</v>
      </c>
      <c r="H42" s="19"/>
      <c r="I42" s="9">
        <f>November!I42+H42</f>
        <v>0</v>
      </c>
    </row>
    <row r="43" spans="1:9" s="5" customFormat="1" ht="18" customHeight="1">
      <c r="A43" s="9" t="s">
        <v>46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</row>
    <row r="44" spans="1:9" s="5" customFormat="1" ht="18" customHeight="1">
      <c r="A44" s="9" t="s">
        <v>47</v>
      </c>
      <c r="B44" s="13">
        <f>91+90+87+85+87+87+88</f>
        <v>615</v>
      </c>
      <c r="C44" s="9">
        <f>November!C44+B44</f>
        <v>17452</v>
      </c>
      <c r="D44" s="15">
        <f>44</f>
        <v>44</v>
      </c>
      <c r="E44" s="9">
        <f>November!E44+D44</f>
        <v>44</v>
      </c>
      <c r="F44" s="17"/>
      <c r="G44" s="9">
        <f>November!G44+F44</f>
        <v>126</v>
      </c>
      <c r="H44" s="19"/>
      <c r="I44" s="9">
        <f>November!I44+H44</f>
        <v>0</v>
      </c>
    </row>
    <row r="45" spans="1:9" s="5" customFormat="1" ht="18" customHeight="1">
      <c r="A45" s="9" t="s">
        <v>48</v>
      </c>
      <c r="B45" s="13">
        <f>180+41+117+7+19+282+24+9+11+92+14+104+61+109+26+35+34+73+98+21+57+253+97+69+150+88+149+90+82+112+99+82+4+15+100+64+197+72+12+20+104+80+33+194+99+271+97+52+130+38+58+142+72+96+26+106+46+80+94+12+40+14+54+87+296+118+114+93+15+290+21+118+58+133+203+121+122+16+93+183+37+324+126+72+35+65+133+66+26+145+215+114+115+97+122+104+149+298+86+92+210+88+196+93+55+99+90+124+140+307+111+189+104+41+45+116+184+12+417+94+174+310+86+202+300+95+27+43+108+44+46+22+163+33+15+338+60+86+168+92+91+26+170+24+119+84+104+62+47+1+125+82+98+291+110+86+35+220+106+98+87+123+45+65+185+242+44+99+103+113+79+18+41+14+67+18+52+276+79+82+118+200+79+219+34+347+15+30+60+168+60+58+54+36+59+53+81+92+91+12+65+64+38+220+95+76+21+108+103+78+59+33+95+4+89+82+103+64+95+13+120+88+84+241+100+385+241+164+90+92+167+105+136+258+394+104+38+98+153+89+58+169+37+65+28+76+165+39+110+82+82+66+92+95+11+16+101+127+112+109+39+31+61+14+23+70+195+33+39+14+19+27+8+53+57+21+15+91+132+115+85+40+75+103+103+61+21+63+72+248+133+7+200+186+193+64+16+63+44+38+163+10+300+12+84+18+207+186+37+96+71+75+89+21+94+58+18+13+81+23+40+84+21+21+53+115+11+7+5+3+77+44+52+63+18+25+4+6+18+18+8+106+52+11+29+25+13+82+23+61+93+14+89+42+112+88+70+26+28+16+27+67+17+61+23+43+45+39+101+122</f>
        <v>33451</v>
      </c>
      <c r="C45" s="9">
        <f>November!C45+B45</f>
        <v>313803</v>
      </c>
      <c r="D45" s="15">
        <f>20+39+8+36+61+35+6+13+51+36+35+16+167+1+35+2+3+36+24+42+46+55+1+22+35+5+1+42+12+19+15+12+12+1+6+13+7+10+16+34+22+12+23+23+10+1+42</f>
        <v>1163</v>
      </c>
      <c r="E45" s="9">
        <f>November!E45+D45</f>
        <v>12099</v>
      </c>
      <c r="F45" s="17">
        <f>37</f>
        <v>37</v>
      </c>
      <c r="G45" s="9">
        <f>November!G45+F45</f>
        <v>364</v>
      </c>
      <c r="H45" s="19"/>
      <c r="I45" s="9">
        <f>November!I45+H45</f>
        <v>0</v>
      </c>
    </row>
    <row r="46" spans="1:9" s="5" customFormat="1" ht="18" customHeight="1">
      <c r="A46" s="9" t="s">
        <v>49</v>
      </c>
      <c r="B46" s="13">
        <f>61+196+138+65+66+64+68+66+61+64+75+75</f>
        <v>999</v>
      </c>
      <c r="C46" s="9">
        <f>November!C46+B46</f>
        <v>15784</v>
      </c>
      <c r="D46" s="15">
        <f>1</f>
        <v>1</v>
      </c>
      <c r="E46" s="9">
        <f>November!E46+D46</f>
        <v>275</v>
      </c>
      <c r="F46" s="17"/>
      <c r="G46" s="9">
        <f>November!G46+F46</f>
        <v>81</v>
      </c>
      <c r="H46" s="19"/>
      <c r="I46" s="9">
        <f>November!I46+H46</f>
        <v>0</v>
      </c>
    </row>
    <row r="47" spans="1:9" s="5" customFormat="1" ht="18" customHeight="1">
      <c r="A47" s="9" t="s">
        <v>50</v>
      </c>
      <c r="B47" s="13">
        <f>121+90+200+16+36+48+66+12+22</f>
        <v>611</v>
      </c>
      <c r="C47" s="9">
        <f>November!C47+B47</f>
        <v>16313</v>
      </c>
      <c r="D47" s="15">
        <f>12+41+50+11+8+1+3+14+6+168+125+50+80+43+1+15+15+4+46+1</f>
        <v>694</v>
      </c>
      <c r="E47" s="9">
        <f>November!E47+D47</f>
        <v>8673</v>
      </c>
      <c r="F47" s="17">
        <v>712</v>
      </c>
      <c r="G47" s="9">
        <f>November!G47+F47</f>
        <v>2102</v>
      </c>
      <c r="H47" s="19"/>
      <c r="I47" s="9">
        <f>November!I47+H47</f>
        <v>90</v>
      </c>
    </row>
    <row r="48" spans="1:9" s="5" customFormat="1" ht="18" customHeight="1">
      <c r="A48" s="9" t="s">
        <v>51</v>
      </c>
      <c r="B48" s="13"/>
      <c r="C48" s="9">
        <f>November!C48+B48</f>
        <v>10174</v>
      </c>
      <c r="D48" s="15">
        <f>1+3+1+3+3+1+2</f>
        <v>14</v>
      </c>
      <c r="E48" s="9">
        <f>November!E48+D48</f>
        <v>459</v>
      </c>
      <c r="F48" s="17"/>
      <c r="G48" s="9">
        <f>November!G48+F48</f>
        <v>327</v>
      </c>
      <c r="H48" s="19"/>
      <c r="I48" s="9">
        <f>November!I48+H48</f>
        <v>120</v>
      </c>
    </row>
    <row r="49" spans="1:9" s="5" customFormat="1" ht="18" customHeight="1">
      <c r="A49" s="9" t="s">
        <v>52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123</v>
      </c>
      <c r="H49" s="19"/>
      <c r="I49" s="9">
        <f>November!I49+H49</f>
        <v>0</v>
      </c>
    </row>
    <row r="50" spans="1:9" s="5" customFormat="1" ht="18" customHeight="1">
      <c r="A50" s="9" t="s">
        <v>53</v>
      </c>
      <c r="B50" s="13">
        <f>72+75+120+139+190+108+66+88+66+180+90+155+64+112+104+58+82+107</f>
        <v>1876</v>
      </c>
      <c r="C50" s="9">
        <f>November!C50+B50</f>
        <v>22703</v>
      </c>
      <c r="D50" s="15"/>
      <c r="E50" s="9">
        <f>November!E50+D50</f>
        <v>62</v>
      </c>
      <c r="F50" s="17"/>
      <c r="G50" s="9">
        <f>November!G50+F50</f>
        <v>1</v>
      </c>
      <c r="H50" s="19"/>
      <c r="I50" s="9">
        <f>November!I50+H50</f>
        <v>0</v>
      </c>
    </row>
    <row r="51" spans="1:9" s="5" customFormat="1" ht="18" customHeight="1">
      <c r="A51" s="9" t="s">
        <v>54</v>
      </c>
      <c r="B51" s="13"/>
      <c r="C51" s="9">
        <f>November!C51+B51</f>
        <v>2010</v>
      </c>
      <c r="D51" s="15">
        <f>2</f>
        <v>2</v>
      </c>
      <c r="E51" s="9">
        <f>November!E51+D51</f>
        <v>23</v>
      </c>
      <c r="F51" s="17">
        <f>40</f>
        <v>40</v>
      </c>
      <c r="G51" s="9">
        <f>November!G51+F51</f>
        <v>506</v>
      </c>
      <c r="H51" s="19"/>
      <c r="I51" s="9">
        <f>November!I51+H51</f>
        <v>0</v>
      </c>
    </row>
    <row r="52" spans="1:9" s="5" customFormat="1" ht="18" customHeight="1">
      <c r="A52" s="9" t="s">
        <v>55</v>
      </c>
      <c r="B52" s="13">
        <f>128+50+68+56+70+60+89+61+65+89+62+62+64+62+16+3+9</f>
        <v>1014</v>
      </c>
      <c r="C52" s="9">
        <f>November!C52+B52</f>
        <v>11442</v>
      </c>
      <c r="D52" s="15"/>
      <c r="E52" s="9">
        <f>November!E52+D52</f>
        <v>63</v>
      </c>
      <c r="F52" s="17"/>
      <c r="G52" s="9">
        <f>November!G52+F52</f>
        <v>0</v>
      </c>
      <c r="H52" s="19"/>
      <c r="I52" s="9">
        <f>November!I52+H52</f>
        <v>0</v>
      </c>
    </row>
    <row r="53" spans="1:9" s="5" customFormat="1" ht="18" customHeight="1">
      <c r="A53" s="9" t="s">
        <v>56</v>
      </c>
      <c r="B53" s="13">
        <f>103+63+95+5+27+35+22+1+24+72+69+9+140+57+104+79+106+35+88+39+31+100+44+21+20+8+81+7+104+288+1+1+80+31+78+43+71+18+8+8+65+81+108+68+21+31+50+71+43+4+6+4+85+61+40+17+35+4+2+78+41+298+12+172+94+58+15+82+63+28+26+12+72+135+80+28+98+42+2+98+29+32+14+60+78+109+90+61+4+59+144+24+94+92+18+45+138+150+190</f>
        <v>5977</v>
      </c>
      <c r="C53" s="9">
        <f>November!C53+B53</f>
        <v>44723</v>
      </c>
      <c r="D53" s="15">
        <f>4+11+5+3+2+2+3+2+15</f>
        <v>47</v>
      </c>
      <c r="E53" s="9">
        <f>November!E53+D53</f>
        <v>2851</v>
      </c>
      <c r="F53" s="17">
        <f>21+59+69+40+2+83+11+64+4+30+2+26+11+2+38+30+12+13+12+80+80+16+14+9+5+1+30+4+40+40+8+3+38+4+7</f>
        <v>908</v>
      </c>
      <c r="G53" s="9">
        <f>November!G53+F53</f>
        <v>11350</v>
      </c>
      <c r="H53" s="19"/>
      <c r="I53" s="9">
        <f>November!I53+H53</f>
        <v>0</v>
      </c>
    </row>
    <row r="54" spans="1:9" s="5" customFormat="1" ht="18" customHeight="1" thickBot="1">
      <c r="A54" s="10" t="s">
        <v>57</v>
      </c>
      <c r="B54" s="13">
        <f>83+450+92+100+100+100+117+330+55+106+230+239+80+106+272+113+123+88+144+43+190+140+180+29+14+29+93+289+90+255+119+174+59+95+100+82+180+85+168+91+14+95+88+167+17+47+44+170+160+70+72+45+105+90</f>
        <v>6617</v>
      </c>
      <c r="C54" s="9">
        <f>November!C54+B54</f>
        <v>34178</v>
      </c>
      <c r="D54" s="16">
        <f>53+39+1+1+5+203+1+2+87+72+84+42+63+2+51+2</f>
        <v>708</v>
      </c>
      <c r="E54" s="9">
        <f>November!E54+D54</f>
        <v>2510</v>
      </c>
      <c r="F54" s="17"/>
      <c r="G54" s="9">
        <f>November!G54+F54</f>
        <v>0</v>
      </c>
      <c r="H54" s="19"/>
      <c r="I54" s="9">
        <f>November!I54+H54</f>
        <v>0</v>
      </c>
    </row>
    <row r="55" spans="1:9" s="5" customFormat="1" ht="18" customHeight="1" thickBot="1" thickTop="1">
      <c r="A55" s="11" t="s">
        <v>58</v>
      </c>
      <c r="B55" s="11"/>
      <c r="C55" s="11"/>
      <c r="D55" s="11">
        <f>SUM(D5:D54)</f>
        <v>10778</v>
      </c>
      <c r="E55" s="11"/>
      <c r="F55" s="11">
        <f>SUM(F5:F54)</f>
        <v>5213</v>
      </c>
      <c r="G55" s="11"/>
      <c r="H55" s="11">
        <f>SUM(H5:H54)</f>
        <v>75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November!C57+B55</f>
        <v>1205899</v>
      </c>
      <c r="D57" s="11"/>
      <c r="E57" s="11">
        <f>November!E57+D55</f>
        <v>77226</v>
      </c>
      <c r="F57" s="11"/>
      <c r="G57" s="11">
        <f>November!G57+F55</f>
        <v>59556</v>
      </c>
      <c r="H57" s="11"/>
      <c r="I57" s="11">
        <f>November!I57+H55</f>
        <v>736</v>
      </c>
    </row>
    <row r="58" s="5" customFormat="1" ht="18" customHeight="1" thickTop="1"/>
    <row r="59" s="5" customFormat="1" ht="18" customHeight="1">
      <c r="A59" s="5" t="s">
        <v>60</v>
      </c>
    </row>
    <row r="60" spans="1:4" s="5" customFormat="1" ht="18" customHeight="1">
      <c r="A60" s="5" t="s">
        <v>13</v>
      </c>
      <c r="D60" s="5">
        <v>1053</v>
      </c>
    </row>
    <row r="61" s="5" customFormat="1" ht="18" customHeight="1"/>
    <row r="62" spans="1:7" s="4" customFormat="1" ht="18" customHeight="1">
      <c r="A62" s="4" t="s">
        <v>61</v>
      </c>
      <c r="E62" s="4">
        <f>November!E62+D60</f>
        <v>8850</v>
      </c>
      <c r="G62" s="4">
        <f>November!G62+F60</f>
        <v>25410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F36" sqref="F36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64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January!C5+B5</f>
        <v>0</v>
      </c>
      <c r="D5" s="15"/>
      <c r="E5" s="9">
        <f>January!E5+D5</f>
        <v>0</v>
      </c>
      <c r="F5" s="17"/>
      <c r="G5" s="9">
        <f>January!G5+F5</f>
        <v>0</v>
      </c>
      <c r="H5" s="19"/>
      <c r="I5" s="9">
        <f>January!I5+H5</f>
        <v>0</v>
      </c>
    </row>
    <row r="6" spans="1:9" s="5" customFormat="1" ht="18" customHeight="1">
      <c r="A6" s="9" t="s">
        <v>9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</row>
    <row r="7" spans="1:9" s="5" customFormat="1" ht="18" customHeight="1">
      <c r="A7" s="9" t="s">
        <v>10</v>
      </c>
      <c r="B7" s="13"/>
      <c r="C7" s="9">
        <f>January!C7+B7</f>
        <v>198</v>
      </c>
      <c r="D7" s="15"/>
      <c r="E7" s="9">
        <f>January!E7+D7</f>
        <v>0</v>
      </c>
      <c r="F7" s="17"/>
      <c r="G7" s="9">
        <f>January!G7+F7</f>
        <v>156</v>
      </c>
      <c r="H7" s="19"/>
      <c r="I7" s="9">
        <f>January!I7+H7</f>
        <v>0</v>
      </c>
    </row>
    <row r="8" spans="1:9" s="5" customFormat="1" ht="18" customHeight="1">
      <c r="A8" s="9" t="s">
        <v>11</v>
      </c>
      <c r="B8" s="13">
        <f>95+58+100</f>
        <v>253</v>
      </c>
      <c r="C8" s="9">
        <f>January!C8+B8</f>
        <v>2161</v>
      </c>
      <c r="D8" s="15">
        <v>8</v>
      </c>
      <c r="E8" s="9">
        <f>January!E8+D8</f>
        <v>10</v>
      </c>
      <c r="F8" s="17"/>
      <c r="G8" s="9">
        <f>January!G8+F8</f>
        <v>0</v>
      </c>
      <c r="H8" s="19"/>
      <c r="I8" s="9">
        <f>January!I8+H8</f>
        <v>0</v>
      </c>
    </row>
    <row r="9" spans="1:9" s="5" customFormat="1" ht="18" customHeight="1">
      <c r="A9" s="9" t="s">
        <v>12</v>
      </c>
      <c r="B9" s="13"/>
      <c r="C9" s="9">
        <f>January!C9+B9</f>
        <v>0</v>
      </c>
      <c r="D9" s="15"/>
      <c r="E9" s="9">
        <f>January!E9+D9</f>
        <v>1</v>
      </c>
      <c r="F9" s="17">
        <f>15+12+15+38</f>
        <v>80</v>
      </c>
      <c r="G9" s="9">
        <f>January!G9+F9</f>
        <v>179</v>
      </c>
      <c r="H9" s="19"/>
      <c r="I9" s="9">
        <f>January!I9+H9</f>
        <v>0</v>
      </c>
    </row>
    <row r="10" spans="1:9" s="5" customFormat="1" ht="18" customHeight="1">
      <c r="A10" s="9" t="s">
        <v>13</v>
      </c>
      <c r="B10" s="13"/>
      <c r="C10" s="9">
        <f>January!C10+B10</f>
        <v>0</v>
      </c>
      <c r="D10" s="15"/>
      <c r="E10" s="9">
        <f>January!E10+D10</f>
        <v>0</v>
      </c>
      <c r="F10" s="17"/>
      <c r="G10" s="9">
        <f>January!G10+F10</f>
        <v>0</v>
      </c>
      <c r="H10" s="19"/>
      <c r="I10" s="9">
        <f>January!I10+H10</f>
        <v>0</v>
      </c>
    </row>
    <row r="11" spans="1:9" s="5" customFormat="1" ht="18" customHeight="1">
      <c r="A11" s="9" t="s">
        <v>14</v>
      </c>
      <c r="B11" s="13">
        <f>86+4</f>
        <v>90</v>
      </c>
      <c r="C11" s="9">
        <f>January!C11+B11</f>
        <v>857</v>
      </c>
      <c r="D11" s="15">
        <f>1+1</f>
        <v>2</v>
      </c>
      <c r="E11" s="9">
        <f>January!E11+D11</f>
        <v>545</v>
      </c>
      <c r="F11" s="17"/>
      <c r="G11" s="9">
        <f>January!G11+F11</f>
        <v>177</v>
      </c>
      <c r="H11" s="19"/>
      <c r="I11" s="9">
        <f>January!I11+H11</f>
        <v>0</v>
      </c>
    </row>
    <row r="12" spans="1:9" s="5" customFormat="1" ht="18" customHeight="1">
      <c r="A12" s="9" t="s">
        <v>15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</row>
    <row r="13" spans="1:9" s="5" customFormat="1" ht="18" customHeight="1">
      <c r="A13" s="9" t="s">
        <v>16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</row>
    <row r="14" spans="1:9" s="5" customFormat="1" ht="18" customHeight="1">
      <c r="A14" s="9" t="s">
        <v>17</v>
      </c>
      <c r="B14" s="13"/>
      <c r="C14" s="9">
        <f>January!C14+B14</f>
        <v>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</row>
    <row r="15" spans="1:9" s="5" customFormat="1" ht="18" customHeight="1">
      <c r="A15" s="9" t="s">
        <v>18</v>
      </c>
      <c r="B15" s="13">
        <f>62+360+124</f>
        <v>546</v>
      </c>
      <c r="C15" s="9">
        <f>January!C15+B15</f>
        <v>868</v>
      </c>
      <c r="D15" s="15"/>
      <c r="E15" s="9">
        <f>January!E15+D15</f>
        <v>99</v>
      </c>
      <c r="F15" s="17"/>
      <c r="G15" s="9">
        <f>January!G15+F15</f>
        <v>0</v>
      </c>
      <c r="H15" s="19"/>
      <c r="I15" s="9">
        <f>January!I15+H15</f>
        <v>0</v>
      </c>
    </row>
    <row r="16" spans="1:9" s="5" customFormat="1" ht="18" customHeight="1">
      <c r="A16" s="9" t="s">
        <v>19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</row>
    <row r="17" spans="1:9" s="5" customFormat="1" ht="18" customHeight="1">
      <c r="A17" s="9" t="s">
        <v>20</v>
      </c>
      <c r="B17" s="13">
        <f>127+84</f>
        <v>211</v>
      </c>
      <c r="C17" s="9">
        <f>January!C17+B17</f>
        <v>1331</v>
      </c>
      <c r="D17" s="15"/>
      <c r="E17" s="9">
        <f>January!E17+D17</f>
        <v>105</v>
      </c>
      <c r="F17" s="17"/>
      <c r="G17" s="9">
        <f>January!G17+F17</f>
        <v>0</v>
      </c>
      <c r="H17" s="19"/>
      <c r="I17" s="9">
        <f>January!I17+H17</f>
        <v>0</v>
      </c>
    </row>
    <row r="18" spans="1:9" s="5" customFormat="1" ht="18" customHeight="1">
      <c r="A18" s="9" t="s">
        <v>21</v>
      </c>
      <c r="B18" s="13">
        <f>80+17+22+82+25+3</f>
        <v>229</v>
      </c>
      <c r="C18" s="9">
        <f>January!C18+B18</f>
        <v>1215</v>
      </c>
      <c r="D18" s="15">
        <f>1+4+1+1+1+1+1+1+3+5+1+1+1</f>
        <v>22</v>
      </c>
      <c r="E18" s="9">
        <f>January!E18+D18</f>
        <v>122</v>
      </c>
      <c r="F18" s="17"/>
      <c r="G18" s="9">
        <f>January!G18+F18</f>
        <v>4</v>
      </c>
      <c r="H18" s="19"/>
      <c r="I18" s="9">
        <f>January!I18+H18</f>
        <v>0</v>
      </c>
    </row>
    <row r="19" spans="1:9" s="5" customFormat="1" ht="18" customHeight="1">
      <c r="A19" s="9" t="s">
        <v>22</v>
      </c>
      <c r="B19" s="13">
        <f>66+6+177+150</f>
        <v>399</v>
      </c>
      <c r="C19" s="9">
        <f>January!C19+B19</f>
        <v>1001</v>
      </c>
      <c r="D19" s="15">
        <f>1+1+105+1+1+1</f>
        <v>110</v>
      </c>
      <c r="E19" s="9">
        <f>January!E19+D19</f>
        <v>137</v>
      </c>
      <c r="F19" s="17">
        <f>27+27+58+145+100</f>
        <v>357</v>
      </c>
      <c r="G19" s="9">
        <f>January!G19+F19</f>
        <v>1639</v>
      </c>
      <c r="H19" s="19"/>
      <c r="I19" s="9">
        <f>January!I19+H19</f>
        <v>0</v>
      </c>
    </row>
    <row r="20" spans="1:9" s="5" customFormat="1" ht="18" customHeight="1">
      <c r="A20" s="9" t="s">
        <v>23</v>
      </c>
      <c r="B20" s="13">
        <f>153+60+33+47+151+120+68+52+31+121+120+70+50+59+71+226+70+59+140+228+129+100+79+151+10+57+63+63</f>
        <v>2581</v>
      </c>
      <c r="C20" s="9">
        <f>January!C20+B20</f>
        <v>3667</v>
      </c>
      <c r="D20" s="15">
        <f>1+10+1+5+142+1+1+1+1</f>
        <v>163</v>
      </c>
      <c r="E20" s="9">
        <f>January!E20+D20</f>
        <v>165</v>
      </c>
      <c r="F20" s="17">
        <f>17+2+1+1+1+1</f>
        <v>23</v>
      </c>
      <c r="G20" s="9">
        <f>January!G20+F20</f>
        <v>23</v>
      </c>
      <c r="H20" s="19"/>
      <c r="I20" s="9">
        <f>January!I20+H20</f>
        <v>0</v>
      </c>
    </row>
    <row r="21" spans="1:9" s="5" customFormat="1" ht="18" customHeight="1">
      <c r="A21" s="9" t="s">
        <v>24</v>
      </c>
      <c r="B21" s="13">
        <f>131+75+57+174+71+84+155+110+64+72+50+87+122+60+75+117+63+58+140+60+160+285+178+6+52+6+60+80+61+62+10+66+61+33+34+112+74+81+67+72+52+75+189+61+52+80+48+17+53+140+81+68+105+71+117+51+25+46+60+14+55+50+214+78+73+12+51+51+22+40+22+19+42+117+98+78+38+121+51+51+12+59+78+52+42+318+55+196+65+13+43+7+17+46+60+195+65+60+205+110+210+55</f>
        <v>8036</v>
      </c>
      <c r="C21" s="9">
        <f>January!C21+B21</f>
        <v>13468</v>
      </c>
      <c r="D21" s="15">
        <f>1+1+1+1</f>
        <v>4</v>
      </c>
      <c r="E21" s="9">
        <f>January!E21+D21</f>
        <v>4</v>
      </c>
      <c r="F21" s="17"/>
      <c r="G21" s="9">
        <f>January!G21+F21</f>
        <v>0</v>
      </c>
      <c r="H21" s="19"/>
      <c r="I21" s="9">
        <f>January!I21+H21</f>
        <v>0</v>
      </c>
    </row>
    <row r="22" spans="1:9" s="5" customFormat="1" ht="18" customHeight="1">
      <c r="A22" s="9" t="s">
        <v>25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</row>
    <row r="23" spans="1:9" s="5" customFormat="1" ht="18" customHeight="1">
      <c r="A23" s="9" t="s">
        <v>26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</row>
    <row r="24" spans="1:9" s="5" customFormat="1" ht="18" customHeight="1">
      <c r="A24" s="9" t="s">
        <v>27</v>
      </c>
      <c r="B24" s="13"/>
      <c r="C24" s="9">
        <f>January!C24+B24</f>
        <v>0</v>
      </c>
      <c r="D24" s="15">
        <v>2</v>
      </c>
      <c r="E24" s="9">
        <f>January!E24+D24</f>
        <v>2</v>
      </c>
      <c r="F24" s="17"/>
      <c r="G24" s="9">
        <f>January!G24+F24</f>
        <v>2</v>
      </c>
      <c r="H24" s="19"/>
      <c r="I24" s="9">
        <f>January!I24+H24</f>
        <v>0</v>
      </c>
    </row>
    <row r="25" spans="1:9" s="5" customFormat="1" ht="18" customHeight="1">
      <c r="A25" s="9" t="s">
        <v>28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</row>
    <row r="26" spans="1:9" s="5" customFormat="1" ht="18" customHeight="1">
      <c r="A26" s="9" t="s">
        <v>29</v>
      </c>
      <c r="B26" s="13"/>
      <c r="C26" s="9">
        <f>January!C26+B26</f>
        <v>77</v>
      </c>
      <c r="D26" s="15"/>
      <c r="E26" s="9">
        <f>January!E26+D26</f>
        <v>0</v>
      </c>
      <c r="F26" s="17"/>
      <c r="G26" s="9">
        <f>January!G26+F26</f>
        <v>0</v>
      </c>
      <c r="H26" s="19"/>
      <c r="I26" s="9">
        <f>January!I26+H26</f>
        <v>0</v>
      </c>
    </row>
    <row r="27" spans="1:9" s="5" customFormat="1" ht="18" customHeight="1">
      <c r="A27" s="9" t="s">
        <v>30</v>
      </c>
      <c r="B27" s="13">
        <f>24+76+21+66+15+60+70+258+62+47+285+141+113+9+13+23+4+2+14+8+9+12+10+75+4+22+10+2+28+25+14+88+77+14+68+17+83</f>
        <v>1869</v>
      </c>
      <c r="C27" s="9">
        <f>January!C27+B27</f>
        <v>6940</v>
      </c>
      <c r="D27" s="15">
        <f>2+1+1+3+7+5+1+1+1+6+1+11+5+10+21+21+5+3+3+5+4+11+6+26+26+2+54+19+5+3+1+2+1+2+1+4+2+1</f>
        <v>283</v>
      </c>
      <c r="E27" s="9">
        <f>January!E27+D27</f>
        <v>574</v>
      </c>
      <c r="F27" s="17">
        <f>9+145+1+7+70+1+51+34+39+17</f>
        <v>374</v>
      </c>
      <c r="G27" s="9">
        <f>January!G27+F27</f>
        <v>1856</v>
      </c>
      <c r="H27" s="19"/>
      <c r="I27" s="9">
        <f>January!I27+H27</f>
        <v>0</v>
      </c>
    </row>
    <row r="28" spans="1:9" s="5" customFormat="1" ht="18" customHeight="1">
      <c r="A28" s="9" t="s">
        <v>31</v>
      </c>
      <c r="B28" s="13"/>
      <c r="C28" s="9">
        <f>January!C28+B28</f>
        <v>0</v>
      </c>
      <c r="D28" s="15"/>
      <c r="E28" s="9">
        <f>January!E28+D28</f>
        <v>1</v>
      </c>
      <c r="F28" s="17"/>
      <c r="G28" s="9">
        <f>January!G28+F28</f>
        <v>0</v>
      </c>
      <c r="H28" s="19"/>
      <c r="I28" s="9">
        <f>January!I28+H28</f>
        <v>0</v>
      </c>
    </row>
    <row r="29" spans="1:9" s="5" customFormat="1" ht="18" customHeight="1">
      <c r="A29" s="9" t="s">
        <v>32</v>
      </c>
      <c r="B29" s="13">
        <f>34+100+138+67+217+64+64+40+11+80+15+79+207+52+110+156+71+29+32+120+74+78+62+62+110+120+240+62+66+80+49+75+49+82+77+87+87+133+24+2+67+59+42+80+120+79+264+155+20+21+35+70+70+43+120+70+141+128+12+22+62+72+81+90+75+75+74+64+75+34+75+33+75+45+118+225+62+431+91+186+29+38+258+145+65+67+74+61+80+80+1+42+5+2+63+2+13+1+33+4+59+6+44+60+154+182+68+44+120+50+10+75+120+128+130+83+59+64+64+67+67+67+73+133+2+10+12+18+154+89+89+29+82+2+51+58+28+67+75+80+66+20</f>
        <v>10888</v>
      </c>
      <c r="C29" s="9">
        <f>January!C29+B29</f>
        <v>19346</v>
      </c>
      <c r="D29" s="15">
        <f>1+5+22+10+61+16+6+12+13+9+25+1+5+7+10+11+5+3+31+1+6+22+6+4+2+1+2+1+4+7+1+1+3+42+2+2+35+6+15+26+262+6+17+22+19+22+4+14</f>
        <v>808</v>
      </c>
      <c r="E29" s="9">
        <f>January!E29+D29</f>
        <v>1529</v>
      </c>
      <c r="F29" s="17"/>
      <c r="G29" s="9">
        <f>January!G29+F29</f>
        <v>0</v>
      </c>
      <c r="H29" s="19"/>
      <c r="I29" s="9">
        <f>January!I29+H29</f>
        <v>0</v>
      </c>
    </row>
    <row r="30" spans="1:9" s="5" customFormat="1" ht="18" customHeight="1">
      <c r="A30" s="9" t="s">
        <v>33</v>
      </c>
      <c r="B30" s="13">
        <f>95+82+265+88+173+245+400+84+72+8+5+1+341+16+2+79+4+183+2+3+10+100+68+76+140+785+74+92+120+101+21+2+13+212+290</f>
        <v>4252</v>
      </c>
      <c r="C30" s="9">
        <f>January!C30+B30</f>
        <v>8627</v>
      </c>
      <c r="D30" s="15">
        <f>6+1+1+1</f>
        <v>9</v>
      </c>
      <c r="E30" s="9">
        <f>January!E30+D30</f>
        <v>479</v>
      </c>
      <c r="F30" s="17"/>
      <c r="G30" s="9">
        <f>January!G30+F30</f>
        <v>0</v>
      </c>
      <c r="H30" s="19"/>
      <c r="I30" s="9">
        <f>January!I30+H30</f>
        <v>0</v>
      </c>
    </row>
    <row r="31" spans="1:9" s="5" customFormat="1" ht="18" customHeight="1">
      <c r="A31" s="9" t="s">
        <v>34</v>
      </c>
      <c r="B31" s="13">
        <f>40+88+161+136+91+74+152+86+191+8+156+94+139+86+88+28+71+85+140+98+188+176+74+114+80+1+96+21+164+315+65+85+142+48+18</f>
        <v>3599</v>
      </c>
      <c r="C31" s="9">
        <f>January!C31+B31</f>
        <v>7961</v>
      </c>
      <c r="D31" s="15">
        <f>8+35+1+3+10+42+1+1+3+2+1+3+3+4+2+1+3+1+1+19+37+68+2+1+1+105+2+2+12+1+43+2+15+65+86+24+3+1+1+10+1+2+41+2+3+2+1+2+1+72+3+1</f>
        <v>756</v>
      </c>
      <c r="E31" s="9">
        <f>January!E31+D31</f>
        <v>1418</v>
      </c>
      <c r="F31" s="17">
        <f>81+90+62</f>
        <v>233</v>
      </c>
      <c r="G31" s="9">
        <f>January!G31+F31</f>
        <v>428</v>
      </c>
      <c r="H31" s="19"/>
      <c r="I31" s="9">
        <f>January!I31+H31</f>
        <v>0</v>
      </c>
    </row>
    <row r="32" spans="1:9" s="5" customFormat="1" ht="18" customHeight="1">
      <c r="A32" s="9" t="s">
        <v>35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</row>
    <row r="33" spans="1:9" s="5" customFormat="1" ht="18" customHeight="1">
      <c r="A33" s="9" t="s">
        <v>36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</row>
    <row r="34" spans="1:9" s="5" customFormat="1" ht="18" customHeight="1">
      <c r="A34" s="9" t="s">
        <v>37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</row>
    <row r="35" spans="1:9" s="5" customFormat="1" ht="18" customHeight="1">
      <c r="A35" s="9" t="s">
        <v>38</v>
      </c>
      <c r="B35" s="13"/>
      <c r="C35" s="9">
        <f>January!C35+B35</f>
        <v>237</v>
      </c>
      <c r="D35" s="15"/>
      <c r="E35" s="9">
        <f>January!E35+D35</f>
        <v>0</v>
      </c>
      <c r="F35" s="17">
        <f>142</f>
        <v>142</v>
      </c>
      <c r="G35" s="9">
        <f>January!G35+F35</f>
        <v>146</v>
      </c>
      <c r="H35" s="19"/>
      <c r="I35" s="9">
        <f>January!I35+H35</f>
        <v>0</v>
      </c>
    </row>
    <row r="36" spans="1:9" s="5" customFormat="1" ht="18" customHeight="1">
      <c r="A36" s="9" t="s">
        <v>39</v>
      </c>
      <c r="B36" s="13"/>
      <c r="C36" s="9">
        <f>January!C36+B36</f>
        <v>0</v>
      </c>
      <c r="D36" s="15"/>
      <c r="E36" s="9">
        <f>January!E36+D36</f>
        <v>0</v>
      </c>
      <c r="F36" s="17">
        <f>1+1</f>
        <v>2</v>
      </c>
      <c r="G36" s="9">
        <f>January!G36+F36</f>
        <v>40</v>
      </c>
      <c r="H36" s="19"/>
      <c r="I36" s="9">
        <f>January!I36+H36</f>
        <v>0</v>
      </c>
    </row>
    <row r="37" spans="1:9" s="5" customFormat="1" ht="18" customHeight="1">
      <c r="A37" s="9" t="s">
        <v>40</v>
      </c>
      <c r="B37" s="13"/>
      <c r="C37" s="9">
        <f>January!C37+B37</f>
        <v>90</v>
      </c>
      <c r="D37" s="15"/>
      <c r="E37" s="9">
        <f>January!E37+D37</f>
        <v>1</v>
      </c>
      <c r="F37" s="17"/>
      <c r="G37" s="9">
        <f>January!G37+F37</f>
        <v>0</v>
      </c>
      <c r="H37" s="19"/>
      <c r="I37" s="9">
        <f>January!I37+H37</f>
        <v>0</v>
      </c>
    </row>
    <row r="38" spans="1:9" s="5" customFormat="1" ht="18" customHeight="1">
      <c r="A38" s="9" t="s">
        <v>41</v>
      </c>
      <c r="B38" s="13">
        <f>140+74+156+73+85+85+85+119+80+80+79+115+81+81+27+29+171+81+85+226+232+136+71+100+110+85+29+175+75+65+77+75+176+70+80+146+80+73+95+80+70+152+58+77+68+67+161+150+75+257</f>
        <v>5117</v>
      </c>
      <c r="C38" s="9">
        <f>January!C38+B38</f>
        <v>17352</v>
      </c>
      <c r="D38" s="15">
        <f>2+1+1+1+1+1+3+2+1+1+2</f>
        <v>16</v>
      </c>
      <c r="E38" s="9">
        <f>January!E38+D38</f>
        <v>238</v>
      </c>
      <c r="F38" s="17"/>
      <c r="G38" s="9">
        <f>January!G38+F38</f>
        <v>79</v>
      </c>
      <c r="H38" s="19"/>
      <c r="I38" s="9">
        <f>January!I38+H38</f>
        <v>0</v>
      </c>
    </row>
    <row r="39" spans="1:9" s="5" customFormat="1" ht="18" customHeight="1">
      <c r="A39" s="9" t="s">
        <v>42</v>
      </c>
      <c r="B39" s="13">
        <f>120+150+92</f>
        <v>362</v>
      </c>
      <c r="C39" s="9">
        <f>January!C39+B39</f>
        <v>1248</v>
      </c>
      <c r="D39" s="15"/>
      <c r="E39" s="9">
        <f>January!E39+D39</f>
        <v>10</v>
      </c>
      <c r="F39" s="17">
        <f>12+11+11+12+2</f>
        <v>48</v>
      </c>
      <c r="G39" s="9">
        <f>January!G39+F39</f>
        <v>94</v>
      </c>
      <c r="H39" s="19"/>
      <c r="I39" s="9">
        <f>January!I39+H39</f>
        <v>0</v>
      </c>
    </row>
    <row r="40" spans="1:9" s="5" customFormat="1" ht="18" customHeight="1">
      <c r="A40" s="9" t="s">
        <v>43</v>
      </c>
      <c r="B40" s="13"/>
      <c r="C40" s="9">
        <f>January!C40+B40</f>
        <v>113</v>
      </c>
      <c r="D40" s="15">
        <f>1</f>
        <v>1</v>
      </c>
      <c r="E40" s="9">
        <f>January!E40+D40</f>
        <v>7</v>
      </c>
      <c r="F40" s="17"/>
      <c r="G40" s="9">
        <f>January!G40+F40</f>
        <v>0</v>
      </c>
      <c r="H40" s="19"/>
      <c r="I40" s="9">
        <f>January!I40+H40</f>
        <v>0</v>
      </c>
    </row>
    <row r="41" spans="1:9" s="5" customFormat="1" ht="18" customHeight="1">
      <c r="A41" s="9" t="s">
        <v>44</v>
      </c>
      <c r="B41" s="13"/>
      <c r="C41" s="9">
        <f>January!C41+B41</f>
        <v>0</v>
      </c>
      <c r="D41" s="15"/>
      <c r="E41" s="9">
        <f>January!E41+D41</f>
        <v>85</v>
      </c>
      <c r="F41" s="17"/>
      <c r="G41" s="9">
        <f>January!G41+F41</f>
        <v>0</v>
      </c>
      <c r="H41" s="19"/>
      <c r="I41" s="9">
        <f>January!I41+H41</f>
        <v>0</v>
      </c>
    </row>
    <row r="42" spans="1:9" s="5" customFormat="1" ht="18" customHeight="1">
      <c r="A42" s="9" t="s">
        <v>45</v>
      </c>
      <c r="B42" s="13">
        <f>82+64</f>
        <v>146</v>
      </c>
      <c r="C42" s="9">
        <f>January!C42+B42</f>
        <v>386</v>
      </c>
      <c r="D42" s="15">
        <v>124</v>
      </c>
      <c r="E42" s="9">
        <f>January!E42+D42</f>
        <v>232</v>
      </c>
      <c r="F42" s="17">
        <f>15+15+7+15+15+15+15+7</f>
        <v>104</v>
      </c>
      <c r="G42" s="9">
        <f>January!G42+F42</f>
        <v>105</v>
      </c>
      <c r="H42" s="19"/>
      <c r="I42" s="9">
        <f>January!I42+H42</f>
        <v>0</v>
      </c>
    </row>
    <row r="43" spans="1:9" s="5" customFormat="1" ht="18" customHeight="1">
      <c r="A43" s="9" t="s">
        <v>46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</row>
    <row r="44" spans="1:9" s="5" customFormat="1" ht="18" customHeight="1">
      <c r="A44" s="9" t="s">
        <v>47</v>
      </c>
      <c r="B44" s="13">
        <f>81+164+91+71+85+161+94+83+81+196+301</f>
        <v>1408</v>
      </c>
      <c r="C44" s="9">
        <f>January!C44+B44</f>
        <v>1597</v>
      </c>
      <c r="D44" s="15"/>
      <c r="E44" s="9">
        <f>January!E44+D44</f>
        <v>0</v>
      </c>
      <c r="F44" s="17"/>
      <c r="G44" s="9">
        <f>January!G44+F44</f>
        <v>0</v>
      </c>
      <c r="H44" s="19"/>
      <c r="I44" s="9">
        <f>January!I44+H44</f>
        <v>0</v>
      </c>
    </row>
    <row r="45" spans="1:9" s="5" customFormat="1" ht="18" customHeight="1">
      <c r="A45" s="9" t="s">
        <v>48</v>
      </c>
      <c r="B45" s="13">
        <f>167+109+66+1+83+150+90+84+62+54+91+158+149+130+159+15+78+81+1+62+87+55+2+5+26+69+6+24+40+68+240+145+137+288+9+35+33+64+15+20+9+14+16+17+81+65+16+55+97+35+261+27+19+20+47+4+27+102+3+129+59+21+38+89+173+183+41+62+22+175+87+70+48+99+88+67+25+97+99+66+13+74+126+11+83+67+95+90+86+15+66+16+30+7+2+6+1+6+1+35+415+48+367+63+80+36+43+66+300+182+195+141+19+11+25440+292+327+188+27</f>
        <v>34881</v>
      </c>
      <c r="C45" s="9">
        <f>January!C45+B45</f>
        <v>63740</v>
      </c>
      <c r="D45" s="15">
        <f>4+1+3+F454+7+3+1+2+1+3+3+2+3+2+1+2+1+1+9+1+1+3+6+1+1+2+3+8+1+1+2+3+3+2+1+1+1+1+20+3+1+5+2+7+3+27+1+1+1-16+40+14+8+11+11+6+1+17+19+7+6+39+85+24+1+1+86+45+13+8+2+8+2+6+2+17+51+33+31+58+59+53+46+1+1+1+1+1+1+1+1+1+12+1+1+1+1+1+1+1+1+1+1+1+1+17+10+10+3+1+83+33</f>
        <v>1146</v>
      </c>
      <c r="E45" s="9">
        <f>January!E45+D45</f>
        <v>6034</v>
      </c>
      <c r="F45" s="17">
        <f>81+9+5+10</f>
        <v>105</v>
      </c>
      <c r="G45" s="9">
        <f>January!G45+F45</f>
        <v>116</v>
      </c>
      <c r="H45" s="19"/>
      <c r="I45" s="9">
        <f>January!I45+H45</f>
        <v>0</v>
      </c>
    </row>
    <row r="46" spans="1:9" s="5" customFormat="1" ht="18" customHeight="1">
      <c r="A46" s="9" t="s">
        <v>49</v>
      </c>
      <c r="B46" s="13">
        <f>68+58+65+69+97+58+108+94+67+146+160+128+93+76</f>
        <v>1287</v>
      </c>
      <c r="C46" s="9">
        <f>January!C46+B46</f>
        <v>2126</v>
      </c>
      <c r="D46" s="15">
        <v>1</v>
      </c>
      <c r="E46" s="9">
        <f>January!E46+D46</f>
        <v>59</v>
      </c>
      <c r="F46" s="17"/>
      <c r="G46" s="9">
        <f>January!G46+F46</f>
        <v>0</v>
      </c>
      <c r="H46" s="19"/>
      <c r="I46" s="9">
        <f>January!I46+H46</f>
        <v>0</v>
      </c>
    </row>
    <row r="47" spans="1:9" s="5" customFormat="1" ht="18" customHeight="1">
      <c r="A47" s="9" t="s">
        <v>50</v>
      </c>
      <c r="B47" s="13">
        <f>131+43+42+43+44+44+42+43+165+150+203+216</f>
        <v>1166</v>
      </c>
      <c r="C47" s="9">
        <f>January!C47+B47</f>
        <v>1166</v>
      </c>
      <c r="D47" s="15">
        <v>4</v>
      </c>
      <c r="E47" s="9">
        <f>D47+January!E47</f>
        <v>4</v>
      </c>
      <c r="F47" s="17"/>
      <c r="G47" s="9">
        <f>January!G47+F47</f>
        <v>0</v>
      </c>
      <c r="H47" s="19"/>
      <c r="I47" s="9">
        <f>January!I47+H47</f>
        <v>0</v>
      </c>
    </row>
    <row r="48" spans="1:9" s="5" customFormat="1" ht="18" customHeight="1">
      <c r="A48" s="9" t="s">
        <v>51</v>
      </c>
      <c r="B48" s="13"/>
      <c r="C48" s="9">
        <f>January!C48+B48</f>
        <v>0</v>
      </c>
      <c r="D48" s="15"/>
      <c r="E48" s="9">
        <f>January!E48+D48</f>
        <v>0</v>
      </c>
      <c r="F48" s="17"/>
      <c r="G48" s="9">
        <f>January!G48+F48</f>
        <v>0</v>
      </c>
      <c r="H48" s="19"/>
      <c r="I48" s="9">
        <f>January!I48+H48</f>
        <v>0</v>
      </c>
    </row>
    <row r="49" spans="1:9" s="5" customFormat="1" ht="18" customHeight="1">
      <c r="A49" s="9" t="s">
        <v>52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</row>
    <row r="50" spans="1:9" s="5" customFormat="1" ht="18" customHeight="1">
      <c r="A50" s="9" t="s">
        <v>53</v>
      </c>
      <c r="B50" s="13">
        <f>23+65+65+65+74+58</f>
        <v>350</v>
      </c>
      <c r="C50" s="9">
        <f>January!C50+B50</f>
        <v>1139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</row>
    <row r="51" spans="1:9" s="5" customFormat="1" ht="18" customHeight="1">
      <c r="A51" s="9" t="s">
        <v>54</v>
      </c>
      <c r="B51" s="13">
        <v>160</v>
      </c>
      <c r="C51" s="9">
        <f>January!C51+B51</f>
        <v>510</v>
      </c>
      <c r="D51" s="15"/>
      <c r="E51" s="9">
        <f>January!E51+D51</f>
        <v>0</v>
      </c>
      <c r="F51" s="17"/>
      <c r="G51" s="9">
        <f>January!G51+F51</f>
        <v>1</v>
      </c>
      <c r="H51" s="19"/>
      <c r="I51" s="9">
        <f>January!I51+H51</f>
        <v>0</v>
      </c>
    </row>
    <row r="52" spans="1:9" s="5" customFormat="1" ht="18" customHeight="1">
      <c r="A52" s="9" t="s">
        <v>55</v>
      </c>
      <c r="B52" s="13">
        <v>65</v>
      </c>
      <c r="C52" s="9">
        <f>January!C52+B52</f>
        <v>551</v>
      </c>
      <c r="D52" s="15"/>
      <c r="E52" s="9">
        <f>January!E52+D52</f>
        <v>0</v>
      </c>
      <c r="F52" s="17"/>
      <c r="G52" s="9">
        <f>January!G52+F52</f>
        <v>0</v>
      </c>
      <c r="H52" s="19"/>
      <c r="I52" s="9">
        <f>January!I52+H52</f>
        <v>0</v>
      </c>
    </row>
    <row r="53" spans="1:9" s="5" customFormat="1" ht="18" customHeight="1">
      <c r="A53" s="9" t="s">
        <v>56</v>
      </c>
      <c r="B53" s="13">
        <f>75+28+3+15+6+25+51+43+11+52+24+13+38+6+24+6+66+18+13+91+20+21+8+12+25+7+20+21+19+7+10+4+21+28+18+40+1+9+60+10+7+5+2+51+4+3+5+75+18+23+7+12</f>
        <v>1181</v>
      </c>
      <c r="C53" s="9">
        <f>January!C53+B53</f>
        <v>4624</v>
      </c>
      <c r="D53" s="15">
        <f>3+2+5+3+1+1+21+36+18+11+5+10+2+28+8+8+14+12+11+2+24+7+12+10+9+1+1+1+68+1+2+1+40</f>
        <v>378</v>
      </c>
      <c r="E53" s="9">
        <f>January!E53+D53</f>
        <v>516</v>
      </c>
      <c r="F53" s="17">
        <f>80+1+80+170+80+4+2+38+38+14+116+80+14+260+2+119+120+3+80+21+1+2+2+8+2+288+38+1+1</f>
        <v>1665</v>
      </c>
      <c r="G53" s="9">
        <f>January!G53+F53</f>
        <v>2429</v>
      </c>
      <c r="H53" s="19"/>
      <c r="I53" s="9">
        <f>January!I53+H53</f>
        <v>0</v>
      </c>
    </row>
    <row r="54" spans="1:9" s="5" customFormat="1" ht="18" customHeight="1" thickBot="1">
      <c r="A54" s="10" t="s">
        <v>57</v>
      </c>
      <c r="B54" s="13">
        <f>120+90+132+247+1</f>
        <v>590</v>
      </c>
      <c r="C54" s="9">
        <f>January!C54+B54</f>
        <v>2033</v>
      </c>
      <c r="D54" s="15"/>
      <c r="E54" s="9">
        <f>January!E54+D54</f>
        <v>306</v>
      </c>
      <c r="F54" s="17"/>
      <c r="G54" s="9">
        <f>January!G54+F54</f>
        <v>0</v>
      </c>
      <c r="H54" s="19"/>
      <c r="I54" s="9">
        <f>January!I54+H54</f>
        <v>0</v>
      </c>
    </row>
    <row r="55" spans="1:9" s="5" customFormat="1" ht="18" customHeight="1" thickBot="1" thickTop="1">
      <c r="A55" s="11" t="s">
        <v>58</v>
      </c>
      <c r="B55" s="11">
        <f>SUM(B5:B54)</f>
        <v>79666</v>
      </c>
      <c r="C55" s="11"/>
      <c r="D55" s="11">
        <f>SUM(D5:D54)</f>
        <v>3837</v>
      </c>
      <c r="E55" s="11"/>
      <c r="F55" s="11">
        <f>SUM(F5:F54)</f>
        <v>3133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January!C57+B55</f>
        <v>164629</v>
      </c>
      <c r="D57" s="11"/>
      <c r="E57" s="11">
        <f>January!E57+D55</f>
        <v>12683</v>
      </c>
      <c r="F57" s="11"/>
      <c r="G57" s="11">
        <f>January!G57+F55</f>
        <v>7474</v>
      </c>
      <c r="H57" s="11"/>
      <c r="I57" s="11">
        <f>January!I57+H55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January!E62+D60</f>
        <v>32</v>
      </c>
      <c r="G62" s="4">
        <f>January!G62+F60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D11" sqref="D1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65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>
        <v>0</v>
      </c>
      <c r="C5" s="9">
        <f>February!C5+B5</f>
        <v>0</v>
      </c>
      <c r="D5" s="15">
        <v>0</v>
      </c>
      <c r="E5" s="9">
        <f>February!E5+D5</f>
        <v>0</v>
      </c>
      <c r="F5" s="17">
        <v>60</v>
      </c>
      <c r="G5" s="9">
        <f>February!G5+F5</f>
        <v>60</v>
      </c>
      <c r="H5" s="19"/>
      <c r="I5" s="9">
        <f>February!I5+H5</f>
        <v>0</v>
      </c>
    </row>
    <row r="6" spans="1:9" s="5" customFormat="1" ht="18" customHeight="1">
      <c r="A6" s="9" t="s">
        <v>9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</row>
    <row r="7" spans="1:9" s="5" customFormat="1" ht="18" customHeight="1">
      <c r="A7" s="9" t="s">
        <v>10</v>
      </c>
      <c r="B7" s="13"/>
      <c r="C7" s="9">
        <f>February!C7+B7</f>
        <v>198</v>
      </c>
      <c r="D7" s="15"/>
      <c r="E7" s="9">
        <f>February!E7+D7</f>
        <v>0</v>
      </c>
      <c r="F7" s="17"/>
      <c r="G7" s="9">
        <f>February!G7+F7</f>
        <v>156</v>
      </c>
      <c r="H7" s="19"/>
      <c r="I7" s="9">
        <f>February!I7+H7</f>
        <v>0</v>
      </c>
    </row>
    <row r="8" spans="1:9" s="5" customFormat="1" ht="18" customHeight="1">
      <c r="A8" s="9" t="s">
        <v>11</v>
      </c>
      <c r="B8" s="13">
        <f>58+72+87+61</f>
        <v>278</v>
      </c>
      <c r="C8" s="9">
        <f>February!C8+B8</f>
        <v>2439</v>
      </c>
      <c r="D8" s="15">
        <v>5</v>
      </c>
      <c r="E8" s="9">
        <f>February!E8+D8</f>
        <v>15</v>
      </c>
      <c r="F8" s="17">
        <f>1+1+1+1+1+1+1+1+1+1</f>
        <v>10</v>
      </c>
      <c r="G8" s="9">
        <f>February!G8+F8</f>
        <v>10</v>
      </c>
      <c r="H8" s="19"/>
      <c r="I8" s="9">
        <f>February!I8+H8</f>
        <v>0</v>
      </c>
    </row>
    <row r="9" spans="1:9" s="5" customFormat="1" ht="18" customHeight="1">
      <c r="A9" s="9" t="s">
        <v>12</v>
      </c>
      <c r="B9" s="13"/>
      <c r="C9" s="9">
        <f>February!C9+B9</f>
        <v>0</v>
      </c>
      <c r="D9" s="15">
        <v>1</v>
      </c>
      <c r="E9" s="9">
        <f>February!E9+D9</f>
        <v>2</v>
      </c>
      <c r="F9" s="17">
        <f>15+1+15+15+1</f>
        <v>47</v>
      </c>
      <c r="G9" s="9">
        <f>February!G9+F9</f>
        <v>226</v>
      </c>
      <c r="H9" s="19"/>
      <c r="I9" s="9">
        <f>February!I9+H9</f>
        <v>0</v>
      </c>
    </row>
    <row r="10" spans="1:9" s="5" customFormat="1" ht="18" customHeight="1">
      <c r="A10" s="9" t="s">
        <v>13</v>
      </c>
      <c r="B10" s="13"/>
      <c r="C10" s="9">
        <f>February!C10+B10</f>
        <v>0</v>
      </c>
      <c r="D10" s="15">
        <v>4</v>
      </c>
      <c r="E10" s="9">
        <f>February!E10+D10</f>
        <v>4</v>
      </c>
      <c r="F10" s="17">
        <v>1</v>
      </c>
      <c r="G10" s="9">
        <f>February!G10+F10</f>
        <v>1</v>
      </c>
      <c r="H10" s="19"/>
      <c r="I10" s="9">
        <f>February!I10+H10</f>
        <v>0</v>
      </c>
    </row>
    <row r="11" spans="1:9" s="5" customFormat="1" ht="18" customHeight="1">
      <c r="A11" s="9" t="s">
        <v>14</v>
      </c>
      <c r="B11" s="13"/>
      <c r="C11" s="9">
        <f>February!C11+B11</f>
        <v>857</v>
      </c>
      <c r="D11" s="15">
        <v>6</v>
      </c>
      <c r="E11" s="9">
        <f>February!E11+D11</f>
        <v>551</v>
      </c>
      <c r="F11" s="17"/>
      <c r="G11" s="9">
        <f>February!G11+F11</f>
        <v>177</v>
      </c>
      <c r="H11" s="19"/>
      <c r="I11" s="9">
        <f>February!I11+H11</f>
        <v>0</v>
      </c>
    </row>
    <row r="12" spans="1:9" s="5" customFormat="1" ht="18" customHeight="1">
      <c r="A12" s="9" t="s">
        <v>15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</row>
    <row r="13" spans="1:9" s="5" customFormat="1" ht="18" customHeight="1">
      <c r="A13" s="9" t="s">
        <v>16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</row>
    <row r="14" spans="1:9" s="5" customFormat="1" ht="18" customHeight="1">
      <c r="A14" s="9" t="s">
        <v>17</v>
      </c>
      <c r="B14" s="13"/>
      <c r="C14" s="9">
        <f>February!C14+B14</f>
        <v>0</v>
      </c>
      <c r="D14" s="15">
        <v>1</v>
      </c>
      <c r="E14" s="9">
        <f>February!E14+D14</f>
        <v>1</v>
      </c>
      <c r="F14" s="17"/>
      <c r="G14" s="9">
        <f>February!G14+F14</f>
        <v>0</v>
      </c>
      <c r="H14" s="19"/>
      <c r="I14" s="9">
        <f>February!I14+H14</f>
        <v>0</v>
      </c>
    </row>
    <row r="15" spans="1:9" s="5" customFormat="1" ht="18" customHeight="1">
      <c r="A15" s="9" t="s">
        <v>18</v>
      </c>
      <c r="B15" s="13"/>
      <c r="C15" s="9">
        <f>February!C15+B15</f>
        <v>868</v>
      </c>
      <c r="D15" s="15">
        <v>2</v>
      </c>
      <c r="E15" s="9">
        <f>February!E15+D15</f>
        <v>101</v>
      </c>
      <c r="F15" s="17"/>
      <c r="G15" s="9">
        <f>February!G15+F15</f>
        <v>0</v>
      </c>
      <c r="H15" s="19"/>
      <c r="I15" s="9">
        <f>February!I15+H15</f>
        <v>0</v>
      </c>
    </row>
    <row r="16" spans="1:9" s="5" customFormat="1" ht="18" customHeight="1">
      <c r="A16" s="9" t="s">
        <v>19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</row>
    <row r="17" spans="1:9" s="5" customFormat="1" ht="18" customHeight="1">
      <c r="A17" s="9" t="s">
        <v>20</v>
      </c>
      <c r="B17" s="13">
        <v>180</v>
      </c>
      <c r="C17" s="9">
        <f>February!C17+B17</f>
        <v>1511</v>
      </c>
      <c r="D17" s="15"/>
      <c r="E17" s="9">
        <f>February!E17+D17</f>
        <v>105</v>
      </c>
      <c r="F17" s="17"/>
      <c r="G17" s="9">
        <f>February!G17+F17</f>
        <v>0</v>
      </c>
      <c r="H17" s="19"/>
      <c r="I17" s="9">
        <f>February!I17+H17</f>
        <v>0</v>
      </c>
    </row>
    <row r="18" spans="1:9" s="5" customFormat="1" ht="18" customHeight="1">
      <c r="A18" s="9" t="s">
        <v>21</v>
      </c>
      <c r="B18" s="13">
        <f>160+4+4+17+156+11+10+13+22+51+144+12+36+70+1+1+70</f>
        <v>782</v>
      </c>
      <c r="C18" s="9">
        <f>February!C18+B18</f>
        <v>1997</v>
      </c>
      <c r="D18" s="15">
        <v>58</v>
      </c>
      <c r="E18" s="9">
        <f>February!E18+D18</f>
        <v>180</v>
      </c>
      <c r="F18" s="17">
        <f>1+1+1+1+2+1+1+1+1+1</f>
        <v>11</v>
      </c>
      <c r="G18" s="9">
        <f>February!G18+F18</f>
        <v>15</v>
      </c>
      <c r="H18" s="19"/>
      <c r="I18" s="9">
        <f>February!I18+H18</f>
        <v>0</v>
      </c>
    </row>
    <row r="19" spans="1:9" s="5" customFormat="1" ht="18" customHeight="1">
      <c r="A19" s="9" t="s">
        <v>22</v>
      </c>
      <c r="B19" s="13">
        <f>60+65+150+105+120+66</f>
        <v>566</v>
      </c>
      <c r="C19" s="9">
        <f>February!C19+B19</f>
        <v>1567</v>
      </c>
      <c r="D19" s="15">
        <f>1+1+120</f>
        <v>122</v>
      </c>
      <c r="E19" s="9">
        <f>February!E19+D19</f>
        <v>259</v>
      </c>
      <c r="F19" s="17">
        <f>99+11</f>
        <v>110</v>
      </c>
      <c r="G19" s="9">
        <f>February!G19+F19</f>
        <v>1749</v>
      </c>
      <c r="H19" s="19"/>
      <c r="I19" s="9">
        <f>February!I19+H19</f>
        <v>0</v>
      </c>
    </row>
    <row r="20" spans="1:9" s="5" customFormat="1" ht="18" customHeight="1">
      <c r="A20" s="9" t="s">
        <v>23</v>
      </c>
      <c r="B20" s="13">
        <f>74+119+105+119+117+119+144+70+69+61+47+31+77+145+250</f>
        <v>1547</v>
      </c>
      <c r="C20" s="9">
        <f>February!C20+B20</f>
        <v>5214</v>
      </c>
      <c r="D20" s="15">
        <f>1+3+3+1+2+2+2+1+44+1+1+1+1+5+2+1+3+45+160</f>
        <v>279</v>
      </c>
      <c r="E20" s="9">
        <f>February!E20+D20</f>
        <v>444</v>
      </c>
      <c r="F20" s="17">
        <f>105+105</f>
        <v>210</v>
      </c>
      <c r="G20" s="9">
        <f>February!G20+F20</f>
        <v>233</v>
      </c>
      <c r="H20" s="19"/>
      <c r="I20" s="9">
        <f>February!I20+H20</f>
        <v>0</v>
      </c>
    </row>
    <row r="21" spans="1:9" s="5" customFormat="1" ht="18" customHeight="1">
      <c r="A21" s="9" t="s">
        <v>24</v>
      </c>
      <c r="B21" s="13">
        <f>130+62+83+62+71+125+119+250+76+69+61+143+76+135+206+140+80+186+66+66+331+64+75+80+62+118+60+440+180+129+58+65+123+145+64+62+140+60+113+61+75+67+134+136+64+122+124+69+136+77+500+365+90+81+85+77+182+33+134+65+110+165+141+123+59+65+136+65+71+73+23+14+10+63+38+117+240+66+43+42+19+63+61+61+65+63+61+71+76+70+31+26+13+75+13+69+150+60+115+17+24+17+5+62+177+120+75+240+144+148</f>
        <v>11107</v>
      </c>
      <c r="C21" s="9">
        <f>February!C21+B21</f>
        <v>24575</v>
      </c>
      <c r="D21" s="15">
        <f>1+1+1+2+6</f>
        <v>11</v>
      </c>
      <c r="E21" s="9">
        <f>February!E21+D21</f>
        <v>15</v>
      </c>
      <c r="F21" s="17">
        <v>75</v>
      </c>
      <c r="G21" s="9">
        <f>February!G21+F21</f>
        <v>75</v>
      </c>
      <c r="H21" s="19"/>
      <c r="I21" s="9">
        <f>February!I21+H21</f>
        <v>0</v>
      </c>
    </row>
    <row r="22" spans="1:9" s="5" customFormat="1" ht="18" customHeight="1">
      <c r="A22" s="9" t="s">
        <v>25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</row>
    <row r="23" spans="1:9" s="5" customFormat="1" ht="18" customHeight="1">
      <c r="A23" s="9" t="s">
        <v>26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</row>
    <row r="24" spans="1:9" s="5" customFormat="1" ht="18" customHeight="1">
      <c r="A24" s="9" t="s">
        <v>27</v>
      </c>
      <c r="B24" s="13"/>
      <c r="C24" s="9">
        <f>February!C24+B24</f>
        <v>0</v>
      </c>
      <c r="D24" s="15"/>
      <c r="E24" s="9">
        <f>February!E24+D24</f>
        <v>2</v>
      </c>
      <c r="F24" s="17"/>
      <c r="G24" s="9">
        <f>February!G24+F24</f>
        <v>2</v>
      </c>
      <c r="H24" s="19"/>
      <c r="I24" s="9">
        <f>February!I24+H24</f>
        <v>0</v>
      </c>
    </row>
    <row r="25" spans="1:9" s="5" customFormat="1" ht="18" customHeight="1">
      <c r="A25" s="9" t="s">
        <v>28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</row>
    <row r="26" spans="1:9" s="5" customFormat="1" ht="18" customHeight="1">
      <c r="A26" s="9" t="s">
        <v>29</v>
      </c>
      <c r="B26" s="13"/>
      <c r="C26" s="9">
        <f>February!C26+B26</f>
        <v>77</v>
      </c>
      <c r="D26" s="15">
        <v>2</v>
      </c>
      <c r="E26" s="9">
        <f>February!E26+D26</f>
        <v>2</v>
      </c>
      <c r="F26" s="17"/>
      <c r="G26" s="9">
        <f>February!G26+F26</f>
        <v>0</v>
      </c>
      <c r="H26" s="19"/>
      <c r="I26" s="9">
        <f>February!I26+H26</f>
        <v>0</v>
      </c>
    </row>
    <row r="27" spans="1:9" s="5" customFormat="1" ht="18" customHeight="1">
      <c r="A27" s="9" t="s">
        <v>30</v>
      </c>
      <c r="B27" s="13">
        <f>1+11+5+16+70+21+29+61+32+8+20+23+5+19+90+10+9+83+114+80+88+99+68+31+77+35+91+31+5+50+8+12+7+11+3+15+4+28+32+67+51+53+62+93+76+200+198+67+68+223+182+68+63+96+43+53+9+5+21+60+10+13+18+18+28+21+45+8+12+3+36+10+35+11+2+58+5+13+9+1+1+1+1+88+147+137+25+45+154+1000+9+36+16+5+60+206+130+1+124+90+181+157+42+55+44+6+20+1+3+3+4+8+3+20+17+9+15+4+2+6+4+14+61+28+40+29+38+3</f>
        <v>6609</v>
      </c>
      <c r="C27" s="9">
        <f>February!C27+B27</f>
        <v>13549</v>
      </c>
      <c r="D27" s="15">
        <f>1+1+1+1+13+6+1+1+3+1+1+37+5+3+2+5+18+18+34+34+34+3+7+4+2+30+1+2+23</f>
        <v>292</v>
      </c>
      <c r="E27" s="9">
        <f>February!E27+D27</f>
        <v>866</v>
      </c>
      <c r="F27" s="17">
        <f>2+39+39+39+7+15+17+1+16+1+6+109+1+60+39+10+3+25+2+38+112+13+1+80+1+1+1+52+27+5</f>
        <v>762</v>
      </c>
      <c r="G27" s="9">
        <f>February!G27+F27</f>
        <v>2618</v>
      </c>
      <c r="H27" s="19"/>
      <c r="I27" s="9">
        <f>February!I27+H27</f>
        <v>0</v>
      </c>
    </row>
    <row r="28" spans="1:9" s="5" customFormat="1" ht="18" customHeight="1">
      <c r="A28" s="9" t="s">
        <v>31</v>
      </c>
      <c r="B28" s="13"/>
      <c r="C28" s="9">
        <f>February!C28+B28</f>
        <v>0</v>
      </c>
      <c r="D28" s="15"/>
      <c r="E28" s="9">
        <f>February!E28+D28</f>
        <v>1</v>
      </c>
      <c r="F28" s="17"/>
      <c r="G28" s="9">
        <f>February!G28+F28</f>
        <v>0</v>
      </c>
      <c r="H28" s="19"/>
      <c r="I28" s="9">
        <f>February!I28+H28</f>
        <v>0</v>
      </c>
    </row>
    <row r="29" spans="1:9" s="5" customFormat="1" ht="18" customHeight="1">
      <c r="A29" s="9" t="s">
        <v>32</v>
      </c>
      <c r="B29" s="13">
        <f>7+5+65+75+13+60+60+50+66+53+55+84+600+71+81+319+70+74+50+54+120+160+145+53+68+44+127+70+25+121+125+70+70+69+68+77+63+71+70+144+59+300+75+59+76+76+57+16+72+71+28+85+30+49+27+26+64+86+76+80+4+223+83+42+4+33+10+4+10+39+44+64+120+135+180+154+70+270+135+70+72+64+129+282+125+96+8+77+65+3+71+67+75+83+96+72+45+3+2+132+72+1+70+74+68+74+74+61+215+110+66+125+25+66+79+61+75+525+299+180+77+71+120+63+75+70+58+43+198+147+128+22+47+15</f>
        <v>11799</v>
      </c>
      <c r="C29" s="9">
        <f>February!C29+B29</f>
        <v>31145</v>
      </c>
      <c r="D29" s="15">
        <f>4+3+1+3+6+1+1+12+10+44+12+12+4+17+6+10+3+2+8+7+10+7+63+190+68+62+63+100+102+98+62+1</f>
        <v>992</v>
      </c>
      <c r="E29" s="9">
        <f>February!E29+D29</f>
        <v>2521</v>
      </c>
      <c r="F29" s="17">
        <f>22+22+22+13+1</f>
        <v>80</v>
      </c>
      <c r="G29" s="9">
        <f>February!G29+F29</f>
        <v>80</v>
      </c>
      <c r="H29" s="19"/>
      <c r="I29" s="9">
        <f>February!I29+H29</f>
        <v>0</v>
      </c>
    </row>
    <row r="30" spans="1:9" s="5" customFormat="1" ht="18" customHeight="1">
      <c r="A30" s="9" t="s">
        <v>33</v>
      </c>
      <c r="B30" s="13">
        <f>136+2+1+62+610+22+24+6+41+75+100+60+495+305+394+2+24+4+5+17+80+155</f>
        <v>2620</v>
      </c>
      <c r="C30" s="9">
        <f>February!C30+B30</f>
        <v>11247</v>
      </c>
      <c r="D30" s="15">
        <f>1+1+84+1+2+8+1+2+1+2+1+1+1+2+70+51+63+82</f>
        <v>374</v>
      </c>
      <c r="E30" s="9">
        <f>February!E30+D30</f>
        <v>853</v>
      </c>
      <c r="F30" s="17"/>
      <c r="G30" s="9">
        <f>February!G30+F30</f>
        <v>0</v>
      </c>
      <c r="H30" s="19"/>
      <c r="I30" s="9">
        <f>February!I30+H30</f>
        <v>0</v>
      </c>
    </row>
    <row r="31" spans="1:9" s="5" customFormat="1" ht="18" customHeight="1">
      <c r="A31" s="9" t="s">
        <v>34</v>
      </c>
      <c r="B31" s="13">
        <f>80+67+40+240+60+73+73+126+155+67+67+75+93+17+49+38+461+189+93+97+100+86+219+79+80+86+84+62+85+63+98+100+76+237+161+36+85+132+81+60+124+63+1</f>
        <v>4358</v>
      </c>
      <c r="C31" s="9">
        <f>February!C31+B31</f>
        <v>12319</v>
      </c>
      <c r="D31" s="15">
        <f>1+1+6+40+14+58+2+1+1+8+99+14+1+57+41+42+4+93+9+28+57+1+12+6+2+4+1+15+1+20+16+8+4+3+1+3+4+38+43+3+16</f>
        <v>778</v>
      </c>
      <c r="E31" s="9">
        <f>February!E31+D31</f>
        <v>2196</v>
      </c>
      <c r="F31" s="17">
        <f>32+1+41+80+49</f>
        <v>203</v>
      </c>
      <c r="G31" s="9">
        <f>February!G31+F31</f>
        <v>631</v>
      </c>
      <c r="H31" s="19"/>
      <c r="I31" s="9">
        <f>February!I31+H31</f>
        <v>0</v>
      </c>
    </row>
    <row r="32" spans="1:9" s="5" customFormat="1" ht="18" customHeight="1">
      <c r="A32" s="9" t="s">
        <v>35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</row>
    <row r="33" spans="1:9" s="5" customFormat="1" ht="18" customHeight="1">
      <c r="A33" s="9" t="s">
        <v>36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</row>
    <row r="34" spans="1:9" s="5" customFormat="1" ht="18" customHeight="1">
      <c r="A34" s="9" t="s">
        <v>37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</row>
    <row r="35" spans="1:9" s="5" customFormat="1" ht="18" customHeight="1">
      <c r="A35" s="9" t="s">
        <v>38</v>
      </c>
      <c r="B35" s="13"/>
      <c r="C35" s="9">
        <f>February!C35+B35</f>
        <v>237</v>
      </c>
      <c r="D35" s="15"/>
      <c r="E35" s="9">
        <f>February!E35+D35</f>
        <v>0</v>
      </c>
      <c r="F35" s="17"/>
      <c r="G35" s="9">
        <f>February!G35+F35</f>
        <v>146</v>
      </c>
      <c r="H35" s="19"/>
      <c r="I35" s="9">
        <f>February!I35+H35</f>
        <v>0</v>
      </c>
    </row>
    <row r="36" spans="1:9" s="5" customFormat="1" ht="18" customHeight="1">
      <c r="A36" s="9" t="s">
        <v>39</v>
      </c>
      <c r="B36" s="13"/>
      <c r="C36" s="9">
        <f>February!C36+B36</f>
        <v>0</v>
      </c>
      <c r="D36" s="15"/>
      <c r="E36" s="9">
        <f>February!E36+D36</f>
        <v>0</v>
      </c>
      <c r="F36" s="17">
        <f>37+37+4</f>
        <v>78</v>
      </c>
      <c r="G36" s="9">
        <f>February!G36+F36</f>
        <v>118</v>
      </c>
      <c r="H36" s="19"/>
      <c r="I36" s="9">
        <f>February!I36+H36</f>
        <v>0</v>
      </c>
    </row>
    <row r="37" spans="1:9" s="5" customFormat="1" ht="18" customHeight="1">
      <c r="A37" s="9" t="s">
        <v>40</v>
      </c>
      <c r="B37" s="13"/>
      <c r="C37" s="9">
        <f>February!C37+B37</f>
        <v>90</v>
      </c>
      <c r="D37" s="15"/>
      <c r="E37" s="9">
        <f>February!E37+D37</f>
        <v>1</v>
      </c>
      <c r="F37" s="17">
        <v>3</v>
      </c>
      <c r="G37" s="9">
        <f>February!G37+F37</f>
        <v>3</v>
      </c>
      <c r="H37" s="19"/>
      <c r="I37" s="9">
        <f>February!I37+H37</f>
        <v>0</v>
      </c>
    </row>
    <row r="38" spans="1:9" s="5" customFormat="1" ht="18" customHeight="1">
      <c r="A38" s="9" t="s">
        <v>41</v>
      </c>
      <c r="B38" s="13">
        <f>49+65+180+85+86+82+127+130+67+60+50+61+83+83+64+69+64+37+57+75+196+85+250+13+62+90+28+70+35+145+44+55+23+61+75+90+60+59+246+69+64+20+66+74+119+85+80+80+80+151+405+214+223+88+76+98+70+218+113+53+81+71+210+87+129+70+100+27+60+125+80+62+165+77+80+91+35+70+69+78+138+68+66+66+62+72</f>
        <v>7946</v>
      </c>
      <c r="C38" s="9">
        <f>February!C38+B38</f>
        <v>25298</v>
      </c>
      <c r="D38" s="15">
        <f>33+9+12+9+1+1+1+2+13</f>
        <v>81</v>
      </c>
      <c r="E38" s="9">
        <f>February!E38+D38</f>
        <v>319</v>
      </c>
      <c r="F38" s="17">
        <v>41</v>
      </c>
      <c r="G38" s="9">
        <f>February!G38+F38</f>
        <v>120</v>
      </c>
      <c r="H38" s="19"/>
      <c r="I38" s="9">
        <f>February!I38+H38</f>
        <v>0</v>
      </c>
    </row>
    <row r="39" spans="1:9" s="5" customFormat="1" ht="18" customHeight="1">
      <c r="A39" s="9" t="s">
        <v>42</v>
      </c>
      <c r="B39" s="13"/>
      <c r="C39" s="9">
        <f>February!C39+B39</f>
        <v>1248</v>
      </c>
      <c r="D39" s="15">
        <v>10</v>
      </c>
      <c r="E39" s="9">
        <f>February!E39+D39</f>
        <v>20</v>
      </c>
      <c r="F39" s="17">
        <f>5+12+12+12+12+12+12+12+12+12+12+12+12+12+11+12+85+124</f>
        <v>393</v>
      </c>
      <c r="G39" s="9">
        <f>February!G39+F39</f>
        <v>487</v>
      </c>
      <c r="H39" s="19"/>
      <c r="I39" s="9">
        <f>February!I39+H39</f>
        <v>0</v>
      </c>
    </row>
    <row r="40" spans="1:9" s="5" customFormat="1" ht="18" customHeight="1">
      <c r="A40" s="9" t="s">
        <v>43</v>
      </c>
      <c r="B40" s="13">
        <f>167+92</f>
        <v>259</v>
      </c>
      <c r="C40" s="9">
        <f>February!C40+B40</f>
        <v>372</v>
      </c>
      <c r="D40" s="15">
        <f>3+2+1+10+10+9</f>
        <v>35</v>
      </c>
      <c r="E40" s="9">
        <f>February!E40+D40</f>
        <v>42</v>
      </c>
      <c r="F40" s="17"/>
      <c r="G40" s="9">
        <f>February!G40+F40</f>
        <v>0</v>
      </c>
      <c r="H40" s="19"/>
      <c r="I40" s="9">
        <f>February!I40+H40</f>
        <v>0</v>
      </c>
    </row>
    <row r="41" spans="1:9" s="5" customFormat="1" ht="18" customHeight="1">
      <c r="A41" s="9" t="s">
        <v>44</v>
      </c>
      <c r="B41" s="13">
        <f>12+26</f>
        <v>38</v>
      </c>
      <c r="C41" s="9">
        <f>February!C41+B41</f>
        <v>38</v>
      </c>
      <c r="D41" s="15"/>
      <c r="E41" s="9">
        <f>February!E41+D41</f>
        <v>85</v>
      </c>
      <c r="F41" s="17"/>
      <c r="G41" s="9">
        <f>February!G41+F41</f>
        <v>0</v>
      </c>
      <c r="H41" s="19"/>
      <c r="I41" s="9">
        <f>February!I41+H41</f>
        <v>0</v>
      </c>
    </row>
    <row r="42" spans="1:9" s="5" customFormat="1" ht="18" customHeight="1">
      <c r="A42" s="9" t="s">
        <v>45</v>
      </c>
      <c r="B42" s="13">
        <f>96+85</f>
        <v>181</v>
      </c>
      <c r="C42" s="9">
        <f>February!C42+B42</f>
        <v>567</v>
      </c>
      <c r="D42" s="15"/>
      <c r="E42" s="9">
        <f>February!E42+D42</f>
        <v>232</v>
      </c>
      <c r="F42" s="17">
        <v>75</v>
      </c>
      <c r="G42" s="9">
        <f>February!G42+F42</f>
        <v>180</v>
      </c>
      <c r="H42" s="19"/>
      <c r="I42" s="9">
        <f>February!I42+H42</f>
        <v>0</v>
      </c>
    </row>
    <row r="43" spans="1:9" s="5" customFormat="1" ht="18" customHeight="1">
      <c r="A43" s="9" t="s">
        <v>46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</row>
    <row r="44" spans="1:9" s="5" customFormat="1" ht="18" customHeight="1">
      <c r="A44" s="9" t="s">
        <v>47</v>
      </c>
      <c r="B44" s="13">
        <f>76+86+98</f>
        <v>260</v>
      </c>
      <c r="C44" s="9">
        <f>February!C44+B44</f>
        <v>1857</v>
      </c>
      <c r="D44" s="15"/>
      <c r="E44" s="9">
        <f>February!E44+D44</f>
        <v>0</v>
      </c>
      <c r="F44" s="17"/>
      <c r="G44" s="9">
        <f>February!G44+F44</f>
        <v>0</v>
      </c>
      <c r="H44" s="19"/>
      <c r="I44" s="9">
        <f>February!I44+H44</f>
        <v>0</v>
      </c>
    </row>
    <row r="45" spans="1:9" s="5" customFormat="1" ht="18" customHeight="1">
      <c r="A45" s="9" t="s">
        <v>48</v>
      </c>
      <c r="B45" s="13">
        <f>64+210+504+63+79+75+72+76+77+142+30+164+78+22+89+79+294+82+80+86+163+166+60+89+143+67+142+156+134+78+63+149+65+60+252+176+80+82+70+87+75+47+147+64+34+84+164+62+2+43+59+39+89+138+15+22+20+304+31+15+110+96+50+54+4+69+160+83+31+76+8+13+67+18+70+86+125+28+27+18+129+7+14+57+13+2+11+95+82+131+89+44+52+80+85+154+68+49+22+125+37+9+217+31+232+140+48+72+86+362+109+20+16+15+47+89+28+47+8+44+3+37+120+26+231+14+6+70+141+394+36+2+95+18+42+8+35+110+47+51+106+70+81+145+152+30+64+81+18+74+47+63+36+9+60+24+102+34+83+285+23+36+59+85+148+20+74+75+131+604+61+34+77+285+160+201+140+265+70+27+21+85+161+104+198+89+72+81+158+47+81+20+90+70+260+280+194+55+137+138+137+88+80+190+70+75+75+3+15+4+30+87+29+18+64+36+29+19+8+28+42+9+42+19+84+31+155+317+110+66+22+74+74+62+19+37+36+22+19+77+138+72+67+86+40+63+66+201+115+67+135+261+135+158+30+21+70+90+69+22+145+38+75+90+79+225+49+102+25+93+7+52+95+25+19+233+34+69+105+85+85+93+30+76+210+80+50+157+72+54+23+23+197+36+62+188+75+105+78+17+37+13+70+84+74+77+67+170+85+67+135+89+132+63+76+13+272+155+124+67+80+16+59+14+32+3+60+102+36+32+10+22+17+12+13+57+79+18+570+700+495+600+580+474+30+58+119+67+1020</f>
        <v>33136</v>
      </c>
      <c r="C45" s="9">
        <f>February!C45+B45</f>
        <v>96876</v>
      </c>
      <c r="D45" s="15">
        <f>28+24+25+15+62+36+36+20+26+1+15+12+2+20+1+22+2+19+6+10+12+12+6+19+1+14+9+48+18+3+32+10+2+5+28+2+5+35+51+2+19+251+5+51+16+1+1+4+5+1+2+1+12+17+12+43+23+1+2+1+2+1+1+1+3+1+3+40+108+14+7+8+1+10+8+3+2+14+7+19+17+44+11+79+1+21+7+44+1+6+1</f>
        <v>1649</v>
      </c>
      <c r="E45" s="9">
        <f>February!E45+D45</f>
        <v>7683</v>
      </c>
      <c r="F45" s="17">
        <f>1+3+1+1</f>
        <v>6</v>
      </c>
      <c r="G45" s="9">
        <f>February!G45+F45</f>
        <v>122</v>
      </c>
      <c r="H45" s="19"/>
      <c r="I45" s="9">
        <f>February!I45+H45</f>
        <v>0</v>
      </c>
    </row>
    <row r="46" spans="1:9" s="5" customFormat="1" ht="18" customHeight="1">
      <c r="A46" s="9" t="s">
        <v>49</v>
      </c>
      <c r="B46" s="13">
        <f>81+75+58+104+96+53+53+55+74</f>
        <v>649</v>
      </c>
      <c r="C46" s="9">
        <f>February!C46+B46</f>
        <v>2775</v>
      </c>
      <c r="D46" s="15"/>
      <c r="E46" s="9">
        <f>February!E46+D46</f>
        <v>59</v>
      </c>
      <c r="F46" s="17">
        <f>9+11+12+12+12+12+12</f>
        <v>80</v>
      </c>
      <c r="G46" s="9">
        <f>February!G46+F46</f>
        <v>80</v>
      </c>
      <c r="H46" s="19"/>
      <c r="I46" s="9">
        <f>February!I46+H46</f>
        <v>0</v>
      </c>
    </row>
    <row r="47" spans="1:9" s="5" customFormat="1" ht="18" customHeight="1">
      <c r="A47" s="9" t="s">
        <v>50</v>
      </c>
      <c r="B47" s="13"/>
      <c r="C47" s="9">
        <f>February!C47+B47</f>
        <v>1166</v>
      </c>
      <c r="D47" s="15"/>
      <c r="E47" s="9">
        <f>February!E47+D47</f>
        <v>4</v>
      </c>
      <c r="F47" s="17"/>
      <c r="G47" s="9">
        <f>February!G47+F47</f>
        <v>0</v>
      </c>
      <c r="H47" s="19"/>
      <c r="I47" s="9">
        <f>February!I47+H47</f>
        <v>0</v>
      </c>
    </row>
    <row r="48" spans="1:9" s="5" customFormat="1" ht="18" customHeight="1">
      <c r="A48" s="9" t="s">
        <v>51</v>
      </c>
      <c r="B48" s="13"/>
      <c r="C48" s="9">
        <f>February!C48+B48</f>
        <v>0</v>
      </c>
      <c r="D48" s="15">
        <v>2</v>
      </c>
      <c r="E48" s="9">
        <f>February!E48+D48</f>
        <v>2</v>
      </c>
      <c r="F48" s="17"/>
      <c r="G48" s="9">
        <f>February!G48+F48</f>
        <v>0</v>
      </c>
      <c r="H48" s="19"/>
      <c r="I48" s="9">
        <f>February!I48+H48</f>
        <v>0</v>
      </c>
    </row>
    <row r="49" spans="1:9" s="5" customFormat="1" ht="18" customHeight="1">
      <c r="A49" s="9" t="s">
        <v>52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</row>
    <row r="50" spans="1:9" s="5" customFormat="1" ht="18" customHeight="1">
      <c r="A50" s="9" t="s">
        <v>53</v>
      </c>
      <c r="B50" s="13">
        <f>103+100+72+64+61+35+29+65+200+140+378+290</f>
        <v>1537</v>
      </c>
      <c r="C50" s="9">
        <f>February!C50+B50</f>
        <v>2676</v>
      </c>
      <c r="D50" s="15">
        <v>1</v>
      </c>
      <c r="E50" s="9">
        <f>February!E50+D50</f>
        <v>1</v>
      </c>
      <c r="F50" s="17"/>
      <c r="G50" s="9">
        <f>February!G50+F50</f>
        <v>0</v>
      </c>
      <c r="H50" s="19"/>
      <c r="I50" s="9">
        <f>February!I50+H50</f>
        <v>0</v>
      </c>
    </row>
    <row r="51" spans="1:9" s="5" customFormat="1" ht="18" customHeight="1">
      <c r="A51" s="9" t="s">
        <v>54</v>
      </c>
      <c r="B51" s="13">
        <f>160+160</f>
        <v>320</v>
      </c>
      <c r="C51" s="9">
        <f>February!C51+B51</f>
        <v>830</v>
      </c>
      <c r="D51" s="15"/>
      <c r="E51" s="9">
        <f>February!E51+D51</f>
        <v>0</v>
      </c>
      <c r="F51" s="17">
        <f>1+1</f>
        <v>2</v>
      </c>
      <c r="G51" s="9">
        <f>February!G51+F51</f>
        <v>3</v>
      </c>
      <c r="H51" s="19"/>
      <c r="I51" s="9">
        <f>February!I51+H51</f>
        <v>0</v>
      </c>
    </row>
    <row r="52" spans="1:9" s="5" customFormat="1" ht="18" customHeight="1">
      <c r="A52" s="9" t="s">
        <v>55</v>
      </c>
      <c r="B52" s="13">
        <v>89</v>
      </c>
      <c r="C52" s="9">
        <f>February!C52+B52</f>
        <v>640</v>
      </c>
      <c r="D52" s="15"/>
      <c r="E52" s="9">
        <f>February!E52+D52</f>
        <v>0</v>
      </c>
      <c r="F52" s="17"/>
      <c r="G52" s="9">
        <f>February!G52+F52</f>
        <v>0</v>
      </c>
      <c r="H52" s="19"/>
      <c r="I52" s="9">
        <f>February!I52+H52</f>
        <v>0</v>
      </c>
    </row>
    <row r="53" spans="1:9" s="5" customFormat="1" ht="18" customHeight="1">
      <c r="A53" s="9" t="s">
        <v>56</v>
      </c>
      <c r="B53" s="13">
        <f>170+250+27+3+34+15+20+17+141+52+21+4+5+116+4+13+8+67+200+150+50+51+34+21+160+20+1+18+200+13+5+6+179+12+37+238+213+80+8+52+18+15+4+26+15+30+26+84+11+13+5+3+9+2+25+55+55+64+9+10+20+31+120+9+288+62+7+78+1+50+16+18+18</f>
        <v>3912</v>
      </c>
      <c r="C53" s="9">
        <f>February!C53+B53</f>
        <v>8536</v>
      </c>
      <c r="D53" s="15">
        <v>183</v>
      </c>
      <c r="E53" s="9">
        <f>February!E53+D53</f>
        <v>699</v>
      </c>
      <c r="F53" s="17">
        <v>1125</v>
      </c>
      <c r="G53" s="9">
        <f>February!G53+F53</f>
        <v>3554</v>
      </c>
      <c r="H53" s="19"/>
      <c r="I53" s="9">
        <f>February!I53+H53</f>
        <v>0</v>
      </c>
    </row>
    <row r="54" spans="1:9" s="5" customFormat="1" ht="18" customHeight="1" thickBot="1">
      <c r="A54" s="10" t="s">
        <v>57</v>
      </c>
      <c r="B54" s="13">
        <f>45+45+91+205+120</f>
        <v>506</v>
      </c>
      <c r="C54" s="9">
        <f>February!C54+B54</f>
        <v>2539</v>
      </c>
      <c r="D54" s="15">
        <f>1+1+40+33+58+8+45+41+86+46+38+46</f>
        <v>443</v>
      </c>
      <c r="E54" s="9">
        <f>February!E54+D54</f>
        <v>749</v>
      </c>
      <c r="F54" s="17"/>
      <c r="G54" s="9">
        <f>February!G54+F54</f>
        <v>0</v>
      </c>
      <c r="H54" s="19"/>
      <c r="I54" s="9">
        <f>February!I54+H54</f>
        <v>0</v>
      </c>
    </row>
    <row r="55" spans="1:9" s="5" customFormat="1" ht="18" customHeight="1" thickBot="1" thickTop="1">
      <c r="A55" s="11" t="s">
        <v>58</v>
      </c>
      <c r="B55" s="11">
        <f>SUM(B5:B54)</f>
        <v>88679</v>
      </c>
      <c r="C55" s="11"/>
      <c r="D55" s="11">
        <f>SUM(D5:D54)</f>
        <v>5331</v>
      </c>
      <c r="E55" s="11"/>
      <c r="F55" s="11">
        <f>SUM(F5:F54)</f>
        <v>3372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February!C57+B55</f>
        <v>253308</v>
      </c>
      <c r="D57" s="11"/>
      <c r="E57" s="11">
        <f>February!E57+D55</f>
        <v>18014</v>
      </c>
      <c r="F57" s="11"/>
      <c r="G57" s="11">
        <f>February!G57+F55</f>
        <v>10846</v>
      </c>
      <c r="H57" s="11"/>
      <c r="I57" s="11">
        <f>February!I57+H55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pans="1:4" s="5" customFormat="1" ht="18" customHeight="1">
      <c r="A60" s="5" t="s">
        <v>13</v>
      </c>
      <c r="D60" s="5">
        <v>916</v>
      </c>
    </row>
    <row r="61" s="5" customFormat="1" ht="18" customHeight="1"/>
    <row r="62" spans="1:7" s="4" customFormat="1" ht="18" customHeight="1">
      <c r="A62" s="4" t="s">
        <v>61</v>
      </c>
      <c r="E62" s="4">
        <f>February!E62+D60</f>
        <v>948</v>
      </c>
      <c r="G62" s="4">
        <f>February!G62+F60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66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March!C5+B5</f>
        <v>0</v>
      </c>
      <c r="D5" s="15">
        <v>1</v>
      </c>
      <c r="E5" s="9">
        <f>March!E5+D5</f>
        <v>1</v>
      </c>
      <c r="F5" s="17">
        <v>56</v>
      </c>
      <c r="G5" s="9">
        <f>March!G5+F5</f>
        <v>116</v>
      </c>
      <c r="H5" s="19"/>
      <c r="I5" s="9">
        <f>March!I5+H5</f>
        <v>0</v>
      </c>
    </row>
    <row r="6" spans="1:9" s="5" customFormat="1" ht="18" customHeight="1">
      <c r="A6" s="9" t="s">
        <v>9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</row>
    <row r="7" spans="1:9" s="5" customFormat="1" ht="18" customHeight="1">
      <c r="A7" s="9" t="s">
        <v>10</v>
      </c>
      <c r="B7" s="13"/>
      <c r="C7" s="9">
        <f>March!C7+B7</f>
        <v>198</v>
      </c>
      <c r="D7" s="15"/>
      <c r="E7" s="9">
        <f>March!E7+D7</f>
        <v>0</v>
      </c>
      <c r="F7" s="17"/>
      <c r="G7" s="9">
        <f>March!G7+F7</f>
        <v>156</v>
      </c>
      <c r="H7" s="19"/>
      <c r="I7" s="9">
        <f>March!I7+H7</f>
        <v>0</v>
      </c>
    </row>
    <row r="8" spans="1:9" s="5" customFormat="1" ht="18" customHeight="1">
      <c r="A8" s="9" t="s">
        <v>11</v>
      </c>
      <c r="B8" s="13">
        <f>38+55+53+17+85+80+57</f>
        <v>385</v>
      </c>
      <c r="C8" s="9">
        <f>March!C8+B8</f>
        <v>2824</v>
      </c>
      <c r="D8" s="15"/>
      <c r="E8" s="9">
        <f>March!E8+D8</f>
        <v>15</v>
      </c>
      <c r="F8" s="17"/>
      <c r="G8" s="9">
        <f>March!G8+F8</f>
        <v>10</v>
      </c>
      <c r="H8" s="19"/>
      <c r="I8" s="9">
        <f>March!I8+H8</f>
        <v>0</v>
      </c>
    </row>
    <row r="9" spans="1:9" s="5" customFormat="1" ht="18" customHeight="1">
      <c r="A9" s="9" t="s">
        <v>12</v>
      </c>
      <c r="B9" s="13"/>
      <c r="C9" s="9">
        <f>March!C9+B9</f>
        <v>0</v>
      </c>
      <c r="D9" s="15"/>
      <c r="E9" s="9">
        <f>March!E9+D9</f>
        <v>2</v>
      </c>
      <c r="F9" s="17">
        <f>3+1+4+1</f>
        <v>9</v>
      </c>
      <c r="G9" s="9">
        <f>March!G9+F9</f>
        <v>235</v>
      </c>
      <c r="H9" s="19"/>
      <c r="I9" s="9">
        <f>March!I9+H9</f>
        <v>0</v>
      </c>
    </row>
    <row r="10" spans="1:9" s="5" customFormat="1" ht="18" customHeight="1">
      <c r="A10" s="9" t="s">
        <v>13</v>
      </c>
      <c r="B10" s="13">
        <v>133</v>
      </c>
      <c r="C10" s="9">
        <f>March!C10+B10</f>
        <v>133</v>
      </c>
      <c r="D10" s="15">
        <v>14</v>
      </c>
      <c r="E10" s="9">
        <f>March!E10+D10</f>
        <v>18</v>
      </c>
      <c r="F10" s="17"/>
      <c r="G10" s="9">
        <f>March!G10+F10</f>
        <v>1</v>
      </c>
      <c r="H10" s="19"/>
      <c r="I10" s="9">
        <f>March!I10+H10</f>
        <v>0</v>
      </c>
    </row>
    <row r="11" spans="1:9" s="5" customFormat="1" ht="18" customHeight="1">
      <c r="A11" s="9" t="s">
        <v>14</v>
      </c>
      <c r="B11" s="13">
        <f>5+59+61+65+109+75</f>
        <v>374</v>
      </c>
      <c r="C11" s="9">
        <f>March!C11+B11</f>
        <v>1231</v>
      </c>
      <c r="D11" s="15">
        <f>7+1</f>
        <v>8</v>
      </c>
      <c r="E11" s="9">
        <f>March!E11+D11</f>
        <v>559</v>
      </c>
      <c r="F11" s="17">
        <f>54+2+32+32+42+32+32+41+32+32+32</f>
        <v>363</v>
      </c>
      <c r="G11" s="9">
        <f>March!G11+F11</f>
        <v>540</v>
      </c>
      <c r="H11" s="19"/>
      <c r="I11" s="9">
        <f>March!I11+H11</f>
        <v>0</v>
      </c>
    </row>
    <row r="12" spans="1:9" s="5" customFormat="1" ht="18" customHeight="1">
      <c r="A12" s="9" t="s">
        <v>15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</row>
    <row r="13" spans="1:9" s="5" customFormat="1" ht="18" customHeight="1">
      <c r="A13" s="9" t="s">
        <v>16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</row>
    <row r="14" spans="1:9" s="5" customFormat="1" ht="18" customHeight="1">
      <c r="A14" s="9" t="s">
        <v>17</v>
      </c>
      <c r="B14" s="13"/>
      <c r="C14" s="9">
        <f>March!C14+B14</f>
        <v>0</v>
      </c>
      <c r="D14" s="15"/>
      <c r="E14" s="9">
        <f>March!E14+D14</f>
        <v>1</v>
      </c>
      <c r="F14" s="17"/>
      <c r="G14" s="9">
        <f>March!G14+F14</f>
        <v>0</v>
      </c>
      <c r="H14" s="19"/>
      <c r="I14" s="9">
        <f>March!I14+H14</f>
        <v>0</v>
      </c>
    </row>
    <row r="15" spans="1:9" s="5" customFormat="1" ht="18" customHeight="1">
      <c r="A15" s="9" t="s">
        <v>18</v>
      </c>
      <c r="B15" s="13">
        <f>122+62+76</f>
        <v>260</v>
      </c>
      <c r="C15" s="9">
        <f>March!C15+B15</f>
        <v>1128</v>
      </c>
      <c r="D15" s="15">
        <v>1</v>
      </c>
      <c r="E15" s="9">
        <f>March!E15+D15</f>
        <v>102</v>
      </c>
      <c r="F15" s="17"/>
      <c r="G15" s="9">
        <f>March!G15+F15</f>
        <v>0</v>
      </c>
      <c r="H15" s="19"/>
      <c r="I15" s="9">
        <f>March!I15+H15</f>
        <v>0</v>
      </c>
    </row>
    <row r="16" spans="1:9" s="5" customFormat="1" ht="18" customHeight="1">
      <c r="A16" s="9" t="s">
        <v>19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</row>
    <row r="17" spans="1:9" s="5" customFormat="1" ht="18" customHeight="1">
      <c r="A17" s="9" t="s">
        <v>20</v>
      </c>
      <c r="B17" s="13">
        <v>85</v>
      </c>
      <c r="C17" s="9">
        <f>March!C17+B17</f>
        <v>1596</v>
      </c>
      <c r="D17" s="15"/>
      <c r="E17" s="9">
        <f>March!E17+D17</f>
        <v>105</v>
      </c>
      <c r="F17" s="17"/>
      <c r="G17" s="9">
        <f>March!G17+F17</f>
        <v>0</v>
      </c>
      <c r="H17" s="19"/>
      <c r="I17" s="9">
        <f>March!I17+H17</f>
        <v>0</v>
      </c>
    </row>
    <row r="18" spans="1:9" s="5" customFormat="1" ht="18" customHeight="1">
      <c r="A18" s="9" t="s">
        <v>21</v>
      </c>
      <c r="B18" s="13">
        <f>4+7+18+7+2+80+10</f>
        <v>128</v>
      </c>
      <c r="C18" s="9">
        <f>March!C18+B18</f>
        <v>2125</v>
      </c>
      <c r="D18" s="15">
        <f>1+2+1+2+25+25+25+1+1+1+1+1+1+3+1+2+1+1+2+1+2+3+1+1+1+2</f>
        <v>108</v>
      </c>
      <c r="E18" s="9">
        <f>March!E18+D18</f>
        <v>288</v>
      </c>
      <c r="F18" s="17">
        <f>4+8+2+7+1+28</f>
        <v>50</v>
      </c>
      <c r="G18" s="9">
        <f>March!G18+F18</f>
        <v>65</v>
      </c>
      <c r="H18" s="19"/>
      <c r="I18" s="9">
        <f>March!I18+H18</f>
        <v>0</v>
      </c>
    </row>
    <row r="19" spans="1:9" s="5" customFormat="1" ht="18" customHeight="1">
      <c r="A19" s="9" t="s">
        <v>22</v>
      </c>
      <c r="B19" s="13">
        <f>75+75+150+64+67+1087</f>
        <v>1518</v>
      </c>
      <c r="C19" s="9">
        <f>March!C19+B19</f>
        <v>3085</v>
      </c>
      <c r="D19" s="15">
        <f>1+1</f>
        <v>2</v>
      </c>
      <c r="E19" s="9">
        <f>March!E19+D19</f>
        <v>261</v>
      </c>
      <c r="F19" s="17">
        <v>70</v>
      </c>
      <c r="G19" s="9">
        <f>March!G19+F19</f>
        <v>1819</v>
      </c>
      <c r="H19" s="19"/>
      <c r="I19" s="9">
        <f>March!I19+H19</f>
        <v>0</v>
      </c>
    </row>
    <row r="20" spans="1:9" s="5" customFormat="1" ht="18" customHeight="1">
      <c r="A20" s="9" t="s">
        <v>23</v>
      </c>
      <c r="B20" s="13">
        <f>64+70+62+68+62+147+59+25+55+113+51+135+62+26+132+61+210+118+37+74+210+35+3+3+35+300+180+353+52+252+1+117+14+30+26+192+60</f>
        <v>3494</v>
      </c>
      <c r="C20" s="9">
        <f>March!C20+B20</f>
        <v>8708</v>
      </c>
      <c r="D20" s="15">
        <f>2+3+1+1+1+2+2+1+3+2+1+1+7+30+7+2+2+7+1+4+53+1+54</f>
        <v>188</v>
      </c>
      <c r="E20" s="9">
        <f>March!E20+D20</f>
        <v>632</v>
      </c>
      <c r="F20" s="17">
        <f>1+240</f>
        <v>241</v>
      </c>
      <c r="G20" s="9">
        <f>March!G20+F20</f>
        <v>474</v>
      </c>
      <c r="H20" s="19"/>
      <c r="I20" s="9">
        <f>March!I20+H20</f>
        <v>0</v>
      </c>
    </row>
    <row r="21" spans="1:9" s="5" customFormat="1" ht="18" customHeight="1">
      <c r="A21" s="9" t="s">
        <v>24</v>
      </c>
      <c r="B21" s="13">
        <f>60+81+25+26+10+76+54+243+118+233+132+73+257+138+68+118+72+45+7+68+36+31+63+27+24+17+66+63+33+76+125+460+124+61+65+194+183+70+55+150+120+120+114+89+62+300+62+70+57+70+68+62+62+92+13+1+29+77+78+248+248+180+103+113+153+74+69+136+77+80+35+25+78+68+61+62+57+252+180+155+129+240+63+128+79+131+130+65+58+246+61+375+68+65+75+185+59+68+86+107+58+69+57+272+60+113+177+72+63+89+67+155+49+64+202+86+39+64+49+134+31+12+3+5+2+66+70+56+6+28+17+12+16+125+17+110+140+190+131+57+66+122+105+150+150+64+91+325+120+147+52+107+205+182+190+670</f>
        <v>16024</v>
      </c>
      <c r="C21" s="9">
        <f>March!C21+B21</f>
        <v>40599</v>
      </c>
      <c r="D21" s="15"/>
      <c r="E21" s="9">
        <f>March!E21+D21</f>
        <v>15</v>
      </c>
      <c r="F21" s="17">
        <v>3</v>
      </c>
      <c r="G21" s="9">
        <f>March!G21+F21</f>
        <v>78</v>
      </c>
      <c r="H21" s="19"/>
      <c r="I21" s="9">
        <f>March!I21+H21</f>
        <v>0</v>
      </c>
    </row>
    <row r="22" spans="1:9" s="5" customFormat="1" ht="18" customHeight="1">
      <c r="A22" s="9" t="s">
        <v>25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</row>
    <row r="23" spans="1:9" s="5" customFormat="1" ht="18" customHeight="1">
      <c r="A23" s="9" t="s">
        <v>26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</row>
    <row r="24" spans="1:9" s="5" customFormat="1" ht="18" customHeight="1">
      <c r="A24" s="9" t="s">
        <v>27</v>
      </c>
      <c r="B24" s="13"/>
      <c r="C24" s="9">
        <f>March!C24+B24</f>
        <v>0</v>
      </c>
      <c r="D24" s="15"/>
      <c r="E24" s="9">
        <f>March!E24+D24</f>
        <v>2</v>
      </c>
      <c r="F24" s="17">
        <f>8</f>
        <v>8</v>
      </c>
      <c r="G24" s="9">
        <f>March!G24+F24</f>
        <v>10</v>
      </c>
      <c r="H24" s="19"/>
      <c r="I24" s="9">
        <f>March!I24+H24</f>
        <v>0</v>
      </c>
    </row>
    <row r="25" spans="1:9" s="5" customFormat="1" ht="18" customHeight="1">
      <c r="A25" s="9" t="s">
        <v>28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</row>
    <row r="26" spans="1:9" s="5" customFormat="1" ht="18" customHeight="1">
      <c r="A26" s="9" t="s">
        <v>29</v>
      </c>
      <c r="B26" s="13">
        <f>71+32</f>
        <v>103</v>
      </c>
      <c r="C26" s="9">
        <f>March!C26+B26</f>
        <v>180</v>
      </c>
      <c r="D26" s="15"/>
      <c r="E26" s="9">
        <f>March!E26+D26</f>
        <v>2</v>
      </c>
      <c r="F26" s="17"/>
      <c r="G26" s="9">
        <f>March!G26+F26</f>
        <v>0</v>
      </c>
      <c r="H26" s="19"/>
      <c r="I26" s="9">
        <f>March!I26+H26</f>
        <v>0</v>
      </c>
    </row>
    <row r="27" spans="1:9" s="5" customFormat="1" ht="18" customHeight="1">
      <c r="A27" s="9" t="s">
        <v>30</v>
      </c>
      <c r="B27" s="13">
        <f>2+33+22+7+2+3+29+130+201+6+8+26+18+16+78+66+74+67+25+159+132+39+39+207+17+68+70+51+82+223+67+52+592+101+24+29+24+63+40+42+5+2+2+2+70+6+15+8+4+4+18+18+10+21+1+67+65+3+4+10+147+42+248+112+55+132+147+87+77+77+182+34+21+15+1+1+40+10+24+4+3+14+12+10+13</f>
        <v>4777</v>
      </c>
      <c r="C27" s="9">
        <f>March!C27+B27</f>
        <v>18326</v>
      </c>
      <c r="D27" s="15">
        <f>1+3+1+1+4+5+19+15+77+72+1+3</f>
        <v>202</v>
      </c>
      <c r="E27" s="9">
        <f>March!E27+D27</f>
        <v>1068</v>
      </c>
      <c r="F27" s="17">
        <f>16+57+13+60+1+40+106+16+126+1+1+48+3+10+7+6+4+1+1+5+8440+12+72</f>
        <v>9046</v>
      </c>
      <c r="G27" s="9">
        <f>March!G27+F27</f>
        <v>11664</v>
      </c>
      <c r="H27" s="19"/>
      <c r="I27" s="9">
        <f>March!I27+H27</f>
        <v>0</v>
      </c>
    </row>
    <row r="28" spans="1:9" s="5" customFormat="1" ht="18" customHeight="1">
      <c r="A28" s="9" t="s">
        <v>31</v>
      </c>
      <c r="B28" s="13">
        <f>70+71+70</f>
        <v>211</v>
      </c>
      <c r="C28" s="9">
        <f>March!C28+B28</f>
        <v>211</v>
      </c>
      <c r="D28" s="15"/>
      <c r="E28" s="9">
        <f>March!E28+D28</f>
        <v>1</v>
      </c>
      <c r="F28" s="17"/>
      <c r="G28" s="9">
        <f>March!G28+F28</f>
        <v>0</v>
      </c>
      <c r="H28" s="19"/>
      <c r="I28" s="9">
        <f>March!I28+H28</f>
        <v>0</v>
      </c>
    </row>
    <row r="29" spans="1:9" s="5" customFormat="1" ht="18" customHeight="1">
      <c r="A29" s="9" t="s">
        <v>32</v>
      </c>
      <c r="B29" s="13">
        <f>24+6+65+73+18+27+69+173+51+34+66+15+70+42+174+70+115+125+51+82+14+60+127+19+60+34+60+55+60+128+154+29+98+180+68+70+64+77+33+41+65+84+73+77+42+375+66+82+80+53+60+55+56+57+126+45+66+75+78+60+156+87+37+84+81+27+20+2+55+29+62+66+68+147+77+64+37+55+238+75+77+66+40+13+163+89+68+73+1+33+41+65+84+60+34+60+55+15+70+42+174+70+115+125+51+82+14+60+127+19+60+27+69+173+51+34+66+72+7+22+8+62+14+186+118+111+126+79+79+127+77+76+88+63+353+55+65+21+88+14+46+28+90+65+80+60+78+196+209+700+7+116+180+52+65+64+50+76+87+156+64+90+68+24+705+1+4+123+59+9+11+63+79+29+201+4+8+5+3+3+2+250+47+16+15+119+41+520+110+112+237+149+117+54+125+200+74+69+101+98+145+191+307+120+113+21+21+479+71+68+62+97+15+74+147+126+115+94+115+115+115+57+84+70+65+115+44+70+87+61+58+120+116+78+6+74+61+74+63+1+1+1+9+30+124+23+39+222+25+88+66+180+65+19+137+66+8+3+115+180+64+64+103+28+90+69+109+73+1+19+2+3+3+8+47+60+124+51+520+304+212+65+86+20+77+29+21+70+54+118+85+52+118+82+22+27+95+31</f>
        <v>25036</v>
      </c>
      <c r="C29" s="9">
        <f>March!C29+B29</f>
        <v>56181</v>
      </c>
      <c r="D29" s="15">
        <f>4+1+5+14+1+1+4+1+3+5+5+68+3+5+1+4+9+5+1+5+12+6+1+71+1+26+23+2+1+4+2+12+9+45+41+12+4+4+21+22+55+4+7+15+1+1+2+7+4+10+1+1+1+26</f>
        <v>599</v>
      </c>
      <c r="E29" s="9">
        <f>March!E29+D29</f>
        <v>3120</v>
      </c>
      <c r="F29" s="17">
        <f>1+1+22+69+231+190+73+20</f>
        <v>607</v>
      </c>
      <c r="G29" s="9">
        <f>March!G29+F29</f>
        <v>687</v>
      </c>
      <c r="H29" s="19">
        <f>25+186+28+16+13+9</f>
        <v>277</v>
      </c>
      <c r="I29" s="9">
        <f>March!I29+H29</f>
        <v>277</v>
      </c>
    </row>
    <row r="30" spans="1:9" s="5" customFormat="1" ht="18" customHeight="1">
      <c r="A30" s="9" t="s">
        <v>33</v>
      </c>
      <c r="B30" s="13">
        <f>70+99+107+112+130+25+238+14+130+240+46+78+386+354+90+65+145+211+7+66+17+86+129+124+272+150+4+20+180+138+174+900+20+60+113</f>
        <v>5000</v>
      </c>
      <c r="C30" s="9">
        <f>March!C30+B30</f>
        <v>16247</v>
      </c>
      <c r="D30" s="15">
        <f>2+75+2+1+1+2+1+1+1+2+1+3+1+80+1+7+1+1+1+5+3+1+1+1+1+1+1+2</f>
        <v>200</v>
      </c>
      <c r="E30" s="9">
        <f>March!E30+D30</f>
        <v>1053</v>
      </c>
      <c r="F30" s="17"/>
      <c r="G30" s="9">
        <f>March!G30+F30</f>
        <v>0</v>
      </c>
      <c r="H30" s="19"/>
      <c r="I30" s="9">
        <f>March!I30+H30</f>
        <v>0</v>
      </c>
    </row>
    <row r="31" spans="1:9" s="5" customFormat="1" ht="18" customHeight="1">
      <c r="A31" s="9" t="s">
        <v>34</v>
      </c>
      <c r="B31" s="13">
        <f>135+74+192+104+92+1+2+68+76+72+87+104+104+95+78+70+166+22+44+26+272+90+22+9+100+139+178+120+68+1200+73+85+35+38+56+80+94+84+85+67+80+180</f>
        <v>4767</v>
      </c>
      <c r="C31" s="9">
        <f>March!C31+B31</f>
        <v>17086</v>
      </c>
      <c r="D31" s="15">
        <f>136+1+2+1+3+2+1+1+3+1+5+25+13+13+1+2+1+10+2+1+1+1+2+78+21+12+2+1+2+95+4+76+2+1+8+84+1+1+1+2+1+6+1+3+2+2+1+2+3+3+3+12+8+3+2+63+1+2+7+5+3+2+1+31+1+2+6+1+5+1+12+12+14+2+11</f>
        <v>853</v>
      </c>
      <c r="E31" s="9">
        <f>March!E31+D31</f>
        <v>3049</v>
      </c>
      <c r="F31" s="17">
        <f>10+30+80+80+80+46+174</f>
        <v>500</v>
      </c>
      <c r="G31" s="9">
        <f>March!G31+F31</f>
        <v>1131</v>
      </c>
      <c r="H31" s="19"/>
      <c r="I31" s="9">
        <f>March!I31+H31</f>
        <v>0</v>
      </c>
    </row>
    <row r="32" spans="1:9" s="5" customFormat="1" ht="18" customHeight="1">
      <c r="A32" s="9" t="s">
        <v>35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</row>
    <row r="33" spans="1:9" s="5" customFormat="1" ht="18" customHeight="1">
      <c r="A33" s="9" t="s">
        <v>36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</row>
    <row r="34" spans="1:9" s="5" customFormat="1" ht="18" customHeight="1">
      <c r="A34" s="9" t="s">
        <v>37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</row>
    <row r="35" spans="1:9" s="5" customFormat="1" ht="18" customHeight="1">
      <c r="A35" s="9" t="s">
        <v>38</v>
      </c>
      <c r="B35" s="13"/>
      <c r="C35" s="9">
        <f>March!C35+B35</f>
        <v>237</v>
      </c>
      <c r="D35" s="15"/>
      <c r="E35" s="9">
        <f>March!E35+D35</f>
        <v>0</v>
      </c>
      <c r="F35" s="17"/>
      <c r="G35" s="9">
        <f>March!G35+F35</f>
        <v>146</v>
      </c>
      <c r="H35" s="19"/>
      <c r="I35" s="9">
        <f>March!I35+H35</f>
        <v>0</v>
      </c>
    </row>
    <row r="36" spans="1:9" s="5" customFormat="1" ht="18" customHeight="1">
      <c r="A36" s="9" t="s">
        <v>39</v>
      </c>
      <c r="B36" s="13"/>
      <c r="C36" s="9">
        <f>March!C36+B36</f>
        <v>0</v>
      </c>
      <c r="D36" s="15"/>
      <c r="E36" s="9">
        <f>March!E36+D36</f>
        <v>0</v>
      </c>
      <c r="F36" s="17">
        <v>39</v>
      </c>
      <c r="G36" s="9">
        <f>March!G36+F36</f>
        <v>157</v>
      </c>
      <c r="H36" s="19"/>
      <c r="I36" s="9">
        <f>March!I36+H36</f>
        <v>0</v>
      </c>
    </row>
    <row r="37" spans="1:9" s="5" customFormat="1" ht="18" customHeight="1">
      <c r="A37" s="9" t="s">
        <v>40</v>
      </c>
      <c r="B37" s="13">
        <v>85</v>
      </c>
      <c r="C37" s="9">
        <f>March!C37+B37</f>
        <v>175</v>
      </c>
      <c r="D37" s="15"/>
      <c r="E37" s="9">
        <f>March!E37+D37</f>
        <v>1</v>
      </c>
      <c r="F37" s="17"/>
      <c r="G37" s="9">
        <f>March!G37+F37</f>
        <v>3</v>
      </c>
      <c r="H37" s="19"/>
      <c r="I37" s="9">
        <f>March!I37+H37</f>
        <v>0</v>
      </c>
    </row>
    <row r="38" spans="1:9" s="5" customFormat="1" ht="18" customHeight="1">
      <c r="A38" s="9" t="s">
        <v>41</v>
      </c>
      <c r="B38" s="13">
        <f>245+525+240+65+35+94+16+79+165+19+73+124+79+60+80+120+213+73+67+100+1</f>
        <v>2473</v>
      </c>
      <c r="C38" s="9">
        <f>March!C38+B38</f>
        <v>27771</v>
      </c>
      <c r="D38" s="15">
        <f>8+1+17+1+1+210</f>
        <v>238</v>
      </c>
      <c r="E38" s="9">
        <f>March!E38+D38</f>
        <v>557</v>
      </c>
      <c r="F38" s="17"/>
      <c r="G38" s="9">
        <f>March!G38+F38</f>
        <v>120</v>
      </c>
      <c r="H38" s="19"/>
      <c r="I38" s="9">
        <f>March!I38+H38</f>
        <v>0</v>
      </c>
    </row>
    <row r="39" spans="1:9" s="5" customFormat="1" ht="18" customHeight="1">
      <c r="A39" s="9" t="s">
        <v>42</v>
      </c>
      <c r="B39" s="13">
        <v>125</v>
      </c>
      <c r="C39" s="9">
        <f>March!C39+B39</f>
        <v>1373</v>
      </c>
      <c r="D39" s="15">
        <f>1+1+2+1+2</f>
        <v>7</v>
      </c>
      <c r="E39" s="9">
        <f>March!E39+D39</f>
        <v>27</v>
      </c>
      <c r="F39" s="17">
        <f>245+184+26+12</f>
        <v>467</v>
      </c>
      <c r="G39" s="9">
        <f>March!G39+F39</f>
        <v>954</v>
      </c>
      <c r="H39" s="19"/>
      <c r="I39" s="9">
        <f>March!I39+H39</f>
        <v>0</v>
      </c>
    </row>
    <row r="40" spans="1:9" s="5" customFormat="1" ht="18" customHeight="1">
      <c r="A40" s="9" t="s">
        <v>43</v>
      </c>
      <c r="B40" s="13"/>
      <c r="C40" s="9">
        <f>March!C40+B40</f>
        <v>372</v>
      </c>
      <c r="D40" s="15"/>
      <c r="E40" s="9">
        <f>March!E40+D40</f>
        <v>42</v>
      </c>
      <c r="F40" s="17"/>
      <c r="G40" s="9">
        <f>March!G40+F40</f>
        <v>0</v>
      </c>
      <c r="H40" s="19"/>
      <c r="I40" s="9">
        <f>March!I40+H40</f>
        <v>0</v>
      </c>
    </row>
    <row r="41" spans="1:9" s="5" customFormat="1" ht="18" customHeight="1">
      <c r="A41" s="9" t="s">
        <v>44</v>
      </c>
      <c r="B41" s="13">
        <f>78+149+104</f>
        <v>331</v>
      </c>
      <c r="C41" s="9">
        <f>March!C41+B41</f>
        <v>369</v>
      </c>
      <c r="D41" s="15"/>
      <c r="E41" s="9">
        <f>March!E41+D41</f>
        <v>85</v>
      </c>
      <c r="F41" s="17"/>
      <c r="G41" s="9">
        <f>March!G41+F41</f>
        <v>0</v>
      </c>
      <c r="H41" s="19"/>
      <c r="I41" s="9">
        <f>March!I41+H41</f>
        <v>0</v>
      </c>
    </row>
    <row r="42" spans="1:9" s="5" customFormat="1" ht="18" customHeight="1">
      <c r="A42" s="9" t="s">
        <v>45</v>
      </c>
      <c r="B42" s="13"/>
      <c r="C42" s="9">
        <f>March!C42+B42</f>
        <v>567</v>
      </c>
      <c r="D42" s="15">
        <v>1</v>
      </c>
      <c r="E42" s="9">
        <f>March!E42+D42</f>
        <v>233</v>
      </c>
      <c r="F42" s="17">
        <f>5+45+41+171+53+52+22+90+52+97+90+15</f>
        <v>733</v>
      </c>
      <c r="G42" s="9">
        <f>March!G42+F42</f>
        <v>913</v>
      </c>
      <c r="H42" s="19"/>
      <c r="I42" s="9">
        <f>March!I42+H42</f>
        <v>0</v>
      </c>
    </row>
    <row r="43" spans="1:9" s="5" customFormat="1" ht="18" customHeight="1">
      <c r="A43" s="9" t="s">
        <v>46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</row>
    <row r="44" spans="1:9" s="5" customFormat="1" ht="18" customHeight="1">
      <c r="A44" s="9" t="s">
        <v>47</v>
      </c>
      <c r="B44" s="13">
        <f>136+22+94+51+126</f>
        <v>429</v>
      </c>
      <c r="C44" s="9">
        <f>March!C44+B44</f>
        <v>2286</v>
      </c>
      <c r="D44" s="15"/>
      <c r="E44" s="9">
        <f>March!E44+D44</f>
        <v>0</v>
      </c>
      <c r="F44" s="17"/>
      <c r="G44" s="9">
        <f>March!G44+F44</f>
        <v>0</v>
      </c>
      <c r="H44" s="19"/>
      <c r="I44" s="9">
        <f>March!I44+H44</f>
        <v>0</v>
      </c>
    </row>
    <row r="45" spans="1:9" s="5" customFormat="1" ht="18" customHeight="1">
      <c r="A45" s="9" t="s">
        <v>48</v>
      </c>
      <c r="B45" s="13">
        <f>23+73+7+72+127+55+60+55+150+77+120+40+93+90+96+162+78+55+97+143+55+76+80+79+107+8+83+53+34+56+94+217+62+60+143+77+245+6+11+62+143+41+225+1+85+85+54+56+13+65+10+50+226+4+7+82+5+54+63+170+3+26+10+86+22+13+96+8+37+97+2+60+14+10+21+120+27+7+9+17+20+66+28+19+15+44+23+1+182+23+22+18+83+22+10+60+91+65+87+62+46+84+74+11+92+44+15+18+86+69+470+29+51+29+84+164+111+43+96+80+92+74+70+149+245+70+138+146+21+74+309+94+51+48+73+138+67+19+289+70+150+80+10+89+145+3+187+52+69+85+36+1+85+17+90+27+164+93+55+77+80+75+93+117+33+71+85+72+122+66+149+96+122+172+140+23+101+22+4+86+36+84+85+92+78+105+72+68+55+41+82+41+34+46+136+57+108+179+45+33+14+56+8+9+13+11+53+66+74+111+179+57+1+269+219+60+77+68+75+161+56+74+10+6+30+34+13+2+6+21+15+49+87+100+24+30+42+12+17+112+44+171+20+13+6+100+57+14+180+64+106+68+19+81+56+10+40+15+1+12+42+19+10+100+19+105+78+28+56+21+10+5+27+128+32+14+18+9+27+25+1</f>
        <v>19172</v>
      </c>
      <c r="C45" s="9">
        <f>March!C45+B45</f>
        <v>116048</v>
      </c>
      <c r="D45" s="15">
        <f>1+17+6+1+3+1+3+11+8+4+3+3+6+6+6+1+1+3+2+5+6+15+8+2+1+1+2+2+1+1+1+1+2+5+2+60+1+2+2+4+2+1+5+76+1+22+12+2+10+1+1+1+2+1+3+1+1+1+1+1+1+1+2+3+6+1+1+1+1+1+14+9+8+1+9+12+3+10+1+8+32+32+7+2+34+34+34+2+1+5+2+15+10+3+5+1</f>
        <v>667</v>
      </c>
      <c r="E45" s="9">
        <f>March!E45+D45</f>
        <v>8350</v>
      </c>
      <c r="F45" s="17">
        <v>9</v>
      </c>
      <c r="G45" s="9">
        <f>March!G45+F45</f>
        <v>131</v>
      </c>
      <c r="H45" s="19"/>
      <c r="I45" s="9">
        <f>March!I45+H45</f>
        <v>0</v>
      </c>
    </row>
    <row r="46" spans="1:9" s="5" customFormat="1" ht="18" customHeight="1">
      <c r="A46" s="9" t="s">
        <v>49</v>
      </c>
      <c r="B46" s="13">
        <f>74+120+118+56+194+56</f>
        <v>618</v>
      </c>
      <c r="C46" s="9">
        <f>March!C46+B46</f>
        <v>3393</v>
      </c>
      <c r="D46" s="15">
        <f>56+2</f>
        <v>58</v>
      </c>
      <c r="E46" s="9">
        <f>March!E46+D46</f>
        <v>117</v>
      </c>
      <c r="F46" s="17">
        <f>1</f>
        <v>1</v>
      </c>
      <c r="G46" s="9">
        <f>March!G46+F46</f>
        <v>81</v>
      </c>
      <c r="H46" s="19"/>
      <c r="I46" s="9">
        <f>March!I46+H46</f>
        <v>0</v>
      </c>
    </row>
    <row r="47" spans="1:9" s="5" customFormat="1" ht="18" customHeight="1">
      <c r="A47" s="9" t="s">
        <v>50</v>
      </c>
      <c r="B47" s="13">
        <f>120+52+51+54+55+205+52+66+56+100+65+120+206</f>
        <v>1202</v>
      </c>
      <c r="C47" s="9">
        <f>March!C47+B47</f>
        <v>2368</v>
      </c>
      <c r="D47" s="15">
        <f>3+22+8+15+2+2+1+1</f>
        <v>54</v>
      </c>
      <c r="E47" s="9">
        <f>March!E47+D47</f>
        <v>58</v>
      </c>
      <c r="F47" s="17">
        <f>64</f>
        <v>64</v>
      </c>
      <c r="G47" s="9">
        <f>March!G47+F47</f>
        <v>64</v>
      </c>
      <c r="H47" s="19"/>
      <c r="I47" s="9">
        <f>March!I47+H47</f>
        <v>0</v>
      </c>
    </row>
    <row r="48" spans="1:9" s="5" customFormat="1" ht="18" customHeight="1">
      <c r="A48" s="9" t="s">
        <v>51</v>
      </c>
      <c r="B48" s="13"/>
      <c r="C48" s="9">
        <f>March!C48+B48</f>
        <v>0</v>
      </c>
      <c r="D48" s="15"/>
      <c r="E48" s="9">
        <f>March!E48+D48</f>
        <v>2</v>
      </c>
      <c r="F48" s="17">
        <f>2+108</f>
        <v>110</v>
      </c>
      <c r="G48" s="9">
        <f>March!G48+F48</f>
        <v>110</v>
      </c>
      <c r="H48" s="19"/>
      <c r="I48" s="9">
        <f>March!I48+H48</f>
        <v>0</v>
      </c>
    </row>
    <row r="49" spans="1:9" s="5" customFormat="1" ht="18" customHeight="1">
      <c r="A49" s="9" t="s">
        <v>52</v>
      </c>
      <c r="B49" s="13"/>
      <c r="C49" s="9">
        <f>March!C49+B49</f>
        <v>0</v>
      </c>
      <c r="D49" s="15"/>
      <c r="E49" s="9">
        <f>March!E49+D49</f>
        <v>0</v>
      </c>
      <c r="F49" s="17">
        <v>3</v>
      </c>
      <c r="G49" s="9">
        <f>March!G49+F49</f>
        <v>3</v>
      </c>
      <c r="H49" s="19"/>
      <c r="I49" s="9">
        <f>March!I49+H49</f>
        <v>0</v>
      </c>
    </row>
    <row r="50" spans="1:9" s="5" customFormat="1" ht="18" customHeight="1">
      <c r="A50" s="9" t="s">
        <v>53</v>
      </c>
      <c r="B50" s="13">
        <f>63+63+21+55+55+64+65+66+58+95+486</f>
        <v>1091</v>
      </c>
      <c r="C50" s="9">
        <f>March!C50+B50</f>
        <v>3767</v>
      </c>
      <c r="D50" s="15">
        <f>1</f>
        <v>1</v>
      </c>
      <c r="E50" s="9">
        <f>March!E50+D50</f>
        <v>2</v>
      </c>
      <c r="F50" s="17"/>
      <c r="G50" s="9">
        <f>March!G50+F50</f>
        <v>0</v>
      </c>
      <c r="H50" s="19"/>
      <c r="I50" s="9">
        <f>March!I50+H50</f>
        <v>0</v>
      </c>
    </row>
    <row r="51" spans="1:9" s="5" customFormat="1" ht="18" customHeight="1">
      <c r="A51" s="9" t="s">
        <v>54</v>
      </c>
      <c r="B51" s="13">
        <f>160+138</f>
        <v>298</v>
      </c>
      <c r="C51" s="9">
        <f>March!C51+B51</f>
        <v>1128</v>
      </c>
      <c r="D51" s="15"/>
      <c r="E51" s="9">
        <f>March!E51+D51</f>
        <v>0</v>
      </c>
      <c r="F51" s="17"/>
      <c r="G51" s="9">
        <f>March!G51+F51</f>
        <v>3</v>
      </c>
      <c r="H51" s="19"/>
      <c r="I51" s="9">
        <f>March!I51+H51</f>
        <v>0</v>
      </c>
    </row>
    <row r="52" spans="1:9" s="5" customFormat="1" ht="18" customHeight="1">
      <c r="A52" s="9" t="s">
        <v>55</v>
      </c>
      <c r="B52" s="13">
        <f>74+77+70+62</f>
        <v>283</v>
      </c>
      <c r="C52" s="9">
        <f>March!C52+B52</f>
        <v>923</v>
      </c>
      <c r="D52" s="15">
        <f>2</f>
        <v>2</v>
      </c>
      <c r="E52" s="9">
        <f>March!E52+D52</f>
        <v>2</v>
      </c>
      <c r="F52" s="17"/>
      <c r="G52" s="9">
        <f>March!G52+F52</f>
        <v>0</v>
      </c>
      <c r="H52" s="19"/>
      <c r="I52" s="9">
        <f>March!I52+H52</f>
        <v>0</v>
      </c>
    </row>
    <row r="53" spans="1:9" s="5" customFormat="1" ht="18" customHeight="1">
      <c r="A53" s="9" t="s">
        <v>56</v>
      </c>
      <c r="B53" s="13">
        <f>2+44+3+189+15+33+59+81+38+71+14+25+8+25+4+3+109+27+17+4+8+23+5+31+96+10+10+72+13+4+3+6+5+25+15+17+20+112+21+67+37+67+24+11+26+17+30+42+33+72+50+15+11+250+201+1+86+142+143+72+85+187+4+40+26+1+26+113+52+22+4+6+4+8+141+4+56+16+32+110+116+214</f>
        <v>3931</v>
      </c>
      <c r="C53" s="9">
        <f>March!C53+B53</f>
        <v>12467</v>
      </c>
      <c r="D53" s="15">
        <f>1+1+12+9+2+10+13+13+7+1+1+1+1+19+127+2+1+1+3+1+2+2+1+23+3+3+1+2+1+1+6+3+3+8+2+3+1+1+1+1</f>
        <v>294</v>
      </c>
      <c r="E53" s="9">
        <f>March!E53+D53</f>
        <v>993</v>
      </c>
      <c r="F53" s="17">
        <f>2+1+1+1+1+1+18+38+18+3+4+6+6+28+2+1+1+15+9+42+14+41+13+3+1+1+5+18+3+16+2+19+5+15+80+20+6+80+3+38+3+5+5+2+4+22+1+14+14+1</f>
        <v>652</v>
      </c>
      <c r="G53" s="9">
        <f>March!G53+F53</f>
        <v>4206</v>
      </c>
      <c r="H53" s="19"/>
      <c r="I53" s="9">
        <f>March!I53+H53</f>
        <v>0</v>
      </c>
    </row>
    <row r="54" spans="1:9" s="5" customFormat="1" ht="18" customHeight="1" thickBot="1">
      <c r="A54" s="10" t="s">
        <v>57</v>
      </c>
      <c r="B54" s="13">
        <f>271</f>
        <v>271</v>
      </c>
      <c r="C54" s="9">
        <f>March!C54+B54</f>
        <v>2810</v>
      </c>
      <c r="D54" s="16">
        <f>2+129</f>
        <v>131</v>
      </c>
      <c r="E54" s="9">
        <f>March!E54+D54</f>
        <v>880</v>
      </c>
      <c r="F54" s="17"/>
      <c r="G54" s="9">
        <f>March!G54+F54</f>
        <v>0</v>
      </c>
      <c r="H54" s="19"/>
      <c r="I54" s="9">
        <f>March!I54+H54</f>
        <v>0</v>
      </c>
    </row>
    <row r="55" spans="1:9" s="5" customFormat="1" ht="18" customHeight="1" thickBot="1" thickTop="1">
      <c r="A55" s="11" t="s">
        <v>58</v>
      </c>
      <c r="B55" s="11">
        <f>SUM(B5:B54)</f>
        <v>92604</v>
      </c>
      <c r="C55" s="11"/>
      <c r="D55" s="11">
        <f>SUM(D5:D54)</f>
        <v>3629</v>
      </c>
      <c r="E55" s="11"/>
      <c r="F55" s="11">
        <f>SUM(F5:F54)</f>
        <v>13031</v>
      </c>
      <c r="G55" s="11"/>
      <c r="H55" s="11">
        <f>SUM(H5:H54)</f>
        <v>277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March!C57+B55</f>
        <v>345912</v>
      </c>
      <c r="D57" s="11"/>
      <c r="E57" s="11">
        <f>March!E57+D55</f>
        <v>21643</v>
      </c>
      <c r="F57" s="11"/>
      <c r="G57" s="11">
        <f>March!G57+F55</f>
        <v>23877</v>
      </c>
      <c r="H57" s="11"/>
      <c r="I57" s="11">
        <f>March!I57+H55</f>
        <v>277</v>
      </c>
    </row>
    <row r="58" s="5" customFormat="1" ht="18" customHeight="1" thickTop="1"/>
    <row r="59" s="5" customFormat="1" ht="18" customHeight="1">
      <c r="A59" s="5" t="s">
        <v>60</v>
      </c>
    </row>
    <row r="60" spans="1:4" s="5" customFormat="1" ht="18" customHeight="1">
      <c r="A60" s="5" t="s">
        <v>13</v>
      </c>
      <c r="D60" s="5">
        <v>1475</v>
      </c>
    </row>
    <row r="61" s="5" customFormat="1" ht="18" customHeight="1"/>
    <row r="62" spans="1:7" s="4" customFormat="1" ht="18" customHeight="1">
      <c r="A62" s="4" t="s">
        <v>61</v>
      </c>
      <c r="E62" s="4">
        <f>March!E62+D60</f>
        <v>2423</v>
      </c>
      <c r="G62" s="4">
        <f>March!G62+F60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29" sqref="A29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67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>
        <f>300+94+120</f>
        <v>514</v>
      </c>
      <c r="C5" s="9">
        <f>April!C5+B5</f>
        <v>514</v>
      </c>
      <c r="D5" s="15">
        <f>443+518+20+59+20+50</f>
        <v>1110</v>
      </c>
      <c r="E5" s="9">
        <f>April!E5+D5</f>
        <v>1111</v>
      </c>
      <c r="F5" s="17"/>
      <c r="G5" s="9">
        <f>April!G5+F5</f>
        <v>116</v>
      </c>
      <c r="H5" s="19"/>
      <c r="I5" s="9">
        <f>April!I5+H5</f>
        <v>0</v>
      </c>
    </row>
    <row r="6" spans="1:9" s="5" customFormat="1" ht="18" customHeight="1">
      <c r="A6" s="9" t="s">
        <v>9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</row>
    <row r="7" spans="1:9" s="5" customFormat="1" ht="18" customHeight="1">
      <c r="A7" s="9" t="s">
        <v>10</v>
      </c>
      <c r="B7" s="13"/>
      <c r="C7" s="9">
        <f>April!C7+B7</f>
        <v>198</v>
      </c>
      <c r="D7" s="15"/>
      <c r="E7" s="9">
        <f>April!E7+D7</f>
        <v>0</v>
      </c>
      <c r="F7" s="17"/>
      <c r="G7" s="9">
        <f>April!G7+F7</f>
        <v>156</v>
      </c>
      <c r="H7" s="19"/>
      <c r="I7" s="9">
        <f>April!I7+H7</f>
        <v>0</v>
      </c>
    </row>
    <row r="8" spans="1:9" s="5" customFormat="1" ht="18" customHeight="1">
      <c r="A8" s="9" t="s">
        <v>11</v>
      </c>
      <c r="B8" s="13">
        <f>60+68+86</f>
        <v>214</v>
      </c>
      <c r="C8" s="9">
        <f>April!C8+B8</f>
        <v>3038</v>
      </c>
      <c r="D8" s="15">
        <v>2</v>
      </c>
      <c r="E8" s="9">
        <f>April!E8+D8</f>
        <v>17</v>
      </c>
      <c r="F8" s="17"/>
      <c r="G8" s="9">
        <f>April!G8+F8</f>
        <v>10</v>
      </c>
      <c r="H8" s="19"/>
      <c r="I8" s="9">
        <f>April!I8+H8</f>
        <v>0</v>
      </c>
    </row>
    <row r="9" spans="1:9" s="5" customFormat="1" ht="18" customHeight="1">
      <c r="A9" s="9" t="s">
        <v>12</v>
      </c>
      <c r="B9" s="13"/>
      <c r="C9" s="9">
        <f>April!C9+B9</f>
        <v>0</v>
      </c>
      <c r="D9" s="15"/>
      <c r="E9" s="9">
        <f>April!E9+D9</f>
        <v>2</v>
      </c>
      <c r="F9" s="17">
        <f>15+15+1+1+1+15+11</f>
        <v>59</v>
      </c>
      <c r="G9" s="9">
        <f>April!G9+F9</f>
        <v>294</v>
      </c>
      <c r="H9" s="19">
        <v>144</v>
      </c>
      <c r="I9" s="9">
        <f>April!I9+H9</f>
        <v>144</v>
      </c>
    </row>
    <row r="10" spans="1:9" s="5" customFormat="1" ht="18" customHeight="1">
      <c r="A10" s="9" t="s">
        <v>13</v>
      </c>
      <c r="B10" s="13">
        <v>133</v>
      </c>
      <c r="C10" s="9">
        <f>April!C10+B10</f>
        <v>266</v>
      </c>
      <c r="D10" s="15">
        <f>11+26+33+29</f>
        <v>99</v>
      </c>
      <c r="E10" s="9">
        <f>April!E10+D10</f>
        <v>117</v>
      </c>
      <c r="F10" s="17">
        <v>12</v>
      </c>
      <c r="G10" s="9">
        <f>April!G10+F10</f>
        <v>13</v>
      </c>
      <c r="H10" s="19"/>
      <c r="I10" s="9">
        <f>April!I10+H10</f>
        <v>0</v>
      </c>
    </row>
    <row r="11" spans="1:9" s="5" customFormat="1" ht="18" customHeight="1">
      <c r="A11" s="9" t="s">
        <v>14</v>
      </c>
      <c r="B11" s="13">
        <f>63+94</f>
        <v>157</v>
      </c>
      <c r="C11" s="9">
        <f>April!C11+B11</f>
        <v>1388</v>
      </c>
      <c r="D11" s="15">
        <f>2+1+1+1+1+1+1+1+1</f>
        <v>10</v>
      </c>
      <c r="E11" s="9">
        <f>April!E11+D11</f>
        <v>569</v>
      </c>
      <c r="F11" s="17"/>
      <c r="G11" s="9">
        <f>April!G11+F11</f>
        <v>540</v>
      </c>
      <c r="H11" s="19"/>
      <c r="I11" s="9">
        <f>April!I11+H11</f>
        <v>0</v>
      </c>
    </row>
    <row r="12" spans="1:9" s="5" customFormat="1" ht="18" customHeight="1">
      <c r="A12" s="9" t="s">
        <v>15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</row>
    <row r="13" spans="1:9" s="5" customFormat="1" ht="18" customHeight="1">
      <c r="A13" s="9" t="s">
        <v>16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</row>
    <row r="14" spans="1:9" s="5" customFormat="1" ht="18" customHeight="1">
      <c r="A14" s="9" t="s">
        <v>17</v>
      </c>
      <c r="B14" s="13"/>
      <c r="C14" s="9">
        <f>April!C14+B14</f>
        <v>0</v>
      </c>
      <c r="D14" s="15"/>
      <c r="E14" s="9">
        <f>April!E14+D14</f>
        <v>1</v>
      </c>
      <c r="F14" s="17"/>
      <c r="G14" s="9">
        <f>April!G14+F14</f>
        <v>0</v>
      </c>
      <c r="H14" s="19"/>
      <c r="I14" s="9">
        <f>April!I14+H14</f>
        <v>0</v>
      </c>
    </row>
    <row r="15" spans="1:9" s="5" customFormat="1" ht="18" customHeight="1">
      <c r="A15" s="9" t="s">
        <v>18</v>
      </c>
      <c r="B15" s="13">
        <f>62+83+73+65+258</f>
        <v>541</v>
      </c>
      <c r="C15" s="9">
        <f>April!C15+B15</f>
        <v>1669</v>
      </c>
      <c r="D15" s="15"/>
      <c r="E15" s="9">
        <f>April!E15+D15</f>
        <v>102</v>
      </c>
      <c r="F15" s="17"/>
      <c r="G15" s="9">
        <f>April!G15+F15</f>
        <v>0</v>
      </c>
      <c r="H15" s="19"/>
      <c r="I15" s="9">
        <f>April!I15+H15</f>
        <v>0</v>
      </c>
    </row>
    <row r="16" spans="1:9" s="5" customFormat="1" ht="18" customHeight="1">
      <c r="A16" s="9" t="s">
        <v>19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</row>
    <row r="17" spans="1:9" s="5" customFormat="1" ht="18" customHeight="1">
      <c r="A17" s="9" t="s">
        <v>20</v>
      </c>
      <c r="B17" s="13">
        <f>380+180+65+90+160+380+75+91+84</f>
        <v>1505</v>
      </c>
      <c r="C17" s="9">
        <f>April!C17+B17</f>
        <v>3101</v>
      </c>
      <c r="D17" s="15">
        <f>250+58+350</f>
        <v>658</v>
      </c>
      <c r="E17" s="9">
        <f>April!E17+D17</f>
        <v>763</v>
      </c>
      <c r="F17" s="17">
        <v>3</v>
      </c>
      <c r="G17" s="9">
        <f>April!G17+F17</f>
        <v>3</v>
      </c>
      <c r="H17" s="19"/>
      <c r="I17" s="9">
        <f>April!I17+H17</f>
        <v>0</v>
      </c>
    </row>
    <row r="18" spans="1:9" s="5" customFormat="1" ht="18" customHeight="1">
      <c r="A18" s="9" t="s">
        <v>21</v>
      </c>
      <c r="B18" s="13">
        <f>21+10+6+10+81+65+85+64+2+4+125+1+3+10+16+22</f>
        <v>525</v>
      </c>
      <c r="C18" s="9">
        <f>April!C18+B18</f>
        <v>2650</v>
      </c>
      <c r="D18" s="15">
        <f>34+2+1+1+3+3</f>
        <v>44</v>
      </c>
      <c r="E18" s="9">
        <f>April!E18+D18</f>
        <v>332</v>
      </c>
      <c r="F18" s="17">
        <f>10+10+2+10+3+1+2+3+1</f>
        <v>42</v>
      </c>
      <c r="G18" s="9">
        <f>April!G18+F18</f>
        <v>107</v>
      </c>
      <c r="H18" s="19"/>
      <c r="I18" s="9">
        <f>April!I18+H18</f>
        <v>0</v>
      </c>
    </row>
    <row r="19" spans="1:9" s="5" customFormat="1" ht="18" customHeight="1">
      <c r="A19" s="9" t="s">
        <v>22</v>
      </c>
      <c r="B19" s="13">
        <f>64+80+150+150+150+57+132</f>
        <v>783</v>
      </c>
      <c r="C19" s="9">
        <f>April!C19+B19</f>
        <v>3868</v>
      </c>
      <c r="D19" s="15">
        <f>1+1+1+1+1</f>
        <v>5</v>
      </c>
      <c r="E19" s="9">
        <f>April!E19+D19</f>
        <v>266</v>
      </c>
      <c r="F19" s="17">
        <f>113+78+150+141+77+100+100+1+57</f>
        <v>817</v>
      </c>
      <c r="G19" s="9">
        <f>April!G19+F19</f>
        <v>2636</v>
      </c>
      <c r="H19" s="19"/>
      <c r="I19" s="9">
        <f>April!I19+H19</f>
        <v>0</v>
      </c>
    </row>
    <row r="20" spans="1:9" s="5" customFormat="1" ht="18" customHeight="1">
      <c r="A20" s="9" t="s">
        <v>23</v>
      </c>
      <c r="B20" s="13">
        <f>65+63+63+190+180+190+190+55+54+28+84+70+116+137+1+68+60+63+80+99+66+300+120+190</f>
        <v>2532</v>
      </c>
      <c r="C20" s="9">
        <f>April!C20+B20</f>
        <v>11240</v>
      </c>
      <c r="D20" s="15">
        <f>8+3+6+1+47+4+1+14+10+54+12+40+40+17+133+61+44+2+69+1+6+62+49+135</f>
        <v>819</v>
      </c>
      <c r="E20" s="9">
        <f>April!E20+D20</f>
        <v>1451</v>
      </c>
      <c r="F20" s="17">
        <f>90+90</f>
        <v>180</v>
      </c>
      <c r="G20" s="9">
        <f>April!G20+F20</f>
        <v>654</v>
      </c>
      <c r="H20" s="19"/>
      <c r="I20" s="9">
        <f>April!I20+H20</f>
        <v>0</v>
      </c>
    </row>
    <row r="21" spans="1:9" s="5" customFormat="1" ht="18" customHeight="1">
      <c r="A21" s="9" t="s">
        <v>24</v>
      </c>
      <c r="B21" s="13">
        <f>190+90+113+129+82+77+72+195+61+93+130+130+83+212+152+115+17+79+180+60+70+51+56+154+138+29+79+77+72+121+70+2+22+14+68+54+14+48+111+69+56+58+58+29+70+25+21+16+147+11+6+22+85+112+67+107+76+96+61+86+146+51+4+63+121+39+85+111+58+54+111+79+64+73+62+150+63+68+27+68+64+64+64+32+19+7+61+114+122+41+127+38+61+28+30+27+67+25+36+57+7+33+16+67+5+311+36+124+140+102+60+103+60+85+751+71+86</f>
        <v>9426</v>
      </c>
      <c r="C21" s="9">
        <f>April!C21+B21</f>
        <v>50025</v>
      </c>
      <c r="D21" s="15">
        <f>1+1+1+4</f>
        <v>7</v>
      </c>
      <c r="E21" s="9">
        <f>April!E21+D21</f>
        <v>22</v>
      </c>
      <c r="F21" s="17">
        <f>3</f>
        <v>3</v>
      </c>
      <c r="G21" s="9">
        <f>April!G21+F21</f>
        <v>81</v>
      </c>
      <c r="H21" s="19"/>
      <c r="I21" s="9">
        <f>April!I21+H21</f>
        <v>0</v>
      </c>
    </row>
    <row r="22" spans="1:9" s="5" customFormat="1" ht="18" customHeight="1">
      <c r="A22" s="9" t="s">
        <v>25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</row>
    <row r="23" spans="1:9" s="5" customFormat="1" ht="18" customHeight="1">
      <c r="A23" s="9" t="s">
        <v>26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</row>
    <row r="24" spans="1:9" s="5" customFormat="1" ht="18" customHeight="1">
      <c r="A24" s="9" t="s">
        <v>27</v>
      </c>
      <c r="B24" s="13"/>
      <c r="C24" s="9">
        <f>April!C24+B24</f>
        <v>0</v>
      </c>
      <c r="D24" s="15"/>
      <c r="E24" s="9">
        <f>April!E24+D24</f>
        <v>2</v>
      </c>
      <c r="F24" s="17">
        <f>5</f>
        <v>5</v>
      </c>
      <c r="G24" s="9">
        <f>April!G24+F24</f>
        <v>15</v>
      </c>
      <c r="H24" s="19"/>
      <c r="I24" s="9">
        <f>April!I24+H24</f>
        <v>0</v>
      </c>
    </row>
    <row r="25" spans="1:9" s="5" customFormat="1" ht="18" customHeight="1">
      <c r="A25" s="9" t="s">
        <v>28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</row>
    <row r="26" spans="1:9" s="5" customFormat="1" ht="18" customHeight="1">
      <c r="A26" s="9" t="s">
        <v>29</v>
      </c>
      <c r="B26" s="13">
        <f>8+45+23+425</f>
        <v>501</v>
      </c>
      <c r="C26" s="9">
        <f>April!C26+B26</f>
        <v>681</v>
      </c>
      <c r="D26" s="15"/>
      <c r="E26" s="9">
        <f>April!E26+D26</f>
        <v>2</v>
      </c>
      <c r="F26" s="17">
        <f>7</f>
        <v>7</v>
      </c>
      <c r="G26" s="9">
        <f>April!G26+F26</f>
        <v>7</v>
      </c>
      <c r="H26" s="19"/>
      <c r="I26" s="9">
        <f>April!I26+H26</f>
        <v>0</v>
      </c>
    </row>
    <row r="27" spans="1:9" s="5" customFormat="1" ht="18" customHeight="1">
      <c r="A27" s="9" t="s">
        <v>30</v>
      </c>
      <c r="B27" s="13">
        <f>7+22+59+24+30+26+300+115+10+16+12+14+30+4+3+135+66+69+34+5+2+92+84+69+61+13+11+16+36+4+9+26+17+128+25+64+200+112+63+22+203+81+56+39+261+106+211+83+31+10+29+38+29+24+16+36+12+9+39+16+25+105+1+9+117+16+49+59+78+3+36+9+5+97+19+9+140+45+27+10</f>
        <v>4223</v>
      </c>
      <c r="C27" s="9">
        <f>April!C27+B27</f>
        <v>22549</v>
      </c>
      <c r="D27" s="15">
        <f>4+65+1+10+2+2+9+1+1+1+1+1+1+19+12+1+1+1+12+19+7+4+3+1+6+2</f>
        <v>187</v>
      </c>
      <c r="E27" s="9">
        <f>April!E27+D27</f>
        <v>1255</v>
      </c>
      <c r="F27" s="17">
        <f>31+65+7+1+128+8+15+102+87+9+113+270+1+1+29+6+60+60+95+95+3+1+2+1+4+1+1</f>
        <v>1196</v>
      </c>
      <c r="G27" s="9">
        <f>April!G27+F27</f>
        <v>12860</v>
      </c>
      <c r="H27" s="19"/>
      <c r="I27" s="9">
        <f>April!I27+H27</f>
        <v>0</v>
      </c>
    </row>
    <row r="28" spans="1:9" s="5" customFormat="1" ht="18" customHeight="1">
      <c r="A28" s="9" t="s">
        <v>31</v>
      </c>
      <c r="B28" s="13">
        <v>300</v>
      </c>
      <c r="C28" s="9">
        <f>April!C28+B28</f>
        <v>511</v>
      </c>
      <c r="D28" s="15">
        <f>71+67</f>
        <v>138</v>
      </c>
      <c r="E28" s="9">
        <f>April!E28+D28</f>
        <v>139</v>
      </c>
      <c r="F28" s="17"/>
      <c r="G28" s="9">
        <f>April!G28+F28</f>
        <v>0</v>
      </c>
      <c r="H28" s="19"/>
      <c r="I28" s="9">
        <f>April!I28+H28</f>
        <v>0</v>
      </c>
    </row>
    <row r="29" spans="1:9" s="5" customFormat="1" ht="18" customHeight="1">
      <c r="A29" s="9" t="s">
        <v>32</v>
      </c>
      <c r="B29" s="13">
        <f>100+70+129+70+122+21+55+109+67+66+65+70+63+47+79+14+67+63+31+120+116+120+66+305+130+62+66+72+115+115+115+115+42+33+65+113+128+114+17+356+174+82+107+142+182+35+99+77+60+60+16+52+10+60+60+74+68+180+220+75+148+67+75+281+62+115+38+110+68+80+24+110+78+70+41+85+65+120+71+56+38+63+63+139+65+62+13+57+48+54+31+36+21+46+22+63+40+5+8+14+63+72+7+52+26+35+14+46+22+23+41+106+70+8+28+36+26+124+78+108+44+20+36+29+72+62+73+120+87+80+67+76+60+26+14+16+88+16+57-120+28+23+60+37+81+54</f>
        <v>10369</v>
      </c>
      <c r="C29" s="9">
        <f>April!C29+B29</f>
        <v>66550</v>
      </c>
      <c r="D29" s="15">
        <f>10+1+1+1+11+40+40+40+40+22+67+8+22+22+22+22+22+21+22+2+7+1+1+3+2+3+3+10+1+5+2+2+3+1+2+1+1+5+1+10+12+27+23+1+34+8+28+1+49+4+110+106+12+1+4+2+10+5+47+47+3+331</f>
        <v>1365</v>
      </c>
      <c r="E29" s="9">
        <f>April!E29+D29</f>
        <v>4485</v>
      </c>
      <c r="F29" s="17"/>
      <c r="G29" s="9">
        <f>April!G29+F29</f>
        <v>687</v>
      </c>
      <c r="H29" s="19"/>
      <c r="I29" s="9">
        <f>April!I29+H29</f>
        <v>277</v>
      </c>
    </row>
    <row r="30" spans="1:9" s="5" customFormat="1" ht="18" customHeight="1">
      <c r="A30" s="9" t="s">
        <v>33</v>
      </c>
      <c r="B30" s="13">
        <f>250+10+83+6+1+90+11+9+203+103+65+1+2+250+58+12+150+18+60+19+49+12+302</f>
        <v>1764</v>
      </c>
      <c r="C30" s="9">
        <f>April!C30+B30</f>
        <v>18011</v>
      </c>
      <c r="D30" s="15">
        <f>1+1+103+54+53+145+105+153+106+53+56+53+51+107+1+1+1+2+20+102+34+11+214+156+4+2+1</f>
        <v>1590</v>
      </c>
      <c r="E30" s="9">
        <f>April!E30+D30</f>
        <v>2643</v>
      </c>
      <c r="F30" s="17"/>
      <c r="G30" s="9">
        <f>April!G30+F30</f>
        <v>0</v>
      </c>
      <c r="H30" s="19"/>
      <c r="I30" s="9">
        <f>April!I30+H30</f>
        <v>0</v>
      </c>
    </row>
    <row r="31" spans="1:9" s="5" customFormat="1" ht="18" customHeight="1">
      <c r="A31" s="9" t="s">
        <v>34</v>
      </c>
      <c r="B31" s="13">
        <f>64+163+28+104+49+46+10+65+68+29+40+24+3+95+95+29+7+311+88+95+2+2+62+144+102+71+64+2+87</f>
        <v>1949</v>
      </c>
      <c r="C31" s="9">
        <f>April!C31+B31</f>
        <v>19035</v>
      </c>
      <c r="D31" s="15">
        <f>1+1+2+1+2+1+14+44+80+2+1+54+48+1+1+24+63+1+1+46+11+14+1+5+3+18+4+80+2+1+3+45+45</f>
        <v>620</v>
      </c>
      <c r="E31" s="9">
        <f>April!E31+D31</f>
        <v>3669</v>
      </c>
      <c r="F31" s="17">
        <f>81+79</f>
        <v>160</v>
      </c>
      <c r="G31" s="9">
        <f>April!G31+F31</f>
        <v>1291</v>
      </c>
      <c r="H31" s="19"/>
      <c r="I31" s="9">
        <f>April!I31+H31</f>
        <v>0</v>
      </c>
    </row>
    <row r="32" spans="1:9" s="5" customFormat="1" ht="18" customHeight="1">
      <c r="A32" s="9" t="s">
        <v>35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</row>
    <row r="33" spans="1:9" s="5" customFormat="1" ht="18" customHeight="1">
      <c r="A33" s="9" t="s">
        <v>36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</row>
    <row r="34" spans="1:9" s="5" customFormat="1" ht="18" customHeight="1">
      <c r="A34" s="9" t="s">
        <v>37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</row>
    <row r="35" spans="1:9" s="5" customFormat="1" ht="18" customHeight="1">
      <c r="A35" s="9" t="s">
        <v>38</v>
      </c>
      <c r="B35" s="13"/>
      <c r="C35" s="9">
        <f>April!C35+B35</f>
        <v>237</v>
      </c>
      <c r="D35" s="15"/>
      <c r="E35" s="9">
        <f>April!E35+D35</f>
        <v>0</v>
      </c>
      <c r="F35" s="17"/>
      <c r="G35" s="9">
        <f>April!G35+F35</f>
        <v>146</v>
      </c>
      <c r="H35" s="19"/>
      <c r="I35" s="9">
        <f>April!I35+H35</f>
        <v>0</v>
      </c>
    </row>
    <row r="36" spans="1:9" s="5" customFormat="1" ht="18" customHeight="1">
      <c r="A36" s="9" t="s">
        <v>39</v>
      </c>
      <c r="B36" s="13"/>
      <c r="C36" s="9">
        <f>April!C36+B36</f>
        <v>0</v>
      </c>
      <c r="D36" s="15">
        <v>5</v>
      </c>
      <c r="E36" s="9">
        <f>April!E36+D36</f>
        <v>5</v>
      </c>
      <c r="F36" s="17">
        <f>45+3</f>
        <v>48</v>
      </c>
      <c r="G36" s="9">
        <f>April!G36+F36</f>
        <v>205</v>
      </c>
      <c r="H36" s="19"/>
      <c r="I36" s="9">
        <f>April!I36+H36</f>
        <v>0</v>
      </c>
    </row>
    <row r="37" spans="1:9" s="5" customFormat="1" ht="18" customHeight="1">
      <c r="A37" s="9" t="s">
        <v>40</v>
      </c>
      <c r="B37" s="13">
        <f>125+76</f>
        <v>201</v>
      </c>
      <c r="C37" s="9">
        <f>April!C37+B37</f>
        <v>376</v>
      </c>
      <c r="D37" s="15">
        <f>1+10+4</f>
        <v>15</v>
      </c>
      <c r="E37" s="9">
        <f>April!E37+D37</f>
        <v>16</v>
      </c>
      <c r="F37" s="17">
        <f>3+2+3</f>
        <v>8</v>
      </c>
      <c r="G37" s="9">
        <f>April!G37+F37</f>
        <v>11</v>
      </c>
      <c r="H37" s="19"/>
      <c r="I37" s="9">
        <f>April!I37+H37</f>
        <v>0</v>
      </c>
    </row>
    <row r="38" spans="1:9" s="5" customFormat="1" ht="18" customHeight="1">
      <c r="A38" s="9" t="s">
        <v>41</v>
      </c>
      <c r="B38" s="13">
        <f>85+14+162+64+93+156+72+98+32+74+151+73+13+300+48+97+97+27+64+30+68+94+97+133+66+67+88+180+71+20+125+379</f>
        <v>3138</v>
      </c>
      <c r="C38" s="9">
        <f>April!C38+B38</f>
        <v>30909</v>
      </c>
      <c r="D38" s="15">
        <f>1+1+1+1+1+3+1+1+1+71+3+1+1+1+1+2+7</f>
        <v>98</v>
      </c>
      <c r="E38" s="9">
        <f>April!E38+D38</f>
        <v>655</v>
      </c>
      <c r="F38" s="17"/>
      <c r="G38" s="9">
        <f>April!G38+F38</f>
        <v>120</v>
      </c>
      <c r="H38" s="19"/>
      <c r="I38" s="9">
        <f>April!I38+H38</f>
        <v>0</v>
      </c>
    </row>
    <row r="39" spans="1:9" s="5" customFormat="1" ht="18" customHeight="1">
      <c r="A39" s="9" t="s">
        <v>42</v>
      </c>
      <c r="B39" s="13">
        <f>110+12+11+12+12+12+24+12+36</f>
        <v>241</v>
      </c>
      <c r="C39" s="9">
        <f>April!C39+B39</f>
        <v>1614</v>
      </c>
      <c r="D39" s="15">
        <f>5+4</f>
        <v>9</v>
      </c>
      <c r="E39" s="9">
        <f>April!E39+D39</f>
        <v>36</v>
      </c>
      <c r="F39" s="17">
        <f>267+265+83+86+4</f>
        <v>705</v>
      </c>
      <c r="G39" s="9">
        <f>April!G39+F39</f>
        <v>1659</v>
      </c>
      <c r="H39" s="19"/>
      <c r="I39" s="9">
        <f>April!I39+H39</f>
        <v>0</v>
      </c>
    </row>
    <row r="40" spans="1:9" s="5" customFormat="1" ht="18" customHeight="1">
      <c r="A40" s="9" t="s">
        <v>43</v>
      </c>
      <c r="B40" s="13">
        <f>68+100+95+90+90+59+90+81+72+59+72+59+57+56+90+86+91+90+92+95+100+7+56+59+92+90+90+81+72+59+59+57+100+90+95+86+72+77+73</f>
        <v>3007</v>
      </c>
      <c r="C40" s="9">
        <f>April!C40+B40</f>
        <v>3379</v>
      </c>
      <c r="D40" s="15">
        <f>34+2+1+24+62+27</f>
        <v>150</v>
      </c>
      <c r="E40" s="9">
        <f>April!E40+D40</f>
        <v>192</v>
      </c>
      <c r="F40" s="17">
        <f>1+1+1+1+2+2+1</f>
        <v>9</v>
      </c>
      <c r="G40" s="9">
        <f>April!G40+F40</f>
        <v>9</v>
      </c>
      <c r="H40" s="19"/>
      <c r="I40" s="9">
        <f>April!I40+H40</f>
        <v>0</v>
      </c>
    </row>
    <row r="41" spans="1:9" s="5" customFormat="1" ht="18" customHeight="1">
      <c r="A41" s="9" t="s">
        <v>44</v>
      </c>
      <c r="B41" s="13">
        <f>85+75</f>
        <v>160</v>
      </c>
      <c r="C41" s="9">
        <f>April!C41+B41</f>
        <v>529</v>
      </c>
      <c r="D41" s="15"/>
      <c r="E41" s="9">
        <f>April!E41+D41</f>
        <v>85</v>
      </c>
      <c r="F41" s="17"/>
      <c r="G41" s="9">
        <f>April!G41+F41</f>
        <v>0</v>
      </c>
      <c r="H41" s="19"/>
      <c r="I41" s="9">
        <f>April!I41+H41</f>
        <v>0</v>
      </c>
    </row>
    <row r="42" spans="1:9" s="5" customFormat="1" ht="18" customHeight="1">
      <c r="A42" s="9" t="s">
        <v>45</v>
      </c>
      <c r="B42" s="13"/>
      <c r="C42" s="9">
        <f>April!C42+B42</f>
        <v>567</v>
      </c>
      <c r="D42" s="15">
        <v>9</v>
      </c>
      <c r="E42" s="9">
        <f>April!E42+D42</f>
        <v>242</v>
      </c>
      <c r="F42" s="17">
        <f>1+7+45</f>
        <v>53</v>
      </c>
      <c r="G42" s="9">
        <f>April!G42+F42</f>
        <v>966</v>
      </c>
      <c r="H42" s="19"/>
      <c r="I42" s="9">
        <f>April!I42+H42</f>
        <v>0</v>
      </c>
    </row>
    <row r="43" spans="1:9" s="5" customFormat="1" ht="18" customHeight="1">
      <c r="A43" s="9" t="s">
        <v>46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</row>
    <row r="44" spans="1:9" s="5" customFormat="1" ht="18" customHeight="1">
      <c r="A44" s="9" t="s">
        <v>47</v>
      </c>
      <c r="B44" s="13">
        <f>94+171+104+67+147+82+104+102+87+83+82+96+84</f>
        <v>1303</v>
      </c>
      <c r="C44" s="9">
        <f>April!C44+B44</f>
        <v>3589</v>
      </c>
      <c r="D44" s="15"/>
      <c r="E44" s="9">
        <f>April!E44+D44</f>
        <v>0</v>
      </c>
      <c r="F44" s="17"/>
      <c r="G44" s="9">
        <f>April!G44+F44</f>
        <v>0</v>
      </c>
      <c r="H44" s="19"/>
      <c r="I44" s="9">
        <f>April!I44+H44</f>
        <v>0</v>
      </c>
    </row>
    <row r="45" spans="1:9" s="5" customFormat="1" ht="18" customHeight="1">
      <c r="A45" s="9" t="s">
        <v>48</v>
      </c>
      <c r="B45" s="13">
        <f>152+54+79+48+70+172+123+205+60+78+72+25+75+223+28+77+16+103+161+85+2+46+18+4+47+5+300+11+9+15+81+103+54+53+104+114+215+113+438+78+140+62+45+63+77+9+12+16+9+2+65+195+220+104+275</f>
        <v>5010</v>
      </c>
      <c r="C45" s="9">
        <f>April!C45+B45</f>
        <v>121058</v>
      </c>
      <c r="D45" s="15">
        <f>1+1+2+17+28+1+190+1+15+4+82+2+1</f>
        <v>345</v>
      </c>
      <c r="E45" s="9">
        <f>April!E45+D45</f>
        <v>8695</v>
      </c>
      <c r="F45" s="17"/>
      <c r="G45" s="9">
        <f>April!G45+F45</f>
        <v>131</v>
      </c>
      <c r="H45" s="19"/>
      <c r="I45" s="9">
        <f>April!I45+H45</f>
        <v>0</v>
      </c>
    </row>
    <row r="46" spans="1:9" s="5" customFormat="1" ht="18" customHeight="1">
      <c r="A46" s="9" t="s">
        <v>49</v>
      </c>
      <c r="B46" s="13">
        <f>51+57+61+51+57+30+90+125+39+55+48+33+60+108+68+61+62+85+45+40+123</f>
        <v>1349</v>
      </c>
      <c r="C46" s="9">
        <f>April!C46+B46</f>
        <v>4742</v>
      </c>
      <c r="D46" s="15">
        <f>1+12+2+2</f>
        <v>17</v>
      </c>
      <c r="E46" s="9">
        <f>April!E46+D46</f>
        <v>134</v>
      </c>
      <c r="F46" s="17"/>
      <c r="G46" s="9">
        <f>April!G46+F46</f>
        <v>81</v>
      </c>
      <c r="H46" s="19"/>
      <c r="I46" s="9">
        <f>April!I46+H46</f>
        <v>0</v>
      </c>
    </row>
    <row r="47" spans="1:9" s="5" customFormat="1" ht="18" customHeight="1">
      <c r="A47" s="9" t="s">
        <v>50</v>
      </c>
      <c r="B47" s="13">
        <f>105+103+198+49+50+52+50+51+62+17</f>
        <v>737</v>
      </c>
      <c r="C47" s="9">
        <f>April!C47+B47</f>
        <v>3105</v>
      </c>
      <c r="D47" s="15">
        <f>29+1+1+136+1+1+73+17+7</f>
        <v>266</v>
      </c>
      <c r="E47" s="9">
        <f>April!E47+D47</f>
        <v>324</v>
      </c>
      <c r="F47" s="17"/>
      <c r="G47" s="9">
        <f>April!G47+F47</f>
        <v>64</v>
      </c>
      <c r="H47" s="19"/>
      <c r="I47" s="9">
        <f>April!I47+H47</f>
        <v>0</v>
      </c>
    </row>
    <row r="48" spans="1:9" s="5" customFormat="1" ht="18" customHeight="1">
      <c r="A48" s="9" t="s">
        <v>51</v>
      </c>
      <c r="B48" s="13">
        <v>4</v>
      </c>
      <c r="C48" s="9">
        <f>April!C48+B48</f>
        <v>4</v>
      </c>
      <c r="D48" s="15">
        <f>1+2</f>
        <v>3</v>
      </c>
      <c r="E48" s="9">
        <f>April!E48+D48</f>
        <v>5</v>
      </c>
      <c r="F48" s="17"/>
      <c r="G48" s="9">
        <f>April!G48+F48</f>
        <v>110</v>
      </c>
      <c r="H48" s="19"/>
      <c r="I48" s="9">
        <f>April!I48+H48</f>
        <v>0</v>
      </c>
    </row>
    <row r="49" spans="1:9" s="5" customFormat="1" ht="18" customHeight="1">
      <c r="A49" s="9" t="s">
        <v>52</v>
      </c>
      <c r="B49" s="13"/>
      <c r="C49" s="9">
        <f>April!C49+B49</f>
        <v>0</v>
      </c>
      <c r="D49" s="15"/>
      <c r="E49" s="9">
        <f>April!E49+D49</f>
        <v>0</v>
      </c>
      <c r="F49" s="17">
        <f>83+15+2</f>
        <v>100</v>
      </c>
      <c r="G49" s="9">
        <f>April!G49+F49</f>
        <v>103</v>
      </c>
      <c r="H49" s="19"/>
      <c r="I49" s="9">
        <f>April!I49+H49</f>
        <v>0</v>
      </c>
    </row>
    <row r="50" spans="1:9" s="5" customFormat="1" ht="18" customHeight="1">
      <c r="A50" s="9" t="s">
        <v>53</v>
      </c>
      <c r="B50" s="13">
        <f>58+66+66+63+62+65</f>
        <v>380</v>
      </c>
      <c r="C50" s="9">
        <f>April!C50+B50</f>
        <v>4147</v>
      </c>
      <c r="D50" s="15"/>
      <c r="E50" s="9">
        <f>April!E50+D50</f>
        <v>2</v>
      </c>
      <c r="F50" s="17"/>
      <c r="G50" s="9">
        <f>April!G50+F50</f>
        <v>0</v>
      </c>
      <c r="H50" s="19"/>
      <c r="I50" s="9">
        <f>April!I50+H50</f>
        <v>0</v>
      </c>
    </row>
    <row r="51" spans="1:9" s="5" customFormat="1" ht="18" customHeight="1">
      <c r="A51" s="9" t="s">
        <v>54</v>
      </c>
      <c r="B51" s="13">
        <f>160+160+160</f>
        <v>480</v>
      </c>
      <c r="C51" s="9">
        <f>April!C51+B51</f>
        <v>1608</v>
      </c>
      <c r="D51" s="15">
        <f>1+1</f>
        <v>2</v>
      </c>
      <c r="E51" s="9">
        <f>April!E51+D51</f>
        <v>2</v>
      </c>
      <c r="F51" s="17">
        <f>237+1+45</f>
        <v>283</v>
      </c>
      <c r="G51" s="9">
        <f>April!G51+F51</f>
        <v>286</v>
      </c>
      <c r="H51" s="19"/>
      <c r="I51" s="9">
        <f>April!I51+H51</f>
        <v>0</v>
      </c>
    </row>
    <row r="52" spans="1:9" s="5" customFormat="1" ht="18" customHeight="1">
      <c r="A52" s="9" t="s">
        <v>55</v>
      </c>
      <c r="B52" s="13">
        <f>257+72+73+54</f>
        <v>456</v>
      </c>
      <c r="C52" s="9">
        <f>April!C52+B52</f>
        <v>1379</v>
      </c>
      <c r="D52" s="15">
        <v>61</v>
      </c>
      <c r="E52" s="9">
        <f>April!E52+D52</f>
        <v>63</v>
      </c>
      <c r="F52" s="17"/>
      <c r="G52" s="9">
        <f>April!G52+F52</f>
        <v>0</v>
      </c>
      <c r="H52" s="19"/>
      <c r="I52" s="9">
        <f>April!I52+H52</f>
        <v>0</v>
      </c>
    </row>
    <row r="53" spans="1:9" s="5" customFormat="1" ht="18" customHeight="1">
      <c r="A53" s="9" t="s">
        <v>56</v>
      </c>
      <c r="B53" s="13">
        <f>2+31+3+38+59+36+19+5+32+96+7+34+1+10+13+185+32+48+21+17+3+13+54+1+23+53+9+66+29+18+50+30+160+284+288+120+20+42+9+72+6+360+18+19+8+9+11+38+26+16+13+43+19+76+105+29+15+83+63+65+19+14+125+36+8+50+288+12+424</f>
        <v>4031</v>
      </c>
      <c r="C53" s="9">
        <f>April!C53+B53</f>
        <v>16498</v>
      </c>
      <c r="D53" s="15">
        <f>1+1+1+1+1+8+5+5+2+4+2+12+1+1+25+8+1+4</f>
        <v>83</v>
      </c>
      <c r="E53" s="9">
        <f>April!E53+D53</f>
        <v>1076</v>
      </c>
      <c r="F53" s="17">
        <f>1+7+10+38+1+1+1+2+8+2+2+1+3+2+1+2+18+19+27+4+2+4+1+1+1+1+1+2+13+1+39+9+1+1+1+1+1+10+80+2+42+43+28+4+20+19+2+9+9+9+9+1+2+2+11+4+3+12+31+1+1+1+9+1+5+4+2+1+2+80+1+38+47</f>
        <v>775</v>
      </c>
      <c r="G53" s="9">
        <f>April!G53+F53</f>
        <v>4981</v>
      </c>
      <c r="H53" s="19"/>
      <c r="I53" s="9">
        <f>April!I53+H53</f>
        <v>0</v>
      </c>
    </row>
    <row r="54" spans="1:9" s="5" customFormat="1" ht="18" customHeight="1" thickBot="1">
      <c r="A54" s="10" t="s">
        <v>57</v>
      </c>
      <c r="B54" s="13">
        <f>138+391+172+275+490+78+53+500+142+87</f>
        <v>2326</v>
      </c>
      <c r="C54" s="9">
        <f>April!C54+B54</f>
        <v>5136</v>
      </c>
      <c r="D54" s="16">
        <f>43+68+69+1+50+33+1</f>
        <v>265</v>
      </c>
      <c r="E54" s="9">
        <f>April!E54+D54</f>
        <v>1145</v>
      </c>
      <c r="F54" s="17"/>
      <c r="G54" s="9">
        <f>April!G54+F54</f>
        <v>0</v>
      </c>
      <c r="H54" s="19"/>
      <c r="I54" s="9">
        <f>April!I54+H54</f>
        <v>0</v>
      </c>
    </row>
    <row r="55" spans="1:9" s="5" customFormat="1" ht="18" customHeight="1" thickBot="1" thickTop="1">
      <c r="A55" s="11" t="s">
        <v>58</v>
      </c>
      <c r="B55" s="11">
        <f>SUM(B5:B54)</f>
        <v>58259</v>
      </c>
      <c r="C55" s="11"/>
      <c r="D55" s="11">
        <f>SUM(D5:D54)</f>
        <v>7982</v>
      </c>
      <c r="E55" s="11"/>
      <c r="F55" s="11">
        <f>SUM(F5:F54)</f>
        <v>4465</v>
      </c>
      <c r="G55" s="11"/>
      <c r="H55" s="11">
        <f>SUM(H5:H54)</f>
        <v>144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April!C57+B55</f>
        <v>404171</v>
      </c>
      <c r="D57" s="11"/>
      <c r="E57" s="11">
        <f>April!E57+D55</f>
        <v>29625</v>
      </c>
      <c r="F57" s="11"/>
      <c r="G57" s="11">
        <f>April!G57+F55</f>
        <v>28342</v>
      </c>
      <c r="H57" s="11"/>
      <c r="I57" s="11">
        <f>April!I57+H55</f>
        <v>421</v>
      </c>
    </row>
    <row r="58" s="5" customFormat="1" ht="18" customHeight="1" thickTop="1"/>
    <row r="59" s="5" customFormat="1" ht="18" customHeight="1">
      <c r="A59" s="5" t="s">
        <v>60</v>
      </c>
    </row>
    <row r="60" spans="1:6" s="5" customFormat="1" ht="18" customHeight="1">
      <c r="A60" s="5" t="s">
        <v>13</v>
      </c>
      <c r="D60" s="5">
        <v>59</v>
      </c>
      <c r="F60" s="5">
        <v>10910</v>
      </c>
    </row>
    <row r="61" s="5" customFormat="1" ht="18" customHeight="1"/>
    <row r="62" spans="1:7" s="4" customFormat="1" ht="18" customHeight="1">
      <c r="A62" s="4" t="s">
        <v>61</v>
      </c>
      <c r="E62" s="4">
        <f>April!E62+D60</f>
        <v>2482</v>
      </c>
      <c r="G62" s="4">
        <f>April!G62+F60</f>
        <v>13410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5">
      <selection activeCell="B35" sqref="B3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68</v>
      </c>
      <c r="H1" s="2" t="s">
        <v>75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May!C5+B5</f>
        <v>514</v>
      </c>
      <c r="D5" s="15">
        <f>34+2</f>
        <v>36</v>
      </c>
      <c r="E5" s="9">
        <f>May!E5+D5</f>
        <v>1147</v>
      </c>
      <c r="F5" s="17"/>
      <c r="G5" s="9">
        <f>May!G5+F5</f>
        <v>116</v>
      </c>
      <c r="H5" s="19"/>
      <c r="I5" s="9">
        <f>May!I5+H5</f>
        <v>0</v>
      </c>
    </row>
    <row r="6" spans="1:9" s="5" customFormat="1" ht="18" customHeight="1">
      <c r="A6" s="9" t="s">
        <v>9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</row>
    <row r="7" spans="1:9" s="5" customFormat="1" ht="18" customHeight="1">
      <c r="A7" s="9" t="s">
        <v>10</v>
      </c>
      <c r="B7" s="13"/>
      <c r="C7" s="9">
        <f>May!C7+B7</f>
        <v>198</v>
      </c>
      <c r="D7" s="15"/>
      <c r="E7" s="9">
        <f>May!E7+D7</f>
        <v>0</v>
      </c>
      <c r="F7" s="17"/>
      <c r="G7" s="9">
        <f>May!G7+F7</f>
        <v>156</v>
      </c>
      <c r="H7" s="19"/>
      <c r="I7" s="9">
        <f>May!I7+H7</f>
        <v>0</v>
      </c>
    </row>
    <row r="8" spans="1:9" s="5" customFormat="1" ht="18" customHeight="1">
      <c r="A8" s="9" t="s">
        <v>11</v>
      </c>
      <c r="B8" s="13">
        <f>60+97+360+62+72+61+115+27+10+94+54+37+53</f>
        <v>1102</v>
      </c>
      <c r="C8" s="9">
        <f>May!C8+B8</f>
        <v>4140</v>
      </c>
      <c r="D8" s="15"/>
      <c r="E8" s="9">
        <f>May!E8+D8</f>
        <v>17</v>
      </c>
      <c r="F8" s="17"/>
      <c r="G8" s="9">
        <f>May!G8+F8</f>
        <v>10</v>
      </c>
      <c r="H8" s="19"/>
      <c r="I8" s="9">
        <f>May!I8+H8</f>
        <v>0</v>
      </c>
    </row>
    <row r="9" spans="1:9" s="5" customFormat="1" ht="18" customHeight="1">
      <c r="A9" s="9" t="s">
        <v>12</v>
      </c>
      <c r="B9" s="13">
        <f>17+147+70+33+99+20+39+60+117+15</f>
        <v>617</v>
      </c>
      <c r="C9" s="9">
        <f>May!C9+B9</f>
        <v>617</v>
      </c>
      <c r="D9" s="15"/>
      <c r="E9" s="9">
        <f>May!E9+D9</f>
        <v>2</v>
      </c>
      <c r="F9" s="17">
        <f>4+10+233</f>
        <v>247</v>
      </c>
      <c r="G9" s="9">
        <f>May!G9+F9</f>
        <v>541</v>
      </c>
      <c r="H9" s="19"/>
      <c r="I9" s="9">
        <f>May!I9+H9</f>
        <v>144</v>
      </c>
    </row>
    <row r="10" spans="1:9" s="5" customFormat="1" ht="18" customHeight="1">
      <c r="A10" s="9" t="s">
        <v>13</v>
      </c>
      <c r="B10" s="13">
        <v>119</v>
      </c>
      <c r="C10" s="9">
        <f>May!C10+B10</f>
        <v>385</v>
      </c>
      <c r="D10" s="15">
        <v>4</v>
      </c>
      <c r="E10" s="9">
        <f>May!E10+D10</f>
        <v>121</v>
      </c>
      <c r="F10" s="17">
        <v>6</v>
      </c>
      <c r="G10" s="9">
        <f>May!G10+F10</f>
        <v>19</v>
      </c>
      <c r="H10" s="19"/>
      <c r="I10" s="9">
        <f>May!I10+H10</f>
        <v>0</v>
      </c>
    </row>
    <row r="11" spans="1:9" s="5" customFormat="1" ht="18" customHeight="1">
      <c r="A11" s="9" t="s">
        <v>14</v>
      </c>
      <c r="B11" s="13"/>
      <c r="C11" s="9">
        <f>May!C11+B11</f>
        <v>1388</v>
      </c>
      <c r="D11" s="15"/>
      <c r="E11" s="9">
        <f>May!E11+D11</f>
        <v>569</v>
      </c>
      <c r="F11" s="17"/>
      <c r="G11" s="9">
        <f>May!G11+F11</f>
        <v>540</v>
      </c>
      <c r="H11" s="19"/>
      <c r="I11" s="9">
        <f>May!I11+H11</f>
        <v>0</v>
      </c>
    </row>
    <row r="12" spans="1:9" s="5" customFormat="1" ht="18" customHeight="1">
      <c r="A12" s="9" t="s">
        <v>15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</row>
    <row r="13" spans="1:9" s="5" customFormat="1" ht="18" customHeight="1">
      <c r="A13" s="9" t="s">
        <v>16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</row>
    <row r="14" spans="1:9" s="5" customFormat="1" ht="18" customHeight="1">
      <c r="A14" s="9" t="s">
        <v>17</v>
      </c>
      <c r="B14" s="13">
        <f>33+49</f>
        <v>82</v>
      </c>
      <c r="C14" s="9">
        <f>May!C14+B14</f>
        <v>82</v>
      </c>
      <c r="D14" s="15"/>
      <c r="E14" s="9">
        <f>May!E14+D14</f>
        <v>1</v>
      </c>
      <c r="F14" s="17"/>
      <c r="G14" s="9">
        <f>May!G14+F14</f>
        <v>0</v>
      </c>
      <c r="H14" s="19"/>
      <c r="I14" s="9">
        <f>May!I14+H14</f>
        <v>0</v>
      </c>
    </row>
    <row r="15" spans="1:9" s="5" customFormat="1" ht="18" customHeight="1">
      <c r="A15" s="9" t="s">
        <v>18</v>
      </c>
      <c r="B15" s="13">
        <f>95+88+75</f>
        <v>258</v>
      </c>
      <c r="C15" s="9">
        <f>May!C15+B15</f>
        <v>1927</v>
      </c>
      <c r="D15" s="15">
        <f>26</f>
        <v>26</v>
      </c>
      <c r="E15" s="9">
        <f>May!E15+D15</f>
        <v>128</v>
      </c>
      <c r="F15" s="17"/>
      <c r="G15" s="9">
        <f>May!G15+F15</f>
        <v>0</v>
      </c>
      <c r="H15" s="19"/>
      <c r="I15" s="9">
        <f>May!I15+H15</f>
        <v>0</v>
      </c>
    </row>
    <row r="16" spans="1:9" s="5" customFormat="1" ht="18" customHeight="1">
      <c r="A16" s="9" t="s">
        <v>19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</row>
    <row r="17" spans="1:9" s="5" customFormat="1" ht="18" customHeight="1">
      <c r="A17" s="9" t="s">
        <v>20</v>
      </c>
      <c r="B17" s="13">
        <f>90+180+16+89+160+160+130</f>
        <v>825</v>
      </c>
      <c r="C17" s="9">
        <f>May!C17+B17</f>
        <v>3926</v>
      </c>
      <c r="D17" s="15">
        <f>100</f>
        <v>100</v>
      </c>
      <c r="E17" s="9">
        <f>May!E17+D17</f>
        <v>863</v>
      </c>
      <c r="F17" s="17">
        <f>29</f>
        <v>29</v>
      </c>
      <c r="G17" s="9">
        <f>May!G17+F17</f>
        <v>32</v>
      </c>
      <c r="H17" s="19"/>
      <c r="I17" s="9">
        <f>May!I17+H17</f>
        <v>0</v>
      </c>
    </row>
    <row r="18" spans="1:9" s="5" customFormat="1" ht="18" customHeight="1">
      <c r="A18" s="9" t="s">
        <v>21</v>
      </c>
      <c r="B18" s="13">
        <f>62+59+35+63+85</f>
        <v>304</v>
      </c>
      <c r="C18" s="9">
        <f>May!C18+B18</f>
        <v>2954</v>
      </c>
      <c r="D18" s="15">
        <f>1+2+1+4+2+2+1+2+2+1+6+4</f>
        <v>28</v>
      </c>
      <c r="E18" s="9">
        <f>May!E18+D18</f>
        <v>360</v>
      </c>
      <c r="F18" s="17">
        <f>12+2+1+14+72+25+18</f>
        <v>144</v>
      </c>
      <c r="G18" s="9">
        <f>May!G18+F18</f>
        <v>251</v>
      </c>
      <c r="H18" s="19"/>
      <c r="I18" s="9">
        <f>May!I18+H18</f>
        <v>0</v>
      </c>
    </row>
    <row r="19" spans="1:9" s="5" customFormat="1" ht="18" customHeight="1">
      <c r="A19" s="9" t="s">
        <v>22</v>
      </c>
      <c r="B19" s="13">
        <v>625</v>
      </c>
      <c r="C19" s="9">
        <f>May!C19+B19</f>
        <v>4493</v>
      </c>
      <c r="D19" s="15"/>
      <c r="E19" s="9">
        <f>May!E19+D19</f>
        <v>266</v>
      </c>
      <c r="F19" s="17">
        <f>12</f>
        <v>12</v>
      </c>
      <c r="G19" s="9">
        <f>May!G19+F19</f>
        <v>2648</v>
      </c>
      <c r="H19" s="19"/>
      <c r="I19" s="9">
        <f>May!I19+H19</f>
        <v>0</v>
      </c>
    </row>
    <row r="20" spans="1:9" s="5" customFormat="1" ht="18" customHeight="1">
      <c r="A20" s="9" t="s">
        <v>23</v>
      </c>
      <c r="B20" s="13">
        <f>63+87+180+225+260+118+190+64+64+190</f>
        <v>1441</v>
      </c>
      <c r="C20" s="9">
        <f>May!C20+B20</f>
        <v>12681</v>
      </c>
      <c r="D20" s="15">
        <f>2+50+43+67</f>
        <v>162</v>
      </c>
      <c r="E20" s="9">
        <f>May!E20+D20</f>
        <v>1613</v>
      </c>
      <c r="F20" s="17"/>
      <c r="G20" s="9">
        <f>May!G20+F20</f>
        <v>654</v>
      </c>
      <c r="H20" s="19"/>
      <c r="I20" s="9">
        <f>May!I20+H20</f>
        <v>0</v>
      </c>
    </row>
    <row r="21" spans="1:9" s="5" customFormat="1" ht="18" customHeight="1">
      <c r="A21" s="9" t="s">
        <v>24</v>
      </c>
      <c r="B21" s="13">
        <f>69+62+361+87+313+177+380+75+60+450+124+70+58+130+196+288+57+64+297+72+100+66+96+62+225+60+142+87+115+131+115+78+94+46+36+13+6+55+67+130+130+300+40+33+75+42+45+31+26+70+21+176+34+76+35+38+54+83+57+56+6+58+60+59+28+265+72+625+70+58+150+70+93+60+111+65+188+151+205+253+91+67+101+125+41+84+82+105+78+176+124+63+178+66+70</f>
        <v>10634</v>
      </c>
      <c r="C21" s="9">
        <f>May!C21+B21</f>
        <v>60659</v>
      </c>
      <c r="D21" s="15">
        <f>10+10+10+10+10+2+10</f>
        <v>62</v>
      </c>
      <c r="E21" s="9">
        <f>May!E21+D21</f>
        <v>84</v>
      </c>
      <c r="F21" s="17">
        <f>3+5+5+1+4+4+6+1</f>
        <v>29</v>
      </c>
      <c r="G21" s="9">
        <f>May!G21+F21</f>
        <v>110</v>
      </c>
      <c r="H21" s="19"/>
      <c r="I21" s="9">
        <f>May!I21+H21</f>
        <v>0</v>
      </c>
    </row>
    <row r="22" spans="1:9" s="5" customFormat="1" ht="18" customHeight="1">
      <c r="A22" s="9" t="s">
        <v>25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</row>
    <row r="23" spans="1:9" s="5" customFormat="1" ht="18" customHeight="1">
      <c r="A23" s="9" t="s">
        <v>26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</row>
    <row r="24" spans="1:9" s="5" customFormat="1" ht="18" customHeight="1">
      <c r="A24" s="9" t="s">
        <v>27</v>
      </c>
      <c r="B24" s="13"/>
      <c r="C24" s="9">
        <f>May!C24+B24</f>
        <v>0</v>
      </c>
      <c r="D24" s="15"/>
      <c r="E24" s="9">
        <f>May!E24+D24</f>
        <v>2</v>
      </c>
      <c r="F24" s="17"/>
      <c r="G24" s="9">
        <f>May!G24+F24</f>
        <v>15</v>
      </c>
      <c r="H24" s="19"/>
      <c r="I24" s="9">
        <f>May!I24+H24</f>
        <v>0</v>
      </c>
    </row>
    <row r="25" spans="1:9" s="5" customFormat="1" ht="18" customHeight="1">
      <c r="A25" s="9" t="s">
        <v>28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</row>
    <row r="26" spans="1:9" s="5" customFormat="1" ht="18" customHeight="1">
      <c r="A26" s="9" t="s">
        <v>29</v>
      </c>
      <c r="B26" s="13">
        <f>141+113+65+425+1920</f>
        <v>2664</v>
      </c>
      <c r="C26" s="9">
        <f>May!C26+B26</f>
        <v>3345</v>
      </c>
      <c r="D26" s="15">
        <f>3</f>
        <v>3</v>
      </c>
      <c r="E26" s="9">
        <f>May!E26+D26</f>
        <v>5</v>
      </c>
      <c r="F26" s="17">
        <f>3+10+4+1+10+1</f>
        <v>29</v>
      </c>
      <c r="G26" s="9">
        <f>May!G26+F26</f>
        <v>36</v>
      </c>
      <c r="H26" s="19"/>
      <c r="I26" s="9">
        <f>May!I26+H26</f>
        <v>0</v>
      </c>
    </row>
    <row r="27" spans="1:9" s="5" customFormat="1" ht="18" customHeight="1">
      <c r="A27" s="9" t="s">
        <v>30</v>
      </c>
      <c r="B27" s="13">
        <f>86+49+62+93+72+4+88+34+28+58+42+150+5+5+4+9+18+24+9+60+9+6+78+280+134+65+266+52+66+3+20+18+23+4+9+6+3+13+13+15+4+17+14+37+19+9+2+1+26+22+20+59+21+22+23</f>
        <v>2279</v>
      </c>
      <c r="C27" s="9">
        <f>May!C27+B27</f>
        <v>24828</v>
      </c>
      <c r="D27" s="15">
        <f>1+3+3+1+2+3+3+1+1+2+1+18+1+1+1+4+4+1+31+3+1+4+2+1+1+1</f>
        <v>95</v>
      </c>
      <c r="E27" s="9">
        <f>May!E27+D27</f>
        <v>1350</v>
      </c>
      <c r="F27" s="17">
        <f>2+1+84+84+15+7+1+2+1+1+80+80+80+80+2+1+10+4+3+3+2+15+12+45+12+90+15+15+33+8+135+130+1+8+7+4+16</f>
        <v>1089</v>
      </c>
      <c r="G27" s="9">
        <f>May!G27+F27</f>
        <v>13949</v>
      </c>
      <c r="H27" s="19"/>
      <c r="I27" s="9">
        <f>May!I27+H27</f>
        <v>0</v>
      </c>
    </row>
    <row r="28" spans="1:9" s="5" customFormat="1" ht="18" customHeight="1">
      <c r="A28" s="9" t="s">
        <v>31</v>
      </c>
      <c r="B28" s="13">
        <f>70+69+68+68+93+70+117+100+118+120</f>
        <v>893</v>
      </c>
      <c r="C28" s="9">
        <f>May!C28+B28</f>
        <v>1404</v>
      </c>
      <c r="D28" s="15">
        <f>1</f>
        <v>1</v>
      </c>
      <c r="E28" s="9">
        <f>May!E28+D28</f>
        <v>140</v>
      </c>
      <c r="F28" s="17"/>
      <c r="G28" s="9">
        <f>May!G28+F28</f>
        <v>0</v>
      </c>
      <c r="H28" s="19"/>
      <c r="I28" s="9">
        <f>May!I28+H28</f>
        <v>0</v>
      </c>
    </row>
    <row r="29" spans="1:9" s="5" customFormat="1" ht="18" customHeight="1">
      <c r="A29" s="9" t="s">
        <v>32</v>
      </c>
      <c r="B29" s="13">
        <f>63+130+56+60+60+60+80+81+17+120+116+54+60+38+63+19+52+66+130+68+49+79+94+77+79+5+70+70+44+79+101+93+78+60+60+90+90+122+74+118+124+124+70+57+89+105+84+55+104+273+105+101+93+99+87+98+52+20+60+85+116+28+62+2+4+7+27+56+36+104+47+85+53+24+99+45+56+101+113+118+177+82+82+80+132+200+69+15+76+54+124+58+254+15+58+65+121+75+155+63+32+44+96+35+10+68+23+28+76+80+182+79+58+86+74+5+29+73+104+49+105+64+63+72+280+74+302+124+9+77+48+191+53+23+102+63+16+82+18+63+127+132</f>
        <v>11267</v>
      </c>
      <c r="C29" s="9">
        <f>May!C29+B29</f>
        <v>77817</v>
      </c>
      <c r="D29" s="15">
        <f>1+2+1+1+9+2+13+1+19+2+1+2+1+1+24+1+1+6+22+11+17+1+22+22+10</f>
        <v>193</v>
      </c>
      <c r="E29" s="9">
        <f>May!E29+D29</f>
        <v>4678</v>
      </c>
      <c r="F29" s="17"/>
      <c r="G29" s="9">
        <f>May!G29+F29</f>
        <v>687</v>
      </c>
      <c r="H29" s="19"/>
      <c r="I29" s="9">
        <f>May!I29+H29</f>
        <v>277</v>
      </c>
    </row>
    <row r="30" spans="1:9" s="5" customFormat="1" ht="18" customHeight="1">
      <c r="A30" s="9" t="s">
        <v>33</v>
      </c>
      <c r="B30" s="13">
        <f>2+130+7+40+77+18+18+98+3+34+2</f>
        <v>429</v>
      </c>
      <c r="C30" s="9">
        <f>May!C30+B30</f>
        <v>18440</v>
      </c>
      <c r="D30" s="15">
        <f>2+251+3+1+147+9+129+2+206+95+27+317+23+28+28+28+28+17</f>
        <v>1341</v>
      </c>
      <c r="E30" s="9">
        <f>May!E30+D30</f>
        <v>3984</v>
      </c>
      <c r="F30" s="17"/>
      <c r="G30" s="9">
        <f>May!G30+F30</f>
        <v>0</v>
      </c>
      <c r="H30" s="19"/>
      <c r="I30" s="9">
        <f>May!I30+H30</f>
        <v>0</v>
      </c>
    </row>
    <row r="31" spans="1:9" s="5" customFormat="1" ht="18" customHeight="1">
      <c r="A31" s="9" t="s">
        <v>34</v>
      </c>
      <c r="B31" s="13">
        <f>140+18+25+62+62+162+87+130+210+6+56+47+59+50+215+150+3+175+550+101+385+120+121+179</f>
        <v>3113</v>
      </c>
      <c r="C31" s="9">
        <f>May!C31+B31</f>
        <v>22148</v>
      </c>
      <c r="D31" s="15">
        <f>76+11+1+4+1+70+42+28+280+1+1+1+1+5+54+14+56+30+8+3</f>
        <v>687</v>
      </c>
      <c r="E31" s="9">
        <f>May!E31+D31</f>
        <v>4356</v>
      </c>
      <c r="F31" s="17">
        <f>31+40+40+44+40+4+86</f>
        <v>285</v>
      </c>
      <c r="G31" s="9">
        <f>May!G31+F31</f>
        <v>1576</v>
      </c>
      <c r="H31" s="19"/>
      <c r="I31" s="9">
        <f>May!I31+H31</f>
        <v>0</v>
      </c>
    </row>
    <row r="32" spans="1:9" s="5" customFormat="1" ht="18" customHeight="1">
      <c r="A32" s="9" t="s">
        <v>35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</row>
    <row r="33" spans="1:9" s="5" customFormat="1" ht="18" customHeight="1">
      <c r="A33" s="9" t="s">
        <v>36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</row>
    <row r="34" spans="1:9" s="5" customFormat="1" ht="18" customHeight="1">
      <c r="A34" s="9" t="s">
        <v>37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</row>
    <row r="35" spans="1:9" s="5" customFormat="1" ht="18" customHeight="1">
      <c r="A35" s="9" t="s">
        <v>38</v>
      </c>
      <c r="B35" s="13"/>
      <c r="C35" s="9">
        <f>May!C35+B35</f>
        <v>237</v>
      </c>
      <c r="D35" s="15"/>
      <c r="E35" s="9">
        <f>May!E35+D35</f>
        <v>0</v>
      </c>
      <c r="F35" s="17"/>
      <c r="G35" s="9">
        <f>May!G35+F35</f>
        <v>146</v>
      </c>
      <c r="H35" s="19"/>
      <c r="I35" s="9">
        <f>May!I35+H35</f>
        <v>0</v>
      </c>
    </row>
    <row r="36" spans="1:9" s="5" customFormat="1" ht="18" customHeight="1">
      <c r="A36" s="9" t="s">
        <v>39</v>
      </c>
      <c r="B36" s="13"/>
      <c r="C36" s="9">
        <f>May!C36+B36</f>
        <v>0</v>
      </c>
      <c r="D36" s="15"/>
      <c r="E36" s="9">
        <f>May!E36+D36</f>
        <v>5</v>
      </c>
      <c r="F36" s="17">
        <f>3+10+43+1+4+1</f>
        <v>62</v>
      </c>
      <c r="G36" s="9">
        <f>May!G36+F36</f>
        <v>267</v>
      </c>
      <c r="H36" s="19"/>
      <c r="I36" s="9">
        <f>May!I36+H36</f>
        <v>0</v>
      </c>
    </row>
    <row r="37" spans="1:9" s="5" customFormat="1" ht="18" customHeight="1">
      <c r="A37" s="9" t="s">
        <v>40</v>
      </c>
      <c r="B37" s="13"/>
      <c r="C37" s="9">
        <f>May!C37+B37</f>
        <v>376</v>
      </c>
      <c r="D37" s="15"/>
      <c r="E37" s="9">
        <f>May!E37+D37</f>
        <v>16</v>
      </c>
      <c r="F37" s="17"/>
      <c r="G37" s="9">
        <f>May!G37+F37</f>
        <v>11</v>
      </c>
      <c r="H37" s="19"/>
      <c r="I37" s="9">
        <f>May!I37+H37</f>
        <v>0</v>
      </c>
    </row>
    <row r="38" spans="1:9" s="5" customFormat="1" ht="18" customHeight="1">
      <c r="A38" s="9" t="s">
        <v>41</v>
      </c>
      <c r="B38" s="13">
        <f>82+27+18+427+86+72+85+45+82+86+67+315+32+66+109+158+137+91+8+71+73+2160+57+78+85+74+87</f>
        <v>4678</v>
      </c>
      <c r="C38" s="9">
        <f>May!C38+B38</f>
        <v>35587</v>
      </c>
      <c r="D38" s="15">
        <f>1+2+4+1+2+1</f>
        <v>11</v>
      </c>
      <c r="E38" s="9">
        <f>May!E38+D38</f>
        <v>666</v>
      </c>
      <c r="F38" s="17"/>
      <c r="G38" s="9">
        <f>May!G38+F38</f>
        <v>120</v>
      </c>
      <c r="H38" s="19"/>
      <c r="I38" s="9">
        <f>May!I38+H38</f>
        <v>0</v>
      </c>
    </row>
    <row r="39" spans="1:9" s="5" customFormat="1" ht="18" customHeight="1">
      <c r="A39" s="9" t="s">
        <v>42</v>
      </c>
      <c r="B39" s="13">
        <v>200</v>
      </c>
      <c r="C39" s="9">
        <f>May!C39+B39</f>
        <v>1814</v>
      </c>
      <c r="D39" s="15"/>
      <c r="E39" s="9">
        <f>May!E39+D39</f>
        <v>36</v>
      </c>
      <c r="F39" s="17">
        <f>12+12+12+12+12+12+12+12+2+1+20</f>
        <v>119</v>
      </c>
      <c r="G39" s="9">
        <f>May!G39+F39</f>
        <v>1778</v>
      </c>
      <c r="H39" s="19"/>
      <c r="I39" s="9">
        <f>May!I39+H39</f>
        <v>0</v>
      </c>
    </row>
    <row r="40" spans="1:9" s="5" customFormat="1" ht="18" customHeight="1">
      <c r="A40" s="9" t="s">
        <v>43</v>
      </c>
      <c r="B40" s="13"/>
      <c r="C40" s="9">
        <f>May!C40+B40</f>
        <v>3379</v>
      </c>
      <c r="D40" s="15"/>
      <c r="E40" s="9">
        <f>May!E40+D40</f>
        <v>192</v>
      </c>
      <c r="F40" s="17"/>
      <c r="G40" s="9">
        <f>May!G40+F40</f>
        <v>9</v>
      </c>
      <c r="H40" s="19"/>
      <c r="I40" s="9">
        <f>May!I40+H40</f>
        <v>0</v>
      </c>
    </row>
    <row r="41" spans="1:9" s="5" customFormat="1" ht="18" customHeight="1">
      <c r="A41" s="9" t="s">
        <v>44</v>
      </c>
      <c r="B41" s="13">
        <f>170+39+22</f>
        <v>231</v>
      </c>
      <c r="C41" s="9">
        <f>May!C41+B41</f>
        <v>760</v>
      </c>
      <c r="D41" s="15"/>
      <c r="E41" s="9">
        <f>May!E41+D41</f>
        <v>85</v>
      </c>
      <c r="F41" s="17"/>
      <c r="G41" s="9">
        <f>May!G41+F41</f>
        <v>0</v>
      </c>
      <c r="H41" s="19"/>
      <c r="I41" s="9">
        <f>May!I41+H41</f>
        <v>0</v>
      </c>
    </row>
    <row r="42" spans="1:9" s="5" customFormat="1" ht="18" customHeight="1">
      <c r="A42" s="9" t="s">
        <v>45</v>
      </c>
      <c r="B42" s="13"/>
      <c r="C42" s="9">
        <f>May!C42+B42</f>
        <v>567</v>
      </c>
      <c r="D42" s="15"/>
      <c r="E42" s="9">
        <f>May!E42+D42</f>
        <v>242</v>
      </c>
      <c r="F42" s="17"/>
      <c r="G42" s="9">
        <f>May!G42+F42</f>
        <v>966</v>
      </c>
      <c r="H42" s="19"/>
      <c r="I42" s="9">
        <f>May!I42+H42</f>
        <v>0</v>
      </c>
    </row>
    <row r="43" spans="1:9" s="5" customFormat="1" ht="18" customHeight="1">
      <c r="A43" s="9" t="s">
        <v>46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</row>
    <row r="44" spans="1:9" s="5" customFormat="1" ht="18" customHeight="1">
      <c r="A44" s="9" t="s">
        <v>47</v>
      </c>
      <c r="B44" s="13">
        <f>83+100+88+96+77+80+78+85+83+98+73</f>
        <v>941</v>
      </c>
      <c r="C44" s="9">
        <f>May!C44+B44</f>
        <v>4530</v>
      </c>
      <c r="D44" s="15"/>
      <c r="E44" s="9">
        <f>May!E44+D44</f>
        <v>0</v>
      </c>
      <c r="F44" s="17"/>
      <c r="G44" s="9">
        <f>May!G44+F44</f>
        <v>0</v>
      </c>
      <c r="H44" s="19"/>
      <c r="I44" s="9">
        <f>May!I44+H44</f>
        <v>0</v>
      </c>
    </row>
    <row r="45" spans="1:9" s="5" customFormat="1" ht="18" customHeight="1">
      <c r="A45" s="9" t="s">
        <v>48</v>
      </c>
      <c r="B45" s="13">
        <f>24+25+32+91+3+34+13+56+13+10+4+10+9+16+83+8+75+68+18+4+55+3+10+25+36+322+18+2+19+28+45+148+41+64+64+120+22+65+58+26+11+4+207+63+32+15+78+55+142+94+158+77+76+139+9+93+38+90+62+46+2+18+20+9+12+12+7+35+57+29+42+13+172+5+65+103+82+248+89+24+170+38+29+47+28+75+28+75+141+132+51+47+115+170+25+375+70+39+21+250+225+100+55+311+12+55+19+13+55+24+11+28+28+26+61+82+8+31+32+26+10+32+28+154+55+4+3+4+23+28+1+29+61+68+51+31+74+12+26+11+18+24+15+58+21+19+202+22+101+27+8+123+24+10+2+2+9+15+15+11+21+59+22+5+13+56+273+25+81+249+10+59+45+102+20+32+81+76+75+120+150+6+100+59+30+117+34+5+55+9+14+22+37+19+49+4+19+3+20+40+25+40+2+62+13+11+11+70+195+76+74+61+17+157+140+24+122+121+227+130+135+70+107+19+140+70+83+36+48+89+43+63+5+4+16+21+10+22+57+14+65+3+3+103+82+140+312+160+20+46+46+37+90+198+61+56+36+98+70+79+58+65+87+72+96+101+2+62+262+146+164+97+80+85+50+72+97+15+37+50+38+71+90+76+720+96+88+198+156</f>
        <v>18641</v>
      </c>
      <c r="C45" s="9">
        <f>May!C45+B45</f>
        <v>139699</v>
      </c>
      <c r="D45" s="15">
        <f>50+2+4+1+1+2+1+1+17+16+7+19+1+1+3+27+8+36+53+42+36+42+3+80+2+1+4+1+3+1+2+2+39+75+8+16+8+11+68+40+1+16+1+2+1+2+7+16+2+34+10+48+34+3+3+1+1+1+4+1+2+1</f>
        <v>925</v>
      </c>
      <c r="E45" s="9">
        <f>May!E45+D45</f>
        <v>9620</v>
      </c>
      <c r="F45" s="17">
        <f>7+1+3+15+1</f>
        <v>27</v>
      </c>
      <c r="G45" s="9">
        <f>May!G45+F45</f>
        <v>158</v>
      </c>
      <c r="H45" s="19"/>
      <c r="I45" s="9">
        <f>May!I45+H45</f>
        <v>0</v>
      </c>
    </row>
    <row r="46" spans="1:9" s="5" customFormat="1" ht="18" customHeight="1">
      <c r="A46" s="9" t="s">
        <v>49</v>
      </c>
      <c r="B46" s="13">
        <f>62+74+118+95+51+67+25+45+70+116+84+96+71+70+116+112+70</f>
        <v>1342</v>
      </c>
      <c r="C46" s="9">
        <f>May!C46+B46</f>
        <v>6084</v>
      </c>
      <c r="D46" s="15">
        <f>31+15+2+1+10+71+1+2</f>
        <v>133</v>
      </c>
      <c r="E46" s="9">
        <f>May!E46+D46</f>
        <v>267</v>
      </c>
      <c r="F46" s="17"/>
      <c r="G46" s="9">
        <f>May!G46+F46</f>
        <v>81</v>
      </c>
      <c r="H46" s="19"/>
      <c r="I46" s="9">
        <f>May!I46+H46</f>
        <v>0</v>
      </c>
    </row>
    <row r="47" spans="1:9" s="5" customFormat="1" ht="18" customHeight="1">
      <c r="A47" s="9" t="s">
        <v>50</v>
      </c>
      <c r="B47" s="13">
        <f>60+116+210+62+249+147+134+200+120+41+22+10+18+83+60</f>
        <v>1532</v>
      </c>
      <c r="C47" s="9">
        <f>May!C47+B47</f>
        <v>4637</v>
      </c>
      <c r="D47" s="15"/>
      <c r="E47" s="9">
        <f>May!E47+D47</f>
        <v>324</v>
      </c>
      <c r="F47" s="17">
        <f>188</f>
        <v>188</v>
      </c>
      <c r="G47" s="9">
        <f>May!G47+F47</f>
        <v>252</v>
      </c>
      <c r="H47" s="19"/>
      <c r="I47" s="9">
        <f>May!I47+H47</f>
        <v>0</v>
      </c>
    </row>
    <row r="48" spans="1:9" s="5" customFormat="1" ht="18" customHeight="1">
      <c r="A48" s="9" t="s">
        <v>51</v>
      </c>
      <c r="B48" s="13"/>
      <c r="C48" s="9">
        <f>May!C48+B48</f>
        <v>4</v>
      </c>
      <c r="D48" s="15"/>
      <c r="E48" s="9">
        <f>May!E48+D48</f>
        <v>5</v>
      </c>
      <c r="F48" s="17">
        <f>84</f>
        <v>84</v>
      </c>
      <c r="G48" s="9">
        <f>May!G48+F48</f>
        <v>194</v>
      </c>
      <c r="H48" s="19"/>
      <c r="I48" s="9">
        <f>May!I48+H48</f>
        <v>0</v>
      </c>
    </row>
    <row r="49" spans="1:9" s="5" customFormat="1" ht="18" customHeight="1">
      <c r="A49" s="9" t="s">
        <v>52</v>
      </c>
      <c r="B49" s="13"/>
      <c r="C49" s="9">
        <f>May!C49+B49</f>
        <v>0</v>
      </c>
      <c r="D49" s="15"/>
      <c r="E49" s="9">
        <f>May!E49+D49</f>
        <v>0</v>
      </c>
      <c r="F49" s="17">
        <f>3+15</f>
        <v>18</v>
      </c>
      <c r="G49" s="9">
        <f>May!G49+F49</f>
        <v>121</v>
      </c>
      <c r="H49" s="19"/>
      <c r="I49" s="9">
        <f>May!I49+H49</f>
        <v>0</v>
      </c>
    </row>
    <row r="50" spans="1:9" s="5" customFormat="1" ht="18" customHeight="1">
      <c r="A50" s="9" t="s">
        <v>53</v>
      </c>
      <c r="B50" s="13">
        <f>939+66+56+66+53+54+62+77+132+79+144</f>
        <v>1728</v>
      </c>
      <c r="C50" s="9">
        <f>May!C50+B50</f>
        <v>5875</v>
      </c>
      <c r="D50" s="15">
        <f>60</f>
        <v>60</v>
      </c>
      <c r="E50" s="9">
        <f>May!E50+D50</f>
        <v>62</v>
      </c>
      <c r="F50" s="17"/>
      <c r="G50" s="9">
        <f>May!G50+F50</f>
        <v>0</v>
      </c>
      <c r="H50" s="19"/>
      <c r="I50" s="9">
        <f>May!I50+H50</f>
        <v>0</v>
      </c>
    </row>
    <row r="51" spans="1:9" s="5" customFormat="1" ht="18" customHeight="1">
      <c r="A51" s="9" t="s">
        <v>54</v>
      </c>
      <c r="B51" s="13">
        <f>160</f>
        <v>160</v>
      </c>
      <c r="C51" s="9">
        <f>May!C51+B51</f>
        <v>1768</v>
      </c>
      <c r="D51" s="15">
        <f>5</f>
        <v>5</v>
      </c>
      <c r="E51" s="9">
        <f>May!E51+D51</f>
        <v>7</v>
      </c>
      <c r="F51" s="17"/>
      <c r="G51" s="9">
        <f>May!G51+F51</f>
        <v>286</v>
      </c>
      <c r="H51" s="19"/>
      <c r="I51" s="9">
        <f>May!I51+H51</f>
        <v>0</v>
      </c>
    </row>
    <row r="52" spans="1:9" s="5" customFormat="1" ht="18" customHeight="1">
      <c r="A52" s="9" t="s">
        <v>55</v>
      </c>
      <c r="B52" s="13">
        <f>60+60+95+66+60+52+63+65+62+61</f>
        <v>644</v>
      </c>
      <c r="C52" s="9">
        <f>May!C52+B52</f>
        <v>2023</v>
      </c>
      <c r="D52" s="15"/>
      <c r="E52" s="9">
        <f>May!E52+D52</f>
        <v>63</v>
      </c>
      <c r="F52" s="17"/>
      <c r="G52" s="9">
        <f>May!G52+F52</f>
        <v>0</v>
      </c>
      <c r="H52" s="19"/>
      <c r="I52" s="9">
        <f>May!I52+H52</f>
        <v>0</v>
      </c>
    </row>
    <row r="53" spans="1:9" s="5" customFormat="1" ht="18" customHeight="1">
      <c r="A53" s="9" t="s">
        <v>56</v>
      </c>
      <c r="B53" s="13">
        <f>155+7+32+2+14+36+35+16+11+2+25+58+27+129+3+7+149+22+5+19+20+4+39+16+33+26+4+210+1+40+22+11+24+14+115+22+8+120+50+144+27+8+91+64+12+22+40+6+30+60+5+40+3+19+6+50+87+18+12+17+25+8+4+16+3+1+288+72+30+120+30+72+135</f>
        <v>3098</v>
      </c>
      <c r="C53" s="9">
        <f>May!C53+B53</f>
        <v>19596</v>
      </c>
      <c r="D53" s="15">
        <v>23</v>
      </c>
      <c r="E53" s="9">
        <f>May!E53+D53</f>
        <v>1099</v>
      </c>
      <c r="F53" s="17">
        <f>8+1+1+4+26+1+80+38+22+27+1+1+42+13+1+14+101+14+8+2+10+9+6+23+11+53+2+17+258+20+4+17+32+6+1+2+1+13+1+1+3+17+17+3+48+12+23+36+80+1+1+1+1+22+5+23+80+1</f>
        <v>1266</v>
      </c>
      <c r="G53" s="9">
        <f>May!G53+F53</f>
        <v>6247</v>
      </c>
      <c r="H53" s="19"/>
      <c r="I53" s="9">
        <f>May!I53+H53</f>
        <v>0</v>
      </c>
    </row>
    <row r="54" spans="1:9" s="5" customFormat="1" ht="18" customHeight="1" thickBot="1">
      <c r="A54" s="10" t="s">
        <v>57</v>
      </c>
      <c r="B54" s="13">
        <f>185+60+408+66</f>
        <v>719</v>
      </c>
      <c r="C54" s="9">
        <f>May!C54+B54</f>
        <v>5855</v>
      </c>
      <c r="D54" s="16">
        <f>1+50+50+40+44</f>
        <v>185</v>
      </c>
      <c r="E54" s="9">
        <f>May!E54+D54</f>
        <v>1330</v>
      </c>
      <c r="F54" s="17"/>
      <c r="G54" s="9">
        <f>May!G54+F54</f>
        <v>0</v>
      </c>
      <c r="H54" s="19"/>
      <c r="I54" s="9">
        <f>May!I54+H54</f>
        <v>0</v>
      </c>
    </row>
    <row r="55" spans="1:9" s="5" customFormat="1" ht="18" customHeight="1" thickBot="1" thickTop="1">
      <c r="A55" s="11" t="s">
        <v>58</v>
      </c>
      <c r="B55" s="11">
        <f>SUM(B5:B54)</f>
        <v>70566</v>
      </c>
      <c r="C55" s="11"/>
      <c r="D55" s="11">
        <f>SUM(D5:D54)</f>
        <v>4080</v>
      </c>
      <c r="E55" s="11"/>
      <c r="F55" s="11">
        <f>SUM(F5:F54)</f>
        <v>3634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May!C57+B55</f>
        <v>474737</v>
      </c>
      <c r="D57" s="11"/>
      <c r="E57" s="11">
        <f>May!E57+D55</f>
        <v>33705</v>
      </c>
      <c r="F57" s="11"/>
      <c r="G57" s="11">
        <f>May!G57+F55</f>
        <v>31976</v>
      </c>
      <c r="H57" s="11"/>
      <c r="I57" s="11">
        <f>May!I57+H55</f>
        <v>421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May!E62+D60</f>
        <v>2482</v>
      </c>
      <c r="G62" s="4">
        <f>May!G62+F60</f>
        <v>13410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B41" sqref="B4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69</v>
      </c>
      <c r="H1" s="2" t="s">
        <v>75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>
        <f>73+85+70+90+77+78+68+74+74-461</f>
        <v>228</v>
      </c>
      <c r="C5" s="9">
        <f>June!C5+B5</f>
        <v>742</v>
      </c>
      <c r="D5" s="15"/>
      <c r="E5" s="9">
        <f>June!E5+D5</f>
        <v>1147</v>
      </c>
      <c r="F5" s="17"/>
      <c r="G5" s="9">
        <f>June!G5+F5</f>
        <v>116</v>
      </c>
      <c r="H5" s="19"/>
      <c r="I5" s="9">
        <f>June!I5+H5</f>
        <v>0</v>
      </c>
    </row>
    <row r="6" spans="1:9" s="5" customFormat="1" ht="18" customHeight="1">
      <c r="A6" s="9" t="s">
        <v>9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</row>
    <row r="7" spans="1:9" s="5" customFormat="1" ht="18" customHeight="1">
      <c r="A7" s="9" t="s">
        <v>10</v>
      </c>
      <c r="B7" s="13"/>
      <c r="C7" s="9">
        <f>June!C7+B7</f>
        <v>198</v>
      </c>
      <c r="D7" s="15"/>
      <c r="E7" s="9">
        <f>June!E7+D7</f>
        <v>0</v>
      </c>
      <c r="F7" s="17"/>
      <c r="G7" s="9">
        <f>June!G7+F7</f>
        <v>156</v>
      </c>
      <c r="H7" s="19"/>
      <c r="I7" s="9">
        <f>June!I7+H7</f>
        <v>0</v>
      </c>
    </row>
    <row r="8" spans="1:9" s="5" customFormat="1" ht="18" customHeight="1">
      <c r="A8" s="9" t="s">
        <v>11</v>
      </c>
      <c r="B8" s="13">
        <f>28+9+23+9+7+8+116+191+57+43+58+26+5+48+64+60+98+39+71+64+98+64+85+48+12+43+40+79+25+6+36+1+53+70+115+70+100+94+19+57+85+20+35+40+46+59+74+43+11+23+60+75+29+36+89+69+26+18+39-1217</f>
        <v>1799</v>
      </c>
      <c r="C8" s="9">
        <f>June!C8+B8</f>
        <v>5939</v>
      </c>
      <c r="D8" s="15"/>
      <c r="E8" s="9">
        <f>June!E8+D8</f>
        <v>17</v>
      </c>
      <c r="F8" s="17">
        <v>0</v>
      </c>
      <c r="G8" s="9">
        <f>June!G8+F8</f>
        <v>10</v>
      </c>
      <c r="H8" s="19"/>
      <c r="I8" s="9">
        <f>June!I8+H8</f>
        <v>0</v>
      </c>
    </row>
    <row r="9" spans="1:9" s="5" customFormat="1" ht="18" customHeight="1">
      <c r="A9" s="9" t="s">
        <v>12</v>
      </c>
      <c r="B9" s="13">
        <f>15+15+15+15+11-71</f>
        <v>0</v>
      </c>
      <c r="C9" s="9">
        <f>June!C9+B9</f>
        <v>617</v>
      </c>
      <c r="D9" s="15">
        <f>115+153</f>
        <v>268</v>
      </c>
      <c r="E9" s="9">
        <f>June!E9+D9</f>
        <v>270</v>
      </c>
      <c r="F9" s="17">
        <f>155+138+273+1+4+1+1+1+1+1-9</f>
        <v>567</v>
      </c>
      <c r="G9" s="9">
        <f>June!G9+F9</f>
        <v>1108</v>
      </c>
      <c r="H9" s="19"/>
      <c r="I9" s="9">
        <f>June!I9+H9</f>
        <v>144</v>
      </c>
    </row>
    <row r="10" spans="1:9" s="5" customFormat="1" ht="18" customHeight="1">
      <c r="A10" s="9" t="s">
        <v>13</v>
      </c>
      <c r="B10" s="13"/>
      <c r="C10" s="9">
        <f>June!C10+B10</f>
        <v>385</v>
      </c>
      <c r="D10" s="15">
        <f>5+14+6+3</f>
        <v>28</v>
      </c>
      <c r="E10" s="9">
        <f>June!E10+D10</f>
        <v>149</v>
      </c>
      <c r="F10" s="17">
        <v>581</v>
      </c>
      <c r="G10" s="9">
        <f>June!G10+F10</f>
        <v>600</v>
      </c>
      <c r="H10" s="19"/>
      <c r="I10" s="9">
        <f>June!I10+H10</f>
        <v>0</v>
      </c>
    </row>
    <row r="11" spans="1:9" s="5" customFormat="1" ht="18" customHeight="1">
      <c r="A11" s="9" t="s">
        <v>14</v>
      </c>
      <c r="B11" s="13">
        <f>80+6+80</f>
        <v>166</v>
      </c>
      <c r="C11" s="9">
        <f>June!C11+B11</f>
        <v>1554</v>
      </c>
      <c r="D11" s="15">
        <f>2+2</f>
        <v>4</v>
      </c>
      <c r="E11" s="9">
        <f>June!E11+D11</f>
        <v>573</v>
      </c>
      <c r="F11" s="17">
        <f>74+71+68+26+2+2</f>
        <v>243</v>
      </c>
      <c r="G11" s="9">
        <f>June!G11+F11</f>
        <v>783</v>
      </c>
      <c r="H11" s="19"/>
      <c r="I11" s="9">
        <f>June!I11+H11</f>
        <v>0</v>
      </c>
    </row>
    <row r="12" spans="1:9" s="5" customFormat="1" ht="18" customHeight="1">
      <c r="A12" s="9" t="s">
        <v>15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</row>
    <row r="13" spans="1:9" s="5" customFormat="1" ht="18" customHeight="1">
      <c r="A13" s="9" t="s">
        <v>16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</row>
    <row r="14" spans="1:9" s="5" customFormat="1" ht="18" customHeight="1">
      <c r="A14" s="9" t="s">
        <v>17</v>
      </c>
      <c r="B14" s="13">
        <v>690</v>
      </c>
      <c r="C14" s="9">
        <f>June!C14+B14</f>
        <v>772</v>
      </c>
      <c r="D14" s="15">
        <f>2</f>
        <v>2</v>
      </c>
      <c r="E14" s="9">
        <f>June!E14+D14</f>
        <v>3</v>
      </c>
      <c r="F14" s="17"/>
      <c r="G14" s="9">
        <f>June!G14+F14</f>
        <v>0</v>
      </c>
      <c r="H14" s="19"/>
      <c r="I14" s="9">
        <f>June!I14+H14</f>
        <v>0</v>
      </c>
    </row>
    <row r="15" spans="1:9" s="5" customFormat="1" ht="18" customHeight="1">
      <c r="A15" s="9" t="s">
        <v>18</v>
      </c>
      <c r="B15" s="13">
        <f>78+89+93+3+35+10+29+48+38+60+26-246</f>
        <v>263</v>
      </c>
      <c r="C15" s="9">
        <f>June!C15+B15</f>
        <v>2190</v>
      </c>
      <c r="D15" s="15"/>
      <c r="E15" s="9">
        <f>June!E15+D15</f>
        <v>128</v>
      </c>
      <c r="F15" s="17"/>
      <c r="G15" s="9">
        <f>June!G15+F15</f>
        <v>0</v>
      </c>
      <c r="H15" s="19"/>
      <c r="I15" s="9">
        <f>June!I15+H15</f>
        <v>0</v>
      </c>
    </row>
    <row r="16" spans="1:9" s="5" customFormat="1" ht="18" customHeight="1">
      <c r="A16" s="9" t="s">
        <v>19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</row>
    <row r="17" spans="1:9" s="5" customFormat="1" ht="18" customHeight="1">
      <c r="A17" s="9" t="s">
        <v>20</v>
      </c>
      <c r="B17" s="13">
        <f>115+300+115+88+90+130-832</f>
        <v>6</v>
      </c>
      <c r="C17" s="9">
        <f>June!C17+B17</f>
        <v>3932</v>
      </c>
      <c r="D17" s="15"/>
      <c r="E17" s="9">
        <f>June!E17+D17</f>
        <v>863</v>
      </c>
      <c r="F17" s="17">
        <v>32</v>
      </c>
      <c r="G17" s="9">
        <f>June!G17+F17</f>
        <v>64</v>
      </c>
      <c r="H17" s="19"/>
      <c r="I17" s="9">
        <f>June!I17+H17</f>
        <v>0</v>
      </c>
    </row>
    <row r="18" spans="1:9" s="5" customFormat="1" ht="18" customHeight="1">
      <c r="A18" s="9" t="s">
        <v>21</v>
      </c>
      <c r="B18" s="13">
        <f>77+3+70+75+1+2+10+3+6+7+10+1+8+3+1+8+4+6+10+4+1+33-266</f>
        <v>77</v>
      </c>
      <c r="C18" s="9">
        <f>June!C18+B18</f>
        <v>3031</v>
      </c>
      <c r="D18" s="15">
        <f>2+1+1+2+1+1+1</f>
        <v>9</v>
      </c>
      <c r="E18" s="9">
        <f>June!E18+D18</f>
        <v>369</v>
      </c>
      <c r="F18" s="17">
        <f>1+1+25+1+2+14+38+1+1+2+38+38+38+38+38+2+38+38+38+38+4+38+5+29+1+1+7+6+6+1+1-21</f>
        <v>508</v>
      </c>
      <c r="G18" s="9">
        <f>June!G18+F18</f>
        <v>759</v>
      </c>
      <c r="H18" s="19"/>
      <c r="I18" s="9">
        <f>June!I18+H18</f>
        <v>0</v>
      </c>
    </row>
    <row r="19" spans="1:9" s="5" customFormat="1" ht="18" customHeight="1">
      <c r="A19" s="9" t="s">
        <v>22</v>
      </c>
      <c r="B19" s="13">
        <f>66+120+383+35+150+150+132+1+66+120+67-987</f>
        <v>303</v>
      </c>
      <c r="C19" s="9">
        <f>June!C19+B19</f>
        <v>4796</v>
      </c>
      <c r="D19" s="15">
        <v>88</v>
      </c>
      <c r="E19" s="9">
        <f>June!E19+D19</f>
        <v>354</v>
      </c>
      <c r="F19" s="17">
        <f>18+66+99+24+145+140+83+137</f>
        <v>712</v>
      </c>
      <c r="G19" s="9">
        <f>June!G19+F19</f>
        <v>3360</v>
      </c>
      <c r="H19" s="19"/>
      <c r="I19" s="9">
        <f>June!I19+H19</f>
        <v>0</v>
      </c>
    </row>
    <row r="20" spans="1:9" s="5" customFormat="1" ht="18" customHeight="1">
      <c r="A20" s="9" t="s">
        <v>23</v>
      </c>
      <c r="B20" s="13">
        <f>9+73+55+240+70+160+180+45+62+61+60+121+33+65+54+184+32+23+24+111+182+198+66+82+80+165+190+120+300+600+238+77+56+45+67+83+34+57+24+65+5+66+77+75+32+59+58+300+81+114+70+97+55+390+52+64+300+123+62+130+68+90+85+72+70+174+114+70+65+79+215+52+65+70+61+180+64+75+79+56+25+68+67+280+233+52+80+71+54+32+13+2+1+140+109+47+74+160+40+75+65+64+195+119+61-8262</f>
        <v>2270</v>
      </c>
      <c r="C20" s="9">
        <f>June!C20+B20</f>
        <v>14951</v>
      </c>
      <c r="D20" s="15">
        <f>14+2+2+26+4+36+2+4+11+49+1+1-136</f>
        <v>16</v>
      </c>
      <c r="E20" s="9">
        <f>June!E20+D20</f>
        <v>1629</v>
      </c>
      <c r="F20" s="17">
        <f>84</f>
        <v>84</v>
      </c>
      <c r="G20" s="9">
        <f>June!G20+F20</f>
        <v>738</v>
      </c>
      <c r="H20" s="19"/>
      <c r="I20" s="9">
        <f>June!I20+H20</f>
        <v>0</v>
      </c>
    </row>
    <row r="21" spans="1:9" s="5" customFormat="1" ht="18" customHeight="1">
      <c r="A21" s="9" t="s">
        <v>24</v>
      </c>
      <c r="B21" s="13">
        <f>59+100+193+66+86+85+75+65+136+20+22+15+7+247+130+76+105+77+150+76+61+54+750+39+67+63+66+75+68+67+300+192+125+75+225+54+112+71+74+67+59+64+67+76+80+60+154+130+479+288+175+196+58+184+166+129+67+75+69+109+82+135+56+86+70+78+34+56+129+136+15+16+25+61+125+59+52+99+70+118+234+87+136+77+10+31+17+68+116+71+7+56+12+59+7+5+61+25+17+20+111+120+140+160+72+180+90+88+70+106+62+77+236+68+59+119+95+72+75+75+37+71+305+190+150+68+74+61+62+178+219+75+80+123+108+118+67+121+210+81+140+100+68+90+128+64+170+4+36+22+148+72+62+115+110+113+280+175+15+152+80+124+67+72+48+100+24+33+67+48+39+62+76+57+13+184+59+78+33+28+12+4+17+15+64+173+63+66+122+125+232+65+74+64+111+66+58+325+118+123+63+75+63+60+240+68+70+114+62+76+87+89+185+240+90+47+26+350+45+82+61+84+75+93+47+84+105+34+23+68+148+13+91+67+7+81+60+62+60+44+16+65+73+41+27+19+83+29+51+62+151+92+59+55+57+13+49+25+63+64+23+47+107+72+58+47+94+97+80+150+60+17+37+54+337+74+68+167-1320</f>
        <v>24226</v>
      </c>
      <c r="C21" s="9">
        <f>June!C21+B21</f>
        <v>84885</v>
      </c>
      <c r="D21" s="15">
        <f>1+1</f>
        <v>2</v>
      </c>
      <c r="E21" s="9">
        <f>June!E21+D21</f>
        <v>86</v>
      </c>
      <c r="F21" s="17"/>
      <c r="G21" s="9">
        <f>June!G21+F21</f>
        <v>110</v>
      </c>
      <c r="H21" s="19"/>
      <c r="I21" s="9">
        <f>June!I21+H21</f>
        <v>0</v>
      </c>
    </row>
    <row r="22" spans="1:9" s="5" customFormat="1" ht="18" customHeight="1">
      <c r="A22" s="9" t="s">
        <v>25</v>
      </c>
      <c r="B22" s="13"/>
      <c r="C22" s="9">
        <f>June!C22+B22</f>
        <v>0</v>
      </c>
      <c r="D22" s="15"/>
      <c r="E22" s="9">
        <f>June!E22+D22</f>
        <v>0</v>
      </c>
      <c r="F22" s="17"/>
      <c r="G22" s="9">
        <f>June!G22+F22</f>
        <v>0</v>
      </c>
      <c r="H22" s="19"/>
      <c r="I22" s="9">
        <f>June!I22+H22</f>
        <v>0</v>
      </c>
    </row>
    <row r="23" spans="1:9" s="5" customFormat="1" ht="18" customHeight="1">
      <c r="A23" s="9" t="s">
        <v>26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0</v>
      </c>
      <c r="H23" s="19"/>
      <c r="I23" s="9">
        <f>June!I23+H23</f>
        <v>0</v>
      </c>
    </row>
    <row r="24" spans="1:9" s="5" customFormat="1" ht="18" customHeight="1">
      <c r="A24" s="9" t="s">
        <v>27</v>
      </c>
      <c r="B24" s="13"/>
      <c r="C24" s="9">
        <f>June!C24+B24</f>
        <v>0</v>
      </c>
      <c r="D24" s="15"/>
      <c r="E24" s="9">
        <f>June!E24+D24</f>
        <v>2</v>
      </c>
      <c r="F24" s="17">
        <f>2+1+1+1+1+1-5</f>
        <v>2</v>
      </c>
      <c r="G24" s="9">
        <f>June!G24+F24</f>
        <v>17</v>
      </c>
      <c r="H24" s="19"/>
      <c r="I24" s="9">
        <f>June!I24+H24</f>
        <v>0</v>
      </c>
    </row>
    <row r="25" spans="1:9" s="5" customFormat="1" ht="18" customHeight="1">
      <c r="A25" s="9" t="s">
        <v>28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0</v>
      </c>
      <c r="H25" s="19"/>
      <c r="I25" s="9">
        <f>June!I25+H25</f>
        <v>0</v>
      </c>
    </row>
    <row r="26" spans="1:9" s="5" customFormat="1" ht="18" customHeight="1">
      <c r="A26" s="9" t="s">
        <v>29</v>
      </c>
      <c r="B26" s="13">
        <v>998</v>
      </c>
      <c r="C26" s="9">
        <f>June!C26+B26</f>
        <v>4343</v>
      </c>
      <c r="D26" s="15"/>
      <c r="E26" s="9">
        <f>June!E26+D26</f>
        <v>5</v>
      </c>
      <c r="F26" s="17">
        <f>1+2-3</f>
        <v>0</v>
      </c>
      <c r="G26" s="9">
        <f>June!G26+F26</f>
        <v>36</v>
      </c>
      <c r="H26" s="19"/>
      <c r="I26" s="9">
        <f>June!I26+H26</f>
        <v>0</v>
      </c>
    </row>
    <row r="27" spans="1:9" s="5" customFormat="1" ht="18" customHeight="1">
      <c r="A27" s="9" t="s">
        <v>30</v>
      </c>
      <c r="B27" s="13">
        <f>7+9+12+29+3+11+15+58+39+40+69+6+30+9+22+55+43+106+50+174+22+7+140+132+202+90+58+2+65+66+18+24+32+145+11+2+18+1+10+18+45+1+10+48+3+1+4+49+11+14+6+100+29+30+63+39+69+39+51+41+57+35+18+44+9+4+2+16+6+12+17+17+5+4+16+300+74+27+40+9+1+5+6+16+16+18+15+91+72+118+117+63+33+41+29+2+41+4+10+1+14+11+4-1532</f>
        <v>2411</v>
      </c>
      <c r="C27" s="9">
        <f>June!C27+B27</f>
        <v>27239</v>
      </c>
      <c r="D27" s="15">
        <f>2+3+7+7+1+7+7+7+7+1+1+1+4+1+1+3+1+3+2+3+1+2+1+4+16+3+1</f>
        <v>97</v>
      </c>
      <c r="E27" s="9">
        <f>June!E27+D27</f>
        <v>1447</v>
      </c>
      <c r="F27" s="17">
        <f>66+3+7+28+6+52+11+2+132+121+57+30+60+12+16+1+13+10+5+12+12+12+31+8+13+5+3+134+78+38+106+94+150+148+10+13+14+7+94+994+94+68+40+42+121+4+1+99+25+51-2069</f>
        <v>1084</v>
      </c>
      <c r="G27" s="9">
        <f>June!G27+F27</f>
        <v>15033</v>
      </c>
      <c r="H27" s="19"/>
      <c r="I27" s="9">
        <f>June!I27+H27</f>
        <v>0</v>
      </c>
    </row>
    <row r="28" spans="1:9" s="5" customFormat="1" ht="18" customHeight="1">
      <c r="A28" s="9" t="s">
        <v>31</v>
      </c>
      <c r="B28" s="13">
        <f>115+96+67+1258+110+97+21+72+42+31+44+66+118+79+38+37+75+110+114+70+73+118+73-1088</f>
        <v>1836</v>
      </c>
      <c r="C28" s="9">
        <f>June!C28+B28</f>
        <v>3240</v>
      </c>
      <c r="D28" s="15">
        <v>2</v>
      </c>
      <c r="E28" s="9">
        <f>June!E28+D28</f>
        <v>142</v>
      </c>
      <c r="F28" s="17"/>
      <c r="G28" s="9">
        <f>June!G28+F28</f>
        <v>0</v>
      </c>
      <c r="H28" s="19"/>
      <c r="I28" s="9">
        <f>June!I28+H28</f>
        <v>0</v>
      </c>
    </row>
    <row r="29" spans="1:9" s="5" customFormat="1" ht="18" customHeight="1">
      <c r="A29" s="9" t="s">
        <v>32</v>
      </c>
      <c r="B29" s="13">
        <f>85+392+65+60+80+160+192+240+136+153+77+51+156+36+75+66+206+60+112+60+73+84+55+60+51+46+63+37+66+104+78+124+66+70+70+126+146+41+117+53+60+60+62+154+81+103+148+151+48+91+42+49+92+386+81+82+94+120+368+62+105+72+122+143+82+119+89+108+72+64+4+61+65+104+62+75+9+130+120+55+40+39+72+86+80+23+28+30+25+5+56+33+48+132+81+74+124+65+60+106+12+84+21+100+25+93+5+60+27+61+61+112+89+217+75+7+76+117+121+261+32+244+118+497+97+81+50+106+241+210+85+31+68+41+141+108+65+33+100+87+78+95+68+60+68+25+10+252+145+65+64+64+64+60+61+235+57+187+63+66+26+85+68+80+22+145+65+50+14+24+60+60+60+80+65+64+69+116+75+64+60+33+40+69+57+74+83+64+73+70+85+60+72+18+18+5+65+1+4+6+22+6+186+211+219+79+259+58+64+71+261+193+93+16+80+94+103+69+71+130+180+5+119+245+50+120+70+79+72+66+168+80+241+1+78+87+92+109+130+74+69+102+98+72+92+81+52+70+70+74+64+98+124+68+32+65+60+60+78+87+66+76+92+53+70+87+72+93+59+21+33+69+69+30+14+151+63+78+94+257+51+91+73+58+65+65-9575</f>
        <v>15531</v>
      </c>
      <c r="C29" s="9">
        <f>June!C29+B29</f>
        <v>93348</v>
      </c>
      <c r="D29" s="15">
        <f>1+2+3+40+1+1+13+4+1+1+5+4+1+43+40+5+1+33+5+12+1+2+5+1+6+1-67</f>
        <v>165</v>
      </c>
      <c r="E29" s="9">
        <f>June!E29+D29</f>
        <v>4843</v>
      </c>
      <c r="F29" s="17">
        <f>15+22+13+22+36+14+36-108</f>
        <v>50</v>
      </c>
      <c r="G29" s="9">
        <f>June!G29+F29</f>
        <v>737</v>
      </c>
      <c r="H29" s="19"/>
      <c r="I29" s="9">
        <f>June!I29+H29</f>
        <v>277</v>
      </c>
    </row>
    <row r="30" spans="1:9" s="5" customFormat="1" ht="18" customHeight="1">
      <c r="A30" s="9" t="s">
        <v>33</v>
      </c>
      <c r="B30" s="13">
        <f>123+59+130+135+60+64+220+75+400+73+450+55+200+274+194+72+300+200+84+69+118+227+525+300+610+610+61+57+50+135+2+12+3+300+250+360+130+70+280+11+37+150+221+234+113+350+510+140+160+1+350+56+9+108-9475</f>
        <v>312</v>
      </c>
      <c r="C30" s="9">
        <f>June!C30+B30</f>
        <v>18752</v>
      </c>
      <c r="D30" s="15"/>
      <c r="E30" s="9">
        <f>June!E30+D30</f>
        <v>3984</v>
      </c>
      <c r="F30" s="17"/>
      <c r="G30" s="9">
        <f>June!G30+F30</f>
        <v>0</v>
      </c>
      <c r="H30" s="19"/>
      <c r="I30" s="9">
        <f>June!I30+H30</f>
        <v>0</v>
      </c>
    </row>
    <row r="31" spans="1:9" s="5" customFormat="1" ht="18" customHeight="1">
      <c r="A31" s="9" t="s">
        <v>34</v>
      </c>
      <c r="B31" s="13">
        <f>96+16+64+62+33+173+145+80+199+111+40+133+249+58+64+86+188+62+126+68+229+16+47+249+120+59+63+13+131+72+44+36+40+44+15+171+195+131+88+175+135+130+65+206+127+149+128+153+75+84+93+306+158+249+5+66+9+11+75+78+42+49+49+200+3+192+259+158+125+213+20+140+104+113+62-5677</f>
        <v>2345</v>
      </c>
      <c r="C31" s="9">
        <f>June!C31+B31</f>
        <v>24493</v>
      </c>
      <c r="D31" s="15">
        <f>35+35+34+41+24+1+74+138+40+50+3+9+1+95+96+29+51+102+30+94+25+39+10+52+2+1+1+1+1+13+42+1+4+5+6+4+30+12+8+33+16-176</f>
        <v>1112</v>
      </c>
      <c r="E31" s="9">
        <f>June!E31+D31</f>
        <v>5468</v>
      </c>
      <c r="F31" s="17">
        <f>1+40+12+40+40+91+9+40+40+42+40+40+40+40+40+6-337</f>
        <v>224</v>
      </c>
      <c r="G31" s="9">
        <f>June!G31+F31</f>
        <v>1800</v>
      </c>
      <c r="H31" s="19">
        <f>30</f>
        <v>30</v>
      </c>
      <c r="I31" s="9">
        <f>June!I31+H31</f>
        <v>30</v>
      </c>
    </row>
    <row r="32" spans="1:9" s="5" customFormat="1" ht="18" customHeight="1">
      <c r="A32" s="9" t="s">
        <v>35</v>
      </c>
      <c r="B32" s="13"/>
      <c r="C32" s="9">
        <f>June!C32+B32</f>
        <v>0</v>
      </c>
      <c r="D32" s="15"/>
      <c r="E32" s="9">
        <f>June!E32+D32</f>
        <v>0</v>
      </c>
      <c r="F32" s="17"/>
      <c r="G32" s="9">
        <f>June!G32+F32</f>
        <v>0</v>
      </c>
      <c r="H32" s="19"/>
      <c r="I32" s="9">
        <f>June!I32+H32</f>
        <v>0</v>
      </c>
    </row>
    <row r="33" spans="1:9" s="5" customFormat="1" ht="18" customHeight="1">
      <c r="A33" s="9" t="s">
        <v>36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</row>
    <row r="34" spans="1:9" s="5" customFormat="1" ht="18" customHeight="1">
      <c r="A34" s="9" t="s">
        <v>37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</row>
    <row r="35" spans="1:9" s="5" customFormat="1" ht="18" customHeight="1">
      <c r="A35" s="9" t="s">
        <v>38</v>
      </c>
      <c r="B35" s="13">
        <f>89</f>
        <v>89</v>
      </c>
      <c r="C35" s="9">
        <f>June!C35+B35</f>
        <v>326</v>
      </c>
      <c r="D35" s="15"/>
      <c r="E35" s="9">
        <f>June!E35+D35</f>
        <v>0</v>
      </c>
      <c r="F35" s="17">
        <f>269</f>
        <v>269</v>
      </c>
      <c r="G35" s="9">
        <f>June!G35+F35</f>
        <v>415</v>
      </c>
      <c r="H35" s="19"/>
      <c r="I35" s="9">
        <f>June!I35+H35</f>
        <v>0</v>
      </c>
    </row>
    <row r="36" spans="1:9" s="5" customFormat="1" ht="18" customHeight="1">
      <c r="A36" s="9" t="s">
        <v>39</v>
      </c>
      <c r="B36" s="13"/>
      <c r="C36" s="9">
        <f>June!C36+B36</f>
        <v>0</v>
      </c>
      <c r="D36" s="15"/>
      <c r="E36" s="9">
        <f>June!E36+D36</f>
        <v>5</v>
      </c>
      <c r="F36" s="17"/>
      <c r="G36" s="9">
        <f>June!G36+F36</f>
        <v>267</v>
      </c>
      <c r="H36" s="19"/>
      <c r="I36" s="9">
        <f>June!I36+H36</f>
        <v>0</v>
      </c>
    </row>
    <row r="37" spans="1:9" s="5" customFormat="1" ht="18" customHeight="1">
      <c r="A37" s="9" t="s">
        <v>40</v>
      </c>
      <c r="B37" s="13"/>
      <c r="C37" s="9">
        <f>June!C37+B37</f>
        <v>376</v>
      </c>
      <c r="D37" s="15"/>
      <c r="E37" s="9">
        <f>June!E37+D37</f>
        <v>16</v>
      </c>
      <c r="F37" s="17"/>
      <c r="G37" s="9">
        <f>June!G37+F37</f>
        <v>11</v>
      </c>
      <c r="H37" s="19"/>
      <c r="I37" s="9">
        <f>June!I37+H37</f>
        <v>0</v>
      </c>
    </row>
    <row r="38" spans="1:9" s="5" customFormat="1" ht="18" customHeight="1">
      <c r="A38" s="9" t="s">
        <v>41</v>
      </c>
      <c r="B38" s="13">
        <f>180+170+245+142+44+26+70+390+93+29-582</f>
        <v>807</v>
      </c>
      <c r="C38" s="9">
        <f>June!C38+B38</f>
        <v>36394</v>
      </c>
      <c r="D38" s="15">
        <f>1+60+4</f>
        <v>65</v>
      </c>
      <c r="E38" s="9">
        <f>June!E38+D38</f>
        <v>731</v>
      </c>
      <c r="F38" s="17">
        <f>1+1</f>
        <v>2</v>
      </c>
      <c r="G38" s="9">
        <f>June!G38+F38</f>
        <v>122</v>
      </c>
      <c r="H38" s="19"/>
      <c r="I38" s="9">
        <f>June!I38+H38</f>
        <v>0</v>
      </c>
    </row>
    <row r="39" spans="1:9" s="5" customFormat="1" ht="18" customHeight="1">
      <c r="A39" s="9" t="s">
        <v>42</v>
      </c>
      <c r="B39" s="13">
        <f>12+12+12+12+12+12+12+12+12+12+12+12+6+12+95+95+266+273+242+141+257+6+11-930</f>
        <v>618</v>
      </c>
      <c r="C39" s="9">
        <f>June!C39+B39</f>
        <v>2432</v>
      </c>
      <c r="D39" s="15">
        <f>1+1</f>
        <v>2</v>
      </c>
      <c r="E39" s="9">
        <f>June!E39+D39</f>
        <v>38</v>
      </c>
      <c r="F39" s="17">
        <f>84+1+2+1+14+12+12+48+12+48+5+22</f>
        <v>261</v>
      </c>
      <c r="G39" s="9">
        <f>June!G39+F39</f>
        <v>2039</v>
      </c>
      <c r="H39" s="19"/>
      <c r="I39" s="9">
        <f>June!I39+H39</f>
        <v>0</v>
      </c>
    </row>
    <row r="40" spans="1:9" s="5" customFormat="1" ht="18" customHeight="1">
      <c r="A40" s="9" t="s">
        <v>43</v>
      </c>
      <c r="B40" s="13">
        <f>62+165+112+91+78+94+131+123+102+85+52+114+59+85+65+90+100+100+65+67+67+93+107+141+96+117+30+85+99+60+22+46+110+36+93+100+100+100+76+104+177+85+89+100+72+70+199+47+70+95+87+84+22+95+82+110+80+38+80+95+90+90+80+80+85+90+80+91+88+74+150</f>
        <v>6297</v>
      </c>
      <c r="C40" s="9">
        <f>June!C40+B40</f>
        <v>9676</v>
      </c>
      <c r="D40" s="15">
        <f>73+73+20+35+8+35+35+35+23+23+23+40+40+40+40+45+37+48+10+30+43+40+38+48+22+13+13+27+24+10+10+10+47+10+26+25+4+3+80</f>
        <v>1206</v>
      </c>
      <c r="E40" s="9">
        <f>June!E40+D40</f>
        <v>1398</v>
      </c>
      <c r="F40" s="17"/>
      <c r="G40" s="9">
        <f>June!G40+F40</f>
        <v>9</v>
      </c>
      <c r="H40" s="19"/>
      <c r="I40" s="9">
        <f>June!I40+H40</f>
        <v>0</v>
      </c>
    </row>
    <row r="41" spans="1:9" s="5" customFormat="1" ht="18" customHeight="1">
      <c r="A41" s="9" t="s">
        <v>44</v>
      </c>
      <c r="B41" s="13">
        <f>3</f>
        <v>3</v>
      </c>
      <c r="C41" s="9">
        <f>June!C41+B41</f>
        <v>763</v>
      </c>
      <c r="D41" s="15"/>
      <c r="E41" s="9">
        <f>June!E41+D41</f>
        <v>85</v>
      </c>
      <c r="F41" s="17">
        <f>68</f>
        <v>68</v>
      </c>
      <c r="G41" s="9">
        <f>June!G41+F41</f>
        <v>68</v>
      </c>
      <c r="H41" s="19"/>
      <c r="I41" s="9">
        <f>June!I41+H41</f>
        <v>0</v>
      </c>
    </row>
    <row r="42" spans="1:9" s="5" customFormat="1" ht="18" customHeight="1">
      <c r="A42" s="9" t="s">
        <v>45</v>
      </c>
      <c r="B42" s="13">
        <f>60+60+60+60</f>
        <v>240</v>
      </c>
      <c r="C42" s="9">
        <f>June!C42+B42</f>
        <v>807</v>
      </c>
      <c r="D42" s="15"/>
      <c r="E42" s="9">
        <f>June!E42+D42</f>
        <v>242</v>
      </c>
      <c r="F42" s="17">
        <f>25+15+9+3+12+15+15+1</f>
        <v>95</v>
      </c>
      <c r="G42" s="9">
        <f>June!G42+F42</f>
        <v>1061</v>
      </c>
      <c r="H42" s="19"/>
      <c r="I42" s="9">
        <f>June!I42+H42</f>
        <v>0</v>
      </c>
    </row>
    <row r="43" spans="1:9" s="5" customFormat="1" ht="18" customHeight="1">
      <c r="A43" s="9" t="s">
        <v>46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</row>
    <row r="44" spans="1:9" s="5" customFormat="1" ht="18" customHeight="1">
      <c r="A44" s="9" t="s">
        <v>47</v>
      </c>
      <c r="B44" s="13">
        <f>91+75+88+95+98+79+90+79+123+90+121+123+98+73+114+77+21+37+108+122+86+104+78+108+102+122+117+48-1872</f>
        <v>695</v>
      </c>
      <c r="C44" s="9">
        <f>June!C44+B44</f>
        <v>5225</v>
      </c>
      <c r="D44" s="15"/>
      <c r="E44" s="9">
        <f>June!E44+D44</f>
        <v>0</v>
      </c>
      <c r="F44" s="17"/>
      <c r="G44" s="9">
        <f>June!G44+F44</f>
        <v>0</v>
      </c>
      <c r="H44" s="19"/>
      <c r="I44" s="9">
        <f>June!I44+H44</f>
        <v>0</v>
      </c>
    </row>
    <row r="45" spans="1:9" s="5" customFormat="1" ht="18" customHeight="1">
      <c r="A45" s="9" t="s">
        <v>48</v>
      </c>
      <c r="B45" s="13">
        <f>274+59+135+170+44+50+300+552+1+1+12+32+86+3+92+35+1+18+4+273+39+13+19+1+119+55+11+17+29+9+6+5+12+9+4+9+87+18+3+5+14+16+18+33+11+17+31+52+17+5+2+54+60+49+33+29+42+26+200+56+46+6+15+24+43+16+5+72+64+61+63+321+37+157+46+128+51+67+34+38+55+17+241+84+4+22+13+4+12+26+13+37+265+7+2+6+16+1+20+69+198+240+150+55+63+30+189+120+48+20+120+240+124+248+75+74+50+76+92+68+95+67+70+41+14+67+7+117+27+46+4+140+178+13+9+13+15+6+86+13+51+21+61+131+166+42+300+233+79+63+116+152+148+70+70+85+51+18+77+65+20+22+7+8+1+12+13+11+64+31+21+16+5+6+18+36+52+3+50+87+7+42+33+21+23+166+91+24+42+58+70+29+9+88+89+19+9+23+11+9+11+280+361+205+237+12+1+144+22+17+108+26+9+8+23+1+198+231+131+57+4+70+56+128+63+85+208+63+99+208+97+111+104+123+110+182+201+280+157+53+145+105+93+101+130+71+21+140+9+8+48+64+4+238+125+12+18+240-11616</f>
        <v>6678</v>
      </c>
      <c r="C45" s="9">
        <f>June!C45+B45</f>
        <v>146377</v>
      </c>
      <c r="D45" s="15">
        <f>2+1+1+1+1+6+2+4+4+13+18+6+4+2+2+2+10+6+2+11+27+12+4+2+43+1+1+7+4+1+10+4+14+12+10+2-66</f>
        <v>186</v>
      </c>
      <c r="E45" s="9">
        <f>June!E45+D45</f>
        <v>9806</v>
      </c>
      <c r="F45" s="17">
        <f>63+60+1+3</f>
        <v>127</v>
      </c>
      <c r="G45" s="9">
        <f>June!G45+F45</f>
        <v>285</v>
      </c>
      <c r="H45" s="19"/>
      <c r="I45" s="9">
        <f>June!I45+H45</f>
        <v>0</v>
      </c>
    </row>
    <row r="46" spans="1:9" s="5" customFormat="1" ht="18" customHeight="1">
      <c r="A46" s="9" t="s">
        <v>49</v>
      </c>
      <c r="B46" s="13">
        <f>30+1+90+91+62+54+73+17</f>
        <v>418</v>
      </c>
      <c r="C46" s="9">
        <f>June!C46+B46</f>
        <v>6502</v>
      </c>
      <c r="D46" s="15"/>
      <c r="E46" s="9">
        <f>June!E46+D46</f>
        <v>267</v>
      </c>
      <c r="F46" s="17"/>
      <c r="G46" s="9">
        <f>June!G46+F46</f>
        <v>81</v>
      </c>
      <c r="H46" s="19"/>
      <c r="I46" s="9">
        <f>June!I46+H46</f>
        <v>0</v>
      </c>
    </row>
    <row r="47" spans="1:9" s="5" customFormat="1" ht="18" customHeight="1">
      <c r="A47" s="9" t="s">
        <v>50</v>
      </c>
      <c r="B47" s="13">
        <f>48+75+80+68+49+47+49+48+66+116+268+120+39+65+14+3+49+98+12+44+242+102+221+210+95+212+122+193+174+154+105+200+65+126+128+89+93+130+120+89+56+89+89+217+45+24+45+55+163+205+116+61+110+86+4+12+36+92+265+34+2+2+7+40+42+43+219-3304</f>
        <v>3083</v>
      </c>
      <c r="C47" s="9">
        <f>June!C47+B47</f>
        <v>7720</v>
      </c>
      <c r="D47" s="15">
        <f>49+1+1+2+60+14+14+30+30+30+17+1+150+127+63+166+28+40+17+14+10+38+104+29+15+56+56+65+58+2+118+40+79+101+54+100+21+27+36+6+172+17+51+35+42-1660</f>
        <v>526</v>
      </c>
      <c r="E47" s="9">
        <f>June!E47+D47</f>
        <v>850</v>
      </c>
      <c r="F47" s="17">
        <v>300</v>
      </c>
      <c r="G47" s="9">
        <f>June!G47+F47</f>
        <v>552</v>
      </c>
      <c r="H47" s="19"/>
      <c r="I47" s="9">
        <f>June!I47+H47</f>
        <v>0</v>
      </c>
    </row>
    <row r="48" spans="1:9" s="5" customFormat="1" ht="18" customHeight="1">
      <c r="A48" s="9" t="s">
        <v>51</v>
      </c>
      <c r="B48" s="13"/>
      <c r="C48" s="9">
        <f>June!C48+B48</f>
        <v>4</v>
      </c>
      <c r="D48" s="15">
        <f>1</f>
        <v>1</v>
      </c>
      <c r="E48" s="9">
        <f>June!E48+D48</f>
        <v>6</v>
      </c>
      <c r="F48" s="17">
        <f>44+43</f>
        <v>87</v>
      </c>
      <c r="G48" s="9">
        <f>June!G48+F48</f>
        <v>281</v>
      </c>
      <c r="H48" s="19"/>
      <c r="I48" s="9">
        <f>June!I48+H48</f>
        <v>0</v>
      </c>
    </row>
    <row r="49" spans="1:9" s="5" customFormat="1" ht="18" customHeight="1">
      <c r="A49" s="9" t="s">
        <v>52</v>
      </c>
      <c r="B49" s="13"/>
      <c r="C49" s="9">
        <f>June!C49+B49</f>
        <v>0</v>
      </c>
      <c r="D49" s="15"/>
      <c r="E49" s="9">
        <f>June!E49+D49</f>
        <v>0</v>
      </c>
      <c r="F49" s="17">
        <f>1+1</f>
        <v>2</v>
      </c>
      <c r="G49" s="9">
        <f>June!G49+F49</f>
        <v>123</v>
      </c>
      <c r="H49" s="19"/>
      <c r="I49" s="9">
        <f>June!I49+H49</f>
        <v>0</v>
      </c>
    </row>
    <row r="50" spans="1:9" s="5" customFormat="1" ht="18" customHeight="1">
      <c r="A50" s="9" t="s">
        <v>53</v>
      </c>
      <c r="B50" s="13">
        <f>75+56+61+240+116+55+53+63+65+58+81+116+67+108+83+89+291+179+120+62+60+124+124+77+54+67+61+130+156+74+62+128+68+69+52+53-2474</f>
        <v>923</v>
      </c>
      <c r="C50" s="9">
        <f>June!C50+B50</f>
        <v>6798</v>
      </c>
      <c r="D50" s="15"/>
      <c r="E50" s="9">
        <f>June!E50+D50</f>
        <v>62</v>
      </c>
      <c r="F50" s="17"/>
      <c r="G50" s="9">
        <f>June!G50+F50</f>
        <v>0</v>
      </c>
      <c r="H50" s="19"/>
      <c r="I50" s="9">
        <f>June!I50+H50</f>
        <v>0</v>
      </c>
    </row>
    <row r="51" spans="1:9" s="5" customFormat="1" ht="18" customHeight="1">
      <c r="A51" s="9" t="s">
        <v>54</v>
      </c>
      <c r="B51" s="13">
        <v>160</v>
      </c>
      <c r="C51" s="9">
        <f>June!C51+B51</f>
        <v>1928</v>
      </c>
      <c r="D51" s="15">
        <f>10</f>
        <v>10</v>
      </c>
      <c r="E51" s="9">
        <f>June!E51+D51</f>
        <v>17</v>
      </c>
      <c r="F51" s="17">
        <f>52+64</f>
        <v>116</v>
      </c>
      <c r="G51" s="9">
        <f>June!G51+F51</f>
        <v>402</v>
      </c>
      <c r="H51" s="19"/>
      <c r="I51" s="9">
        <f>June!I51+H51</f>
        <v>0</v>
      </c>
    </row>
    <row r="52" spans="1:9" s="5" customFormat="1" ht="18" customHeight="1">
      <c r="A52" s="9" t="s">
        <v>55</v>
      </c>
      <c r="B52" s="13">
        <f>52+57+57+61+52+52+57+65+65+64+69+175+50+65+50+90+150+51+60+65+53+53+92+61+55+81+16+21+6+65+65+54+54+54+54+63+54+75+55+55+55+53+34+26+29+62+38+21-966</f>
        <v>1845</v>
      </c>
      <c r="C52" s="9">
        <f>June!C52+B52</f>
        <v>3868</v>
      </c>
      <c r="D52" s="15"/>
      <c r="E52" s="9">
        <f>June!E52+D52</f>
        <v>63</v>
      </c>
      <c r="F52" s="17"/>
      <c r="G52" s="9">
        <f>June!G52+F52</f>
        <v>0</v>
      </c>
      <c r="H52" s="19"/>
      <c r="I52" s="9">
        <f>June!I52+H52</f>
        <v>0</v>
      </c>
    </row>
    <row r="53" spans="1:9" s="5" customFormat="1" ht="18" customHeight="1">
      <c r="A53" s="9" t="s">
        <v>56</v>
      </c>
      <c r="B53" s="13">
        <f>72+50+160+23+26+12+38+2+1+92+8+7+61+16+4+1+3+2+30+83+47+72+300+220+31+22+23+33+66+50+3+16+10+11+150+20+38+124+288+10+116+25+6+4+34+1+5+40+2+19+1+262+15+72+2+51+25+79+13+20+25+7+61+23+11+14+75+95+13+12+7+64+48+148+17+61+64+21+100+360+60+26+72+144+260+165+68+288+25+22+14+45+9-2701</f>
        <v>2740</v>
      </c>
      <c r="C53" s="9">
        <f>June!C53+B53</f>
        <v>22336</v>
      </c>
      <c r="D53" s="15">
        <f>1+2+12+12+3+1+1+1+1+1+34+3+3+4+5+2+3+2+2+7+2+6</f>
        <v>108</v>
      </c>
      <c r="E53" s="9">
        <f>June!E53+D53</f>
        <v>1207</v>
      </c>
      <c r="F53" s="17">
        <f>80+4+30+15+3+19+12+39+7+6+21+6+6+53+35+43+12+18+18+14+1+38+2+2+30+80+11+25+2+25+38+13+1+7+1+1+6+80+1+8+1+1+1+1+1+1+2+1+12+1+17+1+42+1+1+1+1+1+1+1+1+3+38+18+40+4+1+1+12+37+23+11+18+8+30+124+1+1+1+30</f>
        <v>1304</v>
      </c>
      <c r="G53" s="9">
        <f>June!G53+F53</f>
        <v>7551</v>
      </c>
      <c r="H53" s="19"/>
      <c r="I53" s="9">
        <f>June!I53+H53</f>
        <v>0</v>
      </c>
    </row>
    <row r="54" spans="1:9" s="5" customFormat="1" ht="18" customHeight="1" thickBot="1">
      <c r="A54" s="10" t="s">
        <v>57</v>
      </c>
      <c r="B54" s="13">
        <f>103+64+414+8+62+60+112+1</f>
        <v>824</v>
      </c>
      <c r="C54" s="9">
        <f>June!C54+B54</f>
        <v>6679</v>
      </c>
      <c r="D54" s="16">
        <f>46+68+31+8+4-12</f>
        <v>145</v>
      </c>
      <c r="E54" s="9">
        <f>June!E54+D54</f>
        <v>1475</v>
      </c>
      <c r="F54" s="17"/>
      <c r="G54" s="9">
        <f>June!G54+F54</f>
        <v>0</v>
      </c>
      <c r="H54" s="19"/>
      <c r="I54" s="9">
        <f>June!I54+H54</f>
        <v>0</v>
      </c>
    </row>
    <row r="55" spans="1:9" s="5" customFormat="1" ht="18" customHeight="1" thickBot="1" thickTop="1">
      <c r="A55" s="11" t="s">
        <v>58</v>
      </c>
      <c r="B55" s="11">
        <f>SUM(B5:B54)</f>
        <v>78881</v>
      </c>
      <c r="C55" s="11"/>
      <c r="D55" s="11">
        <f>SUM(D5:D54)</f>
        <v>4042</v>
      </c>
      <c r="E55" s="11"/>
      <c r="F55" s="11">
        <f>SUM(F5:F54)</f>
        <v>6718</v>
      </c>
      <c r="G55" s="11"/>
      <c r="H55" s="11">
        <f>SUM(H5:H54)</f>
        <v>30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June!C57+B55</f>
        <v>553618</v>
      </c>
      <c r="D57" s="11"/>
      <c r="E57" s="11">
        <f>June!E57+D55</f>
        <v>37747</v>
      </c>
      <c r="F57" s="11"/>
      <c r="G57" s="11">
        <f>June!G57+F55</f>
        <v>38694</v>
      </c>
      <c r="H57" s="11"/>
      <c r="I57" s="11">
        <f>June!I57+H55</f>
        <v>451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June!E62+D60</f>
        <v>2482</v>
      </c>
      <c r="G62" s="4">
        <f>June!G62+F60</f>
        <v>13410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D41" sqref="D4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70</v>
      </c>
      <c r="H1" s="2" t="s">
        <v>75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>
        <f>461+222</f>
        <v>683</v>
      </c>
      <c r="C5" s="9">
        <f>July!C5+B5</f>
        <v>1425</v>
      </c>
      <c r="D5" s="15">
        <v>15</v>
      </c>
      <c r="E5" s="9">
        <f>July!E5+D5</f>
        <v>1162</v>
      </c>
      <c r="F5" s="17"/>
      <c r="G5" s="9">
        <f>July!G5+F5</f>
        <v>116</v>
      </c>
      <c r="H5" s="19"/>
      <c r="I5" s="9">
        <f>July!I5+H5</f>
        <v>0</v>
      </c>
    </row>
    <row r="6" spans="1:9" s="5" customFormat="1" ht="18" customHeight="1">
      <c r="A6" s="9" t="s">
        <v>9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</row>
    <row r="7" spans="1:9" s="5" customFormat="1" ht="18" customHeight="1">
      <c r="A7" s="9" t="s">
        <v>10</v>
      </c>
      <c r="B7" s="13"/>
      <c r="C7" s="9">
        <f>July!C7+B7</f>
        <v>198</v>
      </c>
      <c r="D7" s="15">
        <v>5</v>
      </c>
      <c r="E7" s="9">
        <f>July!E7+D7</f>
        <v>5</v>
      </c>
      <c r="F7" s="17"/>
      <c r="G7" s="9">
        <f>July!G7+F7</f>
        <v>156</v>
      </c>
      <c r="H7" s="19"/>
      <c r="I7" s="9">
        <f>July!I7+H7</f>
        <v>0</v>
      </c>
    </row>
    <row r="8" spans="1:9" s="5" customFormat="1" ht="18" customHeight="1">
      <c r="A8" s="9" t="s">
        <v>11</v>
      </c>
      <c r="B8" s="13">
        <v>1217</v>
      </c>
      <c r="C8" s="9">
        <f>July!C8+B8</f>
        <v>7156</v>
      </c>
      <c r="D8" s="15"/>
      <c r="E8" s="9">
        <f>July!E8+D8</f>
        <v>17</v>
      </c>
      <c r="F8" s="17">
        <v>8</v>
      </c>
      <c r="G8" s="9">
        <f>July!G8+F8</f>
        <v>18</v>
      </c>
      <c r="H8" s="19"/>
      <c r="I8" s="9">
        <f>July!I8+H8</f>
        <v>0</v>
      </c>
    </row>
    <row r="9" spans="1:9" s="5" customFormat="1" ht="18" customHeight="1">
      <c r="A9" s="9" t="s">
        <v>12</v>
      </c>
      <c r="B9" s="13">
        <v>71</v>
      </c>
      <c r="C9" s="9">
        <f>July!C9+B9</f>
        <v>688</v>
      </c>
      <c r="D9" s="15"/>
      <c r="E9" s="9">
        <f>July!E9+D9</f>
        <v>270</v>
      </c>
      <c r="F9" s="17">
        <v>437</v>
      </c>
      <c r="G9" s="9">
        <f>July!G9+F9</f>
        <v>1545</v>
      </c>
      <c r="H9" s="19"/>
      <c r="I9" s="9">
        <f>July!I9+H9</f>
        <v>144</v>
      </c>
    </row>
    <row r="10" spans="1:9" s="5" customFormat="1" ht="18" customHeight="1">
      <c r="A10" s="9" t="s">
        <v>13</v>
      </c>
      <c r="B10" s="13">
        <v>53</v>
      </c>
      <c r="C10" s="9">
        <f>July!C10+B10</f>
        <v>438</v>
      </c>
      <c r="D10" s="15"/>
      <c r="E10" s="9">
        <f>July!E10+D10</f>
        <v>149</v>
      </c>
      <c r="F10" s="17"/>
      <c r="G10" s="9">
        <f>July!G10+F10</f>
        <v>600</v>
      </c>
      <c r="H10" s="19"/>
      <c r="I10" s="9">
        <f>July!I10+H10</f>
        <v>0</v>
      </c>
    </row>
    <row r="11" spans="1:9" s="5" customFormat="1" ht="18" customHeight="1">
      <c r="A11" s="9" t="s">
        <v>14</v>
      </c>
      <c r="B11" s="13"/>
      <c r="C11" s="9">
        <f>July!C11+B11</f>
        <v>1554</v>
      </c>
      <c r="D11" s="15"/>
      <c r="E11" s="9">
        <f>July!E11+D11</f>
        <v>573</v>
      </c>
      <c r="F11" s="17"/>
      <c r="G11" s="9">
        <f>July!G11+F11</f>
        <v>783</v>
      </c>
      <c r="H11" s="19"/>
      <c r="I11" s="9">
        <f>July!I11+H11</f>
        <v>0</v>
      </c>
    </row>
    <row r="12" spans="1:9" s="5" customFormat="1" ht="18" customHeight="1">
      <c r="A12" s="9" t="s">
        <v>15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</row>
    <row r="13" spans="1:9" s="5" customFormat="1" ht="18" customHeight="1">
      <c r="A13" s="9" t="s">
        <v>16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</row>
    <row r="14" spans="1:9" s="5" customFormat="1" ht="18" customHeight="1">
      <c r="A14" s="9" t="s">
        <v>17</v>
      </c>
      <c r="B14" s="13"/>
      <c r="C14" s="9">
        <f>July!C14+B14</f>
        <v>772</v>
      </c>
      <c r="D14" s="15"/>
      <c r="E14" s="9">
        <f>July!E14+D14</f>
        <v>3</v>
      </c>
      <c r="F14" s="17"/>
      <c r="G14" s="9">
        <f>July!G14+F14</f>
        <v>0</v>
      </c>
      <c r="H14" s="19"/>
      <c r="I14" s="9">
        <f>July!I14+H14</f>
        <v>0</v>
      </c>
    </row>
    <row r="15" spans="1:9" s="5" customFormat="1" ht="18" customHeight="1">
      <c r="A15" s="9" t="s">
        <v>18</v>
      </c>
      <c r="B15" s="13">
        <v>246</v>
      </c>
      <c r="C15" s="9">
        <f>July!C15+B15</f>
        <v>2436</v>
      </c>
      <c r="D15" s="15">
        <v>60</v>
      </c>
      <c r="E15" s="9">
        <f>July!E15+D15</f>
        <v>188</v>
      </c>
      <c r="F15" s="17"/>
      <c r="G15" s="9">
        <f>July!G15+F15</f>
        <v>0</v>
      </c>
      <c r="H15" s="19"/>
      <c r="I15" s="9">
        <f>July!I15+H15</f>
        <v>0</v>
      </c>
    </row>
    <row r="16" spans="1:9" s="5" customFormat="1" ht="18" customHeight="1">
      <c r="A16" s="9" t="s">
        <v>19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</row>
    <row r="17" spans="1:9" s="5" customFormat="1" ht="18" customHeight="1">
      <c r="A17" s="9" t="s">
        <v>20</v>
      </c>
      <c r="B17" s="13">
        <v>832</v>
      </c>
      <c r="C17" s="9">
        <f>July!C17+B17</f>
        <v>4764</v>
      </c>
      <c r="D17" s="15">
        <v>3</v>
      </c>
      <c r="E17" s="9">
        <f>July!E17+D17</f>
        <v>866</v>
      </c>
      <c r="F17" s="17">
        <f>82+154</f>
        <v>236</v>
      </c>
      <c r="G17" s="9">
        <f>July!G17+F17</f>
        <v>300</v>
      </c>
      <c r="H17" s="19"/>
      <c r="I17" s="9">
        <f>July!I17+H17</f>
        <v>0</v>
      </c>
    </row>
    <row r="18" spans="1:9" s="5" customFormat="1" ht="18" customHeight="1">
      <c r="A18" s="9" t="s">
        <v>21</v>
      </c>
      <c r="B18" s="13">
        <v>266</v>
      </c>
      <c r="C18" s="9">
        <f>July!C18+B18</f>
        <v>3297</v>
      </c>
      <c r="D18" s="15">
        <v>3</v>
      </c>
      <c r="E18" s="9">
        <f>July!E18+D18</f>
        <v>372</v>
      </c>
      <c r="F18" s="17">
        <v>21</v>
      </c>
      <c r="G18" s="9">
        <f>July!G18+F18</f>
        <v>780</v>
      </c>
      <c r="H18" s="19"/>
      <c r="I18" s="9">
        <f>July!I18+H18</f>
        <v>0</v>
      </c>
    </row>
    <row r="19" spans="1:9" s="5" customFormat="1" ht="18" customHeight="1">
      <c r="A19" s="9" t="s">
        <v>22</v>
      </c>
      <c r="B19" s="13">
        <f>987+791</f>
        <v>1778</v>
      </c>
      <c r="C19" s="9">
        <f>July!C19+B19</f>
        <v>6574</v>
      </c>
      <c r="D19" s="15">
        <v>358</v>
      </c>
      <c r="E19" s="9">
        <f>July!E19+D19</f>
        <v>712</v>
      </c>
      <c r="F19" s="17">
        <v>1</v>
      </c>
      <c r="G19" s="9">
        <f>July!G19+F19</f>
        <v>3361</v>
      </c>
      <c r="H19" s="19"/>
      <c r="I19" s="9">
        <f>July!I19+H19</f>
        <v>0</v>
      </c>
    </row>
    <row r="20" spans="1:9" s="5" customFormat="1" ht="18" customHeight="1">
      <c r="A20" s="9" t="s">
        <v>23</v>
      </c>
      <c r="B20" s="13">
        <f>8262+475</f>
        <v>8737</v>
      </c>
      <c r="C20" s="9">
        <f>July!C20+B20</f>
        <v>23688</v>
      </c>
      <c r="D20" s="15">
        <v>142</v>
      </c>
      <c r="E20" s="9">
        <f>July!E20+D20</f>
        <v>1771</v>
      </c>
      <c r="F20" s="17"/>
      <c r="G20" s="9">
        <f>July!G20+F20</f>
        <v>738</v>
      </c>
      <c r="H20" s="19"/>
      <c r="I20" s="9">
        <f>July!I20+H20</f>
        <v>0</v>
      </c>
    </row>
    <row r="21" spans="1:9" s="5" customFormat="1" ht="18" customHeight="1">
      <c r="A21" s="9" t="s">
        <v>24</v>
      </c>
      <c r="B21" s="13">
        <v>1320</v>
      </c>
      <c r="C21" s="9">
        <f>July!C21+B21</f>
        <v>86205</v>
      </c>
      <c r="D21" s="15"/>
      <c r="E21" s="9">
        <f>July!E21+D21</f>
        <v>86</v>
      </c>
      <c r="F21" s="17"/>
      <c r="G21" s="9">
        <f>July!G21+F21</f>
        <v>110</v>
      </c>
      <c r="H21" s="19"/>
      <c r="I21" s="9">
        <f>July!I21+H21</f>
        <v>0</v>
      </c>
    </row>
    <row r="22" spans="1:9" s="5" customFormat="1" ht="18" customHeight="1">
      <c r="A22" s="9" t="s">
        <v>25</v>
      </c>
      <c r="B22" s="13"/>
      <c r="C22" s="9">
        <f>July!C22+B22</f>
        <v>0</v>
      </c>
      <c r="D22" s="15"/>
      <c r="E22" s="9">
        <f>July!E22+D22</f>
        <v>0</v>
      </c>
      <c r="F22" s="17"/>
      <c r="G22" s="9">
        <f>July!G22+F22</f>
        <v>0</v>
      </c>
      <c r="H22" s="19"/>
      <c r="I22" s="9">
        <f>July!I22+H22</f>
        <v>0</v>
      </c>
    </row>
    <row r="23" spans="1:9" s="5" customFormat="1" ht="18" customHeight="1">
      <c r="A23" s="9" t="s">
        <v>26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0</v>
      </c>
      <c r="H23" s="19"/>
      <c r="I23" s="9">
        <f>July!I23+H23</f>
        <v>0</v>
      </c>
    </row>
    <row r="24" spans="1:9" s="5" customFormat="1" ht="18" customHeight="1">
      <c r="A24" s="9" t="s">
        <v>27</v>
      </c>
      <c r="B24" s="13"/>
      <c r="C24" s="9">
        <f>July!C24+B24</f>
        <v>0</v>
      </c>
      <c r="D24" s="15">
        <v>5</v>
      </c>
      <c r="E24" s="9">
        <f>July!E24+D24</f>
        <v>7</v>
      </c>
      <c r="F24" s="17"/>
      <c r="G24" s="9">
        <f>July!G24+F24</f>
        <v>17</v>
      </c>
      <c r="H24" s="19"/>
      <c r="I24" s="9">
        <f>July!I24+H24</f>
        <v>0</v>
      </c>
    </row>
    <row r="25" spans="1:9" s="5" customFormat="1" ht="18" customHeight="1">
      <c r="A25" s="9" t="s">
        <v>28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0</v>
      </c>
      <c r="H25" s="19"/>
      <c r="I25" s="9">
        <f>July!I25+H25</f>
        <v>0</v>
      </c>
    </row>
    <row r="26" spans="1:9" s="5" customFormat="1" ht="18" customHeight="1">
      <c r="A26" s="9" t="s">
        <v>29</v>
      </c>
      <c r="B26" s="13">
        <v>845</v>
      </c>
      <c r="C26" s="9">
        <f>July!C26+B26</f>
        <v>5188</v>
      </c>
      <c r="D26" s="15">
        <v>140</v>
      </c>
      <c r="E26" s="9">
        <f>July!E26+D26</f>
        <v>145</v>
      </c>
      <c r="F26" s="17">
        <v>3</v>
      </c>
      <c r="G26" s="9">
        <f>July!G26+F26</f>
        <v>39</v>
      </c>
      <c r="H26" s="19"/>
      <c r="I26" s="9">
        <f>July!I26+H26</f>
        <v>0</v>
      </c>
    </row>
    <row r="27" spans="1:9" s="5" customFormat="1" ht="18" customHeight="1">
      <c r="A27" s="9" t="s">
        <v>30</v>
      </c>
      <c r="B27" s="13">
        <v>1532</v>
      </c>
      <c r="C27" s="9">
        <f>July!C27+B27</f>
        <v>28771</v>
      </c>
      <c r="D27" s="15">
        <v>9</v>
      </c>
      <c r="E27" s="9">
        <f>July!E27+D27</f>
        <v>1456</v>
      </c>
      <c r="F27" s="17">
        <v>2069</v>
      </c>
      <c r="G27" s="9">
        <f>July!G27+F27</f>
        <v>17102</v>
      </c>
      <c r="H27" s="19"/>
      <c r="I27" s="9">
        <f>July!I27+H27</f>
        <v>0</v>
      </c>
    </row>
    <row r="28" spans="1:9" s="5" customFormat="1" ht="18" customHeight="1">
      <c r="A28" s="9" t="s">
        <v>31</v>
      </c>
      <c r="B28" s="13">
        <v>1088</v>
      </c>
      <c r="C28" s="9">
        <f>July!C28+B28</f>
        <v>4328</v>
      </c>
      <c r="D28" s="15"/>
      <c r="E28" s="9">
        <f>July!E28+D28</f>
        <v>142</v>
      </c>
      <c r="F28" s="17"/>
      <c r="G28" s="9">
        <f>July!G28+F28</f>
        <v>0</v>
      </c>
      <c r="H28" s="19"/>
      <c r="I28" s="9">
        <f>July!I28+H28</f>
        <v>0</v>
      </c>
    </row>
    <row r="29" spans="1:9" s="5" customFormat="1" ht="18" customHeight="1">
      <c r="A29" s="9" t="s">
        <v>32</v>
      </c>
      <c r="B29" s="13">
        <v>9575</v>
      </c>
      <c r="C29" s="9">
        <f>July!C29+B29</f>
        <v>102923</v>
      </c>
      <c r="D29" s="15">
        <v>67</v>
      </c>
      <c r="E29" s="9">
        <f>July!E29+D29</f>
        <v>4910</v>
      </c>
      <c r="F29" s="17">
        <f>108</f>
        <v>108</v>
      </c>
      <c r="G29" s="9">
        <f>July!G29+F29</f>
        <v>845</v>
      </c>
      <c r="H29" s="19"/>
      <c r="I29" s="9">
        <f>July!I29+H29</f>
        <v>277</v>
      </c>
    </row>
    <row r="30" spans="1:9" s="5" customFormat="1" ht="18" customHeight="1">
      <c r="A30" s="9" t="s">
        <v>33</v>
      </c>
      <c r="B30" s="13">
        <v>9475</v>
      </c>
      <c r="C30" s="9">
        <f>July!C30+B30</f>
        <v>28227</v>
      </c>
      <c r="D30" s="15">
        <v>415</v>
      </c>
      <c r="E30" s="9">
        <f>July!E30+D30</f>
        <v>4399</v>
      </c>
      <c r="F30" s="17"/>
      <c r="G30" s="9">
        <f>July!G30+F30</f>
        <v>0</v>
      </c>
      <c r="H30" s="19"/>
      <c r="I30" s="9">
        <f>July!I30+H30</f>
        <v>0</v>
      </c>
    </row>
    <row r="31" spans="1:9" s="5" customFormat="1" ht="18" customHeight="1">
      <c r="A31" s="9" t="s">
        <v>34</v>
      </c>
      <c r="B31" s="13">
        <v>5677</v>
      </c>
      <c r="C31" s="9">
        <f>July!C31+B31</f>
        <v>30170</v>
      </c>
      <c r="D31" s="15">
        <v>178</v>
      </c>
      <c r="E31" s="9">
        <f>July!E31+D31</f>
        <v>5646</v>
      </c>
      <c r="F31" s="17">
        <f>337+184</f>
        <v>521</v>
      </c>
      <c r="G31" s="9">
        <f>July!G31+F31</f>
        <v>2321</v>
      </c>
      <c r="H31" s="19"/>
      <c r="I31" s="9">
        <f>July!I31+H31</f>
        <v>30</v>
      </c>
    </row>
    <row r="32" spans="1:9" s="5" customFormat="1" ht="18" customHeight="1">
      <c r="A32" s="9" t="s">
        <v>35</v>
      </c>
      <c r="B32" s="13"/>
      <c r="C32" s="9">
        <f>July!C32+B32</f>
        <v>0</v>
      </c>
      <c r="D32" s="15"/>
      <c r="E32" s="9">
        <f>July!E32+D32</f>
        <v>0</v>
      </c>
      <c r="F32" s="17"/>
      <c r="G32" s="9">
        <f>July!G32+F32</f>
        <v>0</v>
      </c>
      <c r="H32" s="19"/>
      <c r="I32" s="9">
        <f>July!I32+H32</f>
        <v>0</v>
      </c>
    </row>
    <row r="33" spans="1:9" s="5" customFormat="1" ht="18" customHeight="1">
      <c r="A33" s="9" t="s">
        <v>36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</row>
    <row r="34" spans="1:9" s="5" customFormat="1" ht="18" customHeight="1">
      <c r="A34" s="9" t="s">
        <v>37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</row>
    <row r="35" spans="1:9" s="5" customFormat="1" ht="18" customHeight="1">
      <c r="A35" s="9" t="s">
        <v>38</v>
      </c>
      <c r="B35" s="13">
        <v>260</v>
      </c>
      <c r="C35" s="9">
        <f>July!C35+B35</f>
        <v>586</v>
      </c>
      <c r="D35" s="15"/>
      <c r="E35" s="9">
        <f>July!E35+D35</f>
        <v>0</v>
      </c>
      <c r="F35" s="17">
        <v>330</v>
      </c>
      <c r="G35" s="9">
        <f>July!G35+F35</f>
        <v>745</v>
      </c>
      <c r="H35" s="19"/>
      <c r="I35" s="9">
        <f>July!I35+H35</f>
        <v>0</v>
      </c>
    </row>
    <row r="36" spans="1:9" s="5" customFormat="1" ht="18" customHeight="1">
      <c r="A36" s="9" t="s">
        <v>39</v>
      </c>
      <c r="B36" s="13"/>
      <c r="C36" s="9">
        <f>July!C36+B36</f>
        <v>0</v>
      </c>
      <c r="D36" s="15"/>
      <c r="E36" s="9">
        <f>July!E36+D36</f>
        <v>5</v>
      </c>
      <c r="F36" s="17"/>
      <c r="G36" s="9">
        <f>July!G36+F36</f>
        <v>267</v>
      </c>
      <c r="H36" s="19"/>
      <c r="I36" s="9">
        <f>July!I36+H36</f>
        <v>0</v>
      </c>
    </row>
    <row r="37" spans="1:9" s="5" customFormat="1" ht="18" customHeight="1">
      <c r="A37" s="9" t="s">
        <v>40</v>
      </c>
      <c r="B37" s="13"/>
      <c r="C37" s="9">
        <f>July!C37+B37</f>
        <v>376</v>
      </c>
      <c r="D37" s="15"/>
      <c r="E37" s="9">
        <f>July!E37+D37</f>
        <v>16</v>
      </c>
      <c r="F37" s="17"/>
      <c r="G37" s="9">
        <f>July!G37+F37</f>
        <v>11</v>
      </c>
      <c r="H37" s="19"/>
      <c r="I37" s="9">
        <f>July!I37+H37</f>
        <v>0</v>
      </c>
    </row>
    <row r="38" spans="1:9" s="5" customFormat="1" ht="18" customHeight="1">
      <c r="A38" s="9" t="s">
        <v>41</v>
      </c>
      <c r="B38" s="13">
        <v>582</v>
      </c>
      <c r="C38" s="9">
        <f>July!C38+B38</f>
        <v>36976</v>
      </c>
      <c r="D38" s="15">
        <v>23</v>
      </c>
      <c r="E38" s="9">
        <f>July!E38+D38</f>
        <v>754</v>
      </c>
      <c r="F38" s="17"/>
      <c r="G38" s="9">
        <f>July!G38+F38</f>
        <v>122</v>
      </c>
      <c r="H38" s="19"/>
      <c r="I38" s="9">
        <f>July!I38+H38</f>
        <v>0</v>
      </c>
    </row>
    <row r="39" spans="1:9" s="5" customFormat="1" ht="18" customHeight="1">
      <c r="A39" s="9" t="s">
        <v>42</v>
      </c>
      <c r="B39" s="13">
        <v>930</v>
      </c>
      <c r="C39" s="9">
        <f>July!C39+B39</f>
        <v>3362</v>
      </c>
      <c r="D39" s="15"/>
      <c r="E39" s="9">
        <f>July!E39+D39</f>
        <v>38</v>
      </c>
      <c r="F39" s="17">
        <v>177</v>
      </c>
      <c r="G39" s="9">
        <f>July!G39+F39</f>
        <v>2216</v>
      </c>
      <c r="H39" s="19"/>
      <c r="I39" s="9">
        <f>July!I39+H39</f>
        <v>0</v>
      </c>
    </row>
    <row r="40" spans="1:9" s="5" customFormat="1" ht="18" customHeight="1">
      <c r="A40" s="9" t="s">
        <v>43</v>
      </c>
      <c r="B40" s="13">
        <f>18+40+53+114+67+53+53+99+94+89+11+13+86+105+118+132+86+106+118+93+70+41+93+80+96+90+90+95+7+147+77+34+90+81+102+85+67</f>
        <v>2893</v>
      </c>
      <c r="C40" s="9">
        <f>July!C40+B40</f>
        <v>12569</v>
      </c>
      <c r="D40" s="15">
        <f>52+46+47+73+73+13+16+9+10+17+57+29+22+15+30+30+16+30+16+30+16+36+57+25+24+12+7+52+15+26+28+49+74+14+44+36+48+17+50+28+27+29+29+1+42+18+16+43+20+69+7+23+24+30+24+41+30+30+32+32+32+32+30+10+30+10+10+10+10+22+10+25+35+23+37+18+37+8+21+29+10+46+27+18+83+41+41+10+41+6+2+10+16+9+10</f>
        <v>2665</v>
      </c>
      <c r="E40" s="9">
        <f>July!E40+D40</f>
        <v>4063</v>
      </c>
      <c r="F40" s="17"/>
      <c r="G40" s="9">
        <f>July!G40+F40</f>
        <v>9</v>
      </c>
      <c r="H40" s="19"/>
      <c r="I40" s="9">
        <f>July!I40+H40</f>
        <v>0</v>
      </c>
    </row>
    <row r="41" spans="1:9" s="5" customFormat="1" ht="18" customHeight="1">
      <c r="A41" s="9" t="s">
        <v>44</v>
      </c>
      <c r="B41" s="13"/>
      <c r="C41" s="9">
        <f>July!C41+B41</f>
        <v>763</v>
      </c>
      <c r="D41" s="15"/>
      <c r="E41" s="9">
        <f>July!E41+D41</f>
        <v>85</v>
      </c>
      <c r="F41" s="17"/>
      <c r="G41" s="9">
        <f>July!G41+F41</f>
        <v>68</v>
      </c>
      <c r="H41" s="19"/>
      <c r="I41" s="9">
        <f>July!I41+H41</f>
        <v>0</v>
      </c>
    </row>
    <row r="42" spans="1:9" s="5" customFormat="1" ht="18" customHeight="1">
      <c r="A42" s="9" t="s">
        <v>45</v>
      </c>
      <c r="B42" s="13">
        <v>49</v>
      </c>
      <c r="C42" s="9">
        <f>July!C42+B42</f>
        <v>856</v>
      </c>
      <c r="D42" s="15"/>
      <c r="E42" s="9">
        <f>July!E42+D42</f>
        <v>242</v>
      </c>
      <c r="F42" s="17"/>
      <c r="G42" s="9">
        <f>July!G42+F42</f>
        <v>1061</v>
      </c>
      <c r="H42" s="19"/>
      <c r="I42" s="9">
        <f>July!I42+H42</f>
        <v>0</v>
      </c>
    </row>
    <row r="43" spans="1:9" s="5" customFormat="1" ht="18" customHeight="1">
      <c r="A43" s="9" t="s">
        <v>46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</row>
    <row r="44" spans="1:9" s="5" customFormat="1" ht="18" customHeight="1">
      <c r="A44" s="9" t="s">
        <v>47</v>
      </c>
      <c r="B44" s="13">
        <v>1872</v>
      </c>
      <c r="C44" s="9">
        <f>July!C44+B44</f>
        <v>7097</v>
      </c>
      <c r="D44" s="15"/>
      <c r="E44" s="9">
        <f>July!E44+D44</f>
        <v>0</v>
      </c>
      <c r="F44" s="17"/>
      <c r="G44" s="9">
        <f>July!G44+F44</f>
        <v>0</v>
      </c>
      <c r="H44" s="19"/>
      <c r="I44" s="9">
        <f>July!I44+H44</f>
        <v>0</v>
      </c>
    </row>
    <row r="45" spans="1:9" s="5" customFormat="1" ht="18" customHeight="1">
      <c r="A45" s="9" t="s">
        <v>48</v>
      </c>
      <c r="B45" s="13">
        <v>11616</v>
      </c>
      <c r="C45" s="9">
        <f>July!C45+B45</f>
        <v>157993</v>
      </c>
      <c r="D45" s="15">
        <v>66</v>
      </c>
      <c r="E45" s="9">
        <f>July!E45+D45</f>
        <v>9872</v>
      </c>
      <c r="F45" s="17"/>
      <c r="G45" s="9">
        <f>July!G45+F45</f>
        <v>285</v>
      </c>
      <c r="H45" s="19"/>
      <c r="I45" s="9">
        <f>July!I45+H45</f>
        <v>0</v>
      </c>
    </row>
    <row r="46" spans="1:9" s="5" customFormat="1" ht="18" customHeight="1">
      <c r="A46" s="9" t="s">
        <v>49</v>
      </c>
      <c r="B46" s="13">
        <v>1705</v>
      </c>
      <c r="C46" s="9">
        <f>July!C46+B46</f>
        <v>8207</v>
      </c>
      <c r="D46" s="15"/>
      <c r="E46" s="9">
        <f>July!E46+D46</f>
        <v>267</v>
      </c>
      <c r="F46" s="17"/>
      <c r="G46" s="9">
        <f>July!G46+F46</f>
        <v>81</v>
      </c>
      <c r="H46" s="19"/>
      <c r="I46" s="9">
        <f>July!I46+H46</f>
        <v>0</v>
      </c>
    </row>
    <row r="47" spans="1:9" s="5" customFormat="1" ht="18" customHeight="1">
      <c r="A47" s="9" t="s">
        <v>50</v>
      </c>
      <c r="B47" s="13">
        <v>3310</v>
      </c>
      <c r="C47" s="9">
        <f>July!C47+B47</f>
        <v>11030</v>
      </c>
      <c r="D47" s="15">
        <f>1660+149</f>
        <v>1809</v>
      </c>
      <c r="E47" s="9">
        <f>July!E47+D47</f>
        <v>2659</v>
      </c>
      <c r="F47" s="17">
        <v>75</v>
      </c>
      <c r="G47" s="9">
        <f>July!G47+F47</f>
        <v>627</v>
      </c>
      <c r="H47" s="19"/>
      <c r="I47" s="9">
        <f>July!I47+H47</f>
        <v>0</v>
      </c>
    </row>
    <row r="48" spans="1:9" s="5" customFormat="1" ht="18" customHeight="1">
      <c r="A48" s="9" t="s">
        <v>51</v>
      </c>
      <c r="B48" s="13"/>
      <c r="C48" s="9">
        <f>July!C48+B48</f>
        <v>4</v>
      </c>
      <c r="D48" s="15">
        <v>1</v>
      </c>
      <c r="E48" s="9">
        <f>July!E48+D48</f>
        <v>7</v>
      </c>
      <c r="F48" s="17">
        <v>43</v>
      </c>
      <c r="G48" s="9">
        <f>July!G48+F48</f>
        <v>324</v>
      </c>
      <c r="H48" s="19"/>
      <c r="I48" s="9">
        <f>July!I48+H48</f>
        <v>0</v>
      </c>
    </row>
    <row r="49" spans="1:9" s="5" customFormat="1" ht="18" customHeight="1">
      <c r="A49" s="9" t="s">
        <v>52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123</v>
      </c>
      <c r="H49" s="19"/>
      <c r="I49" s="9">
        <f>July!I49+H49</f>
        <v>0</v>
      </c>
    </row>
    <row r="50" spans="1:9" s="5" customFormat="1" ht="18" customHeight="1">
      <c r="A50" s="9" t="s">
        <v>53</v>
      </c>
      <c r="B50" s="13">
        <v>2474</v>
      </c>
      <c r="C50" s="9">
        <f>July!C50+B50</f>
        <v>9272</v>
      </c>
      <c r="D50" s="15"/>
      <c r="E50" s="9">
        <f>July!E50+D50</f>
        <v>62</v>
      </c>
      <c r="F50" s="17"/>
      <c r="G50" s="9">
        <f>July!G50+F50</f>
        <v>0</v>
      </c>
      <c r="H50" s="19"/>
      <c r="I50" s="9">
        <f>July!I50+H50</f>
        <v>0</v>
      </c>
    </row>
    <row r="51" spans="1:9" s="5" customFormat="1" ht="18" customHeight="1">
      <c r="A51" s="9" t="s">
        <v>54</v>
      </c>
      <c r="B51" s="13"/>
      <c r="C51" s="9">
        <f>July!C51+B51</f>
        <v>1928</v>
      </c>
      <c r="D51" s="15"/>
      <c r="E51" s="9">
        <f>July!E51+D51</f>
        <v>17</v>
      </c>
      <c r="F51" s="17">
        <v>64</v>
      </c>
      <c r="G51" s="9">
        <f>July!G51+F51</f>
        <v>466</v>
      </c>
      <c r="H51" s="19"/>
      <c r="I51" s="9">
        <f>July!I51+H51</f>
        <v>0</v>
      </c>
    </row>
    <row r="52" spans="1:9" s="5" customFormat="1" ht="18" customHeight="1">
      <c r="A52" s="9" t="s">
        <v>55</v>
      </c>
      <c r="B52" s="13">
        <v>966</v>
      </c>
      <c r="C52" s="9">
        <f>July!C52+B52</f>
        <v>4834</v>
      </c>
      <c r="D52" s="15"/>
      <c r="E52" s="9">
        <f>July!E52+D52</f>
        <v>63</v>
      </c>
      <c r="F52" s="17"/>
      <c r="G52" s="9">
        <f>July!G52+F52</f>
        <v>0</v>
      </c>
      <c r="H52" s="19"/>
      <c r="I52" s="9">
        <f>July!I52+H52</f>
        <v>0</v>
      </c>
    </row>
    <row r="53" spans="1:9" s="5" customFormat="1" ht="18" customHeight="1">
      <c r="A53" s="9" t="s">
        <v>56</v>
      </c>
      <c r="B53" s="13">
        <v>2752</v>
      </c>
      <c r="C53" s="9">
        <f>July!C53+B53</f>
        <v>25088</v>
      </c>
      <c r="D53" s="15">
        <v>174</v>
      </c>
      <c r="E53" s="9">
        <f>July!E53+D53</f>
        <v>1381</v>
      </c>
      <c r="F53" s="17">
        <v>699</v>
      </c>
      <c r="G53" s="9">
        <f>July!G53+F53</f>
        <v>8250</v>
      </c>
      <c r="H53" s="19"/>
      <c r="I53" s="9">
        <f>July!I53+H53</f>
        <v>0</v>
      </c>
    </row>
    <row r="54" spans="1:9" s="5" customFormat="1" ht="18" customHeight="1" thickBot="1">
      <c r="A54" s="10" t="s">
        <v>57</v>
      </c>
      <c r="B54" s="13">
        <v>824</v>
      </c>
      <c r="C54" s="9">
        <f>July!C54+B54</f>
        <v>7503</v>
      </c>
      <c r="D54" s="16">
        <v>12</v>
      </c>
      <c r="E54" s="9">
        <f>July!E54+D54</f>
        <v>1487</v>
      </c>
      <c r="F54" s="17"/>
      <c r="G54" s="9">
        <f>July!G54+F54</f>
        <v>0</v>
      </c>
      <c r="H54" s="19"/>
      <c r="I54" s="9">
        <f>July!I54+H54</f>
        <v>0</v>
      </c>
    </row>
    <row r="55" spans="1:9" s="5" customFormat="1" ht="18" customHeight="1" thickBot="1" thickTop="1">
      <c r="A55" s="11" t="s">
        <v>58</v>
      </c>
      <c r="B55" s="11">
        <f>SUM(B5:B54)</f>
        <v>73628</v>
      </c>
      <c r="C55" s="11"/>
      <c r="D55" s="11">
        <f>SUM(D5:D54)</f>
        <v>6150</v>
      </c>
      <c r="E55" s="11"/>
      <c r="F55" s="11">
        <f>SUM(F5:F54)</f>
        <v>4792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July!C57+B55</f>
        <v>627246</v>
      </c>
      <c r="D57" s="11"/>
      <c r="E57" s="11">
        <f>July!E57+D55</f>
        <v>43897</v>
      </c>
      <c r="F57" s="11"/>
      <c r="G57" s="11">
        <f>July!G57+F55</f>
        <v>43486</v>
      </c>
      <c r="H57" s="11"/>
      <c r="I57" s="11">
        <f>July!I57+H55</f>
        <v>451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July!E62+D60</f>
        <v>2482</v>
      </c>
      <c r="G62" s="4">
        <f>July!G62+F60</f>
        <v>13410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71</v>
      </c>
      <c r="H1" s="2" t="s">
        <v>75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>
        <f>76+80+75+335+69+60+140+66</f>
        <v>901</v>
      </c>
      <c r="C5" s="9">
        <f>August!C5+B5</f>
        <v>2326</v>
      </c>
      <c r="D5" s="15">
        <f>32</f>
        <v>32</v>
      </c>
      <c r="E5" s="9">
        <f>August!E5+D5</f>
        <v>1194</v>
      </c>
      <c r="F5" s="17"/>
      <c r="G5" s="9">
        <f>August!G5+F5</f>
        <v>116</v>
      </c>
      <c r="H5" s="19"/>
      <c r="I5" s="9">
        <f>August!I5+H5</f>
        <v>0</v>
      </c>
    </row>
    <row r="6" spans="1:9" s="5" customFormat="1" ht="18" customHeight="1">
      <c r="A6" s="9" t="s">
        <v>9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</row>
    <row r="7" spans="1:9" s="5" customFormat="1" ht="18" customHeight="1">
      <c r="A7" s="9" t="s">
        <v>10</v>
      </c>
      <c r="B7" s="13"/>
      <c r="C7" s="9">
        <f>August!C7+B7</f>
        <v>198</v>
      </c>
      <c r="D7" s="15"/>
      <c r="E7" s="9">
        <f>August!E7+D7</f>
        <v>5</v>
      </c>
      <c r="F7" s="17"/>
      <c r="G7" s="9">
        <f>August!G7+F7</f>
        <v>156</v>
      </c>
      <c r="H7" s="19"/>
      <c r="I7" s="9">
        <f>August!I7+H7</f>
        <v>0</v>
      </c>
    </row>
    <row r="8" spans="1:9" s="5" customFormat="1" ht="18" customHeight="1">
      <c r="A8" s="9" t="s">
        <v>11</v>
      </c>
      <c r="B8" s="13">
        <f>63</f>
        <v>63</v>
      </c>
      <c r="C8" s="9">
        <f>August!C8+B8</f>
        <v>7219</v>
      </c>
      <c r="D8" s="15"/>
      <c r="E8" s="9">
        <f>August!E8+D8</f>
        <v>17</v>
      </c>
      <c r="F8" s="17"/>
      <c r="G8" s="9">
        <f>August!G8+F8</f>
        <v>18</v>
      </c>
      <c r="H8" s="19"/>
      <c r="I8" s="9">
        <f>August!I8+H8</f>
        <v>0</v>
      </c>
    </row>
    <row r="9" spans="1:9" s="5" customFormat="1" ht="18" customHeight="1">
      <c r="A9" s="9" t="s">
        <v>12</v>
      </c>
      <c r="B9" s="13">
        <f>81+15+15+15+15+1</f>
        <v>142</v>
      </c>
      <c r="C9" s="9">
        <f>August!C9+B9</f>
        <v>830</v>
      </c>
      <c r="D9" s="15"/>
      <c r="E9" s="9">
        <f>August!E9+D9</f>
        <v>270</v>
      </c>
      <c r="F9" s="17">
        <f>2+2+81+12+15+15+15+50+44</f>
        <v>236</v>
      </c>
      <c r="G9" s="9">
        <f>August!G9+F9</f>
        <v>1781</v>
      </c>
      <c r="H9" s="19"/>
      <c r="I9" s="9">
        <f>August!I9+H9</f>
        <v>144</v>
      </c>
    </row>
    <row r="10" spans="1:9" s="5" customFormat="1" ht="18" customHeight="1">
      <c r="A10" s="9" t="s">
        <v>13</v>
      </c>
      <c r="B10" s="13">
        <f>2+483</f>
        <v>485</v>
      </c>
      <c r="C10" s="9">
        <f>August!C10+B10</f>
        <v>923</v>
      </c>
      <c r="D10" s="15">
        <v>2</v>
      </c>
      <c r="E10" s="9">
        <f>August!E10+D10</f>
        <v>151</v>
      </c>
      <c r="F10" s="17">
        <f>1+1+1+1+1</f>
        <v>5</v>
      </c>
      <c r="G10" s="9">
        <f>August!G10+F10</f>
        <v>605</v>
      </c>
      <c r="H10" s="19"/>
      <c r="I10" s="9">
        <f>August!I10+H10</f>
        <v>0</v>
      </c>
    </row>
    <row r="11" spans="1:9" s="5" customFormat="1" ht="18" customHeight="1">
      <c r="A11" s="9" t="s">
        <v>14</v>
      </c>
      <c r="B11" s="13"/>
      <c r="C11" s="9">
        <f>August!C11+B11</f>
        <v>1554</v>
      </c>
      <c r="D11" s="15"/>
      <c r="E11" s="9">
        <f>August!E11+D11</f>
        <v>573</v>
      </c>
      <c r="F11" s="17"/>
      <c r="G11" s="9">
        <f>August!G11+F11</f>
        <v>783</v>
      </c>
      <c r="H11" s="19"/>
      <c r="I11" s="9">
        <f>August!I11+H11</f>
        <v>0</v>
      </c>
    </row>
    <row r="12" spans="1:9" s="5" customFormat="1" ht="18" customHeight="1">
      <c r="A12" s="9" t="s">
        <v>15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</row>
    <row r="13" spans="1:9" s="5" customFormat="1" ht="18" customHeight="1">
      <c r="A13" s="9" t="s">
        <v>16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</row>
    <row r="14" spans="1:9" s="5" customFormat="1" ht="18" customHeight="1">
      <c r="A14" s="9" t="s">
        <v>17</v>
      </c>
      <c r="B14" s="13">
        <f>70+42</f>
        <v>112</v>
      </c>
      <c r="C14" s="9">
        <f>August!C14+B14</f>
        <v>884</v>
      </c>
      <c r="D14" s="15"/>
      <c r="E14" s="9">
        <f>August!E14+D14</f>
        <v>3</v>
      </c>
      <c r="F14" s="17"/>
      <c r="G14" s="9">
        <f>August!G14+F14</f>
        <v>0</v>
      </c>
      <c r="H14" s="19"/>
      <c r="I14" s="9">
        <f>August!I14+H14</f>
        <v>0</v>
      </c>
    </row>
    <row r="15" spans="1:9" s="5" customFormat="1" ht="18" customHeight="1">
      <c r="A15" s="9" t="s">
        <v>18</v>
      </c>
      <c r="B15" s="13">
        <f>70+50+74+80</f>
        <v>274</v>
      </c>
      <c r="C15" s="9">
        <f>August!C15+B15</f>
        <v>2710</v>
      </c>
      <c r="D15" s="15"/>
      <c r="E15" s="9">
        <f>August!E15+D15</f>
        <v>188</v>
      </c>
      <c r="F15" s="17"/>
      <c r="G15" s="9">
        <f>August!G15+F15</f>
        <v>0</v>
      </c>
      <c r="H15" s="19"/>
      <c r="I15" s="9">
        <f>August!I15+H15</f>
        <v>0</v>
      </c>
    </row>
    <row r="16" spans="1:9" s="5" customFormat="1" ht="18" customHeight="1">
      <c r="A16" s="9" t="s">
        <v>19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</row>
    <row r="17" spans="1:9" s="5" customFormat="1" ht="18" customHeight="1">
      <c r="A17" s="9" t="s">
        <v>20</v>
      </c>
      <c r="B17" s="13">
        <f>1630+115+95</f>
        <v>1840</v>
      </c>
      <c r="C17" s="9">
        <f>August!C17+B17</f>
        <v>6604</v>
      </c>
      <c r="D17" s="15"/>
      <c r="E17" s="9">
        <f>August!E17+D17</f>
        <v>866</v>
      </c>
      <c r="F17" s="17"/>
      <c r="G17" s="9">
        <f>August!G17+F17</f>
        <v>300</v>
      </c>
      <c r="H17" s="19"/>
      <c r="I17" s="9">
        <f>August!I17+H17</f>
        <v>0</v>
      </c>
    </row>
    <row r="18" spans="1:9" s="5" customFormat="1" ht="18" customHeight="1">
      <c r="A18" s="9" t="s">
        <v>21</v>
      </c>
      <c r="B18" s="13">
        <f>75+70+64+306+67+123+75+79+13</f>
        <v>872</v>
      </c>
      <c r="C18" s="9">
        <f>August!C18+B18</f>
        <v>4169</v>
      </c>
      <c r="D18" s="15">
        <f>4+2+2+9+1+1+1+1+1+3</f>
        <v>25</v>
      </c>
      <c r="E18" s="9">
        <f>August!E18+D18</f>
        <v>397</v>
      </c>
      <c r="F18" s="17">
        <f>1+1+1</f>
        <v>3</v>
      </c>
      <c r="G18" s="9">
        <f>August!G18+F18</f>
        <v>783</v>
      </c>
      <c r="H18" s="19"/>
      <c r="I18" s="9">
        <f>August!I18+H18</f>
        <v>0</v>
      </c>
    </row>
    <row r="19" spans="1:9" s="5" customFormat="1" ht="18" customHeight="1">
      <c r="A19" s="9" t="s">
        <v>22</v>
      </c>
      <c r="B19" s="13">
        <f>70+75+67+825</f>
        <v>1037</v>
      </c>
      <c r="C19" s="9">
        <f>August!C19+B19</f>
        <v>7611</v>
      </c>
      <c r="D19" s="15">
        <v>5</v>
      </c>
      <c r="E19" s="9">
        <f>August!E19+D19</f>
        <v>717</v>
      </c>
      <c r="F19" s="17">
        <f>450</f>
        <v>450</v>
      </c>
      <c r="G19" s="9">
        <f>August!G19+F19</f>
        <v>3811</v>
      </c>
      <c r="H19" s="19"/>
      <c r="I19" s="9">
        <f>August!I19+H19</f>
        <v>0</v>
      </c>
    </row>
    <row r="20" spans="1:9" s="5" customFormat="1" ht="18" customHeight="1">
      <c r="A20" s="9" t="s">
        <v>23</v>
      </c>
      <c r="B20" s="13">
        <f>66+155+165+36+203+240+180+199+140+70+900+100+67+73+56+21+72+248+248+60+151+465+244+63+63+179+170+6+196+94+167+47+397+110+56</f>
        <v>5707</v>
      </c>
      <c r="C20" s="9">
        <f>August!C20+B20</f>
        <v>29395</v>
      </c>
      <c r="D20" s="15">
        <f>238+3</f>
        <v>241</v>
      </c>
      <c r="E20" s="9">
        <f>August!E20+D20</f>
        <v>2012</v>
      </c>
      <c r="F20" s="17">
        <f>15+1+1+1+1+1+1+1+1+1</f>
        <v>24</v>
      </c>
      <c r="G20" s="9">
        <f>August!G20+F20</f>
        <v>762</v>
      </c>
      <c r="H20" s="19"/>
      <c r="I20" s="9">
        <f>August!I20+H20</f>
        <v>0</v>
      </c>
    </row>
    <row r="21" spans="1:9" s="5" customFormat="1" ht="18" customHeight="1">
      <c r="A21" s="9" t="s">
        <v>24</v>
      </c>
      <c r="B21" s="13">
        <f>113+110+127+70+192+72+63+60+180+65+60+340+60+65+71+67+102+65+65+120+64+188+310+363+287+359+52+431+145+250+237+56+160+65+479+239+145+65+65+60+120+64+340+65+239+431+65+287+60+188+67+363+63+310+180+359+60+56+71+65+52+102+250+479+237+160+87+206+87+142+65+70+70+70+95+95+61+177+117+108+57+14</f>
        <v>12341</v>
      </c>
      <c r="C21" s="9">
        <f>August!C21+B21</f>
        <v>98546</v>
      </c>
      <c r="D21" s="15">
        <f>1+1</f>
        <v>2</v>
      </c>
      <c r="E21" s="9">
        <f>August!E21+D21</f>
        <v>88</v>
      </c>
      <c r="F21" s="17"/>
      <c r="G21" s="9">
        <f>August!G21+F21</f>
        <v>110</v>
      </c>
      <c r="H21" s="19"/>
      <c r="I21" s="9">
        <f>August!I21+H21</f>
        <v>0</v>
      </c>
    </row>
    <row r="22" spans="1:9" s="5" customFormat="1" ht="18" customHeight="1">
      <c r="A22" s="9" t="s">
        <v>25</v>
      </c>
      <c r="B22" s="13"/>
      <c r="C22" s="9">
        <f>August!C22+B22</f>
        <v>0</v>
      </c>
      <c r="D22" s="15"/>
      <c r="E22" s="9">
        <f>August!E22+D22</f>
        <v>0</v>
      </c>
      <c r="F22" s="17"/>
      <c r="G22" s="9">
        <f>August!G22+F22</f>
        <v>0</v>
      </c>
      <c r="H22" s="19"/>
      <c r="I22" s="9">
        <f>August!I22+H22</f>
        <v>0</v>
      </c>
    </row>
    <row r="23" spans="1:9" s="5" customFormat="1" ht="18" customHeight="1">
      <c r="A23" s="9" t="s">
        <v>26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0</v>
      </c>
      <c r="H23" s="19"/>
      <c r="I23" s="9">
        <f>August!I23+H23</f>
        <v>0</v>
      </c>
    </row>
    <row r="24" spans="1:9" s="5" customFormat="1" ht="18" customHeight="1">
      <c r="A24" s="9" t="s">
        <v>27</v>
      </c>
      <c r="B24" s="13"/>
      <c r="C24" s="9">
        <f>August!C24+B24</f>
        <v>0</v>
      </c>
      <c r="D24" s="15"/>
      <c r="E24" s="9">
        <f>August!E24+D24</f>
        <v>7</v>
      </c>
      <c r="F24" s="17"/>
      <c r="G24" s="9">
        <f>August!G24+F24</f>
        <v>17</v>
      </c>
      <c r="H24" s="19"/>
      <c r="I24" s="9">
        <f>August!I24+H24</f>
        <v>0</v>
      </c>
    </row>
    <row r="25" spans="1:9" s="5" customFormat="1" ht="18" customHeight="1">
      <c r="A25" s="9" t="s">
        <v>28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0</v>
      </c>
      <c r="H25" s="19"/>
      <c r="I25" s="9">
        <f>August!I25+H25</f>
        <v>0</v>
      </c>
    </row>
    <row r="26" spans="1:9" s="5" customFormat="1" ht="18" customHeight="1">
      <c r="A26" s="9" t="s">
        <v>29</v>
      </c>
      <c r="B26" s="13">
        <v>1432</v>
      </c>
      <c r="C26" s="9">
        <f>August!C26+B26</f>
        <v>6620</v>
      </c>
      <c r="D26" s="15">
        <f>14+2+2</f>
        <v>18</v>
      </c>
      <c r="E26" s="9">
        <f>August!E26+D26</f>
        <v>163</v>
      </c>
      <c r="F26" s="17"/>
      <c r="G26" s="9">
        <f>August!G26+F26</f>
        <v>39</v>
      </c>
      <c r="H26" s="19"/>
      <c r="I26" s="9">
        <f>August!I26+H26</f>
        <v>0</v>
      </c>
    </row>
    <row r="27" spans="1:9" s="5" customFormat="1" ht="18" customHeight="1">
      <c r="A27" s="9" t="s">
        <v>30</v>
      </c>
      <c r="B27" s="13">
        <f>3+5+34+38+30+55+51+2+2+17+28+8+18+35+38+41+30+4+7+10+7+55+75+60+247+141+135+103+67+8+13+18+1+31+2+32+93+2+19+38+33+38+38+19+23+41+43+34+6+4+15+15+22+148+20+67+65+60+65+185+29+13+780+24+45+4+44+3+3+3+15+24+17+5+2+4+42+88+63+31+52+105+9</f>
        <v>3949</v>
      </c>
      <c r="C27" s="9">
        <f>August!C27+B27</f>
        <v>32720</v>
      </c>
      <c r="D27" s="15">
        <f>13+5+4+1+1+6+4+12+2+29+4+2+2+1+15+2+15+5+2+4+9+6+2+3+7</f>
        <v>156</v>
      </c>
      <c r="E27" s="9">
        <f>August!E27+D27</f>
        <v>1612</v>
      </c>
      <c r="F27" s="17">
        <f>8+1+3+1+5+1+5+16+120+42+2+190+16+3+140+12+15+5+184+5+38+3+3+98+5+7+14</f>
        <v>942</v>
      </c>
      <c r="G27" s="9">
        <f>August!G27+F27</f>
        <v>18044</v>
      </c>
      <c r="H27" s="19"/>
      <c r="I27" s="9">
        <f>August!I27+H27</f>
        <v>0</v>
      </c>
    </row>
    <row r="28" spans="1:9" s="5" customFormat="1" ht="18" customHeight="1">
      <c r="A28" s="9" t="s">
        <v>31</v>
      </c>
      <c r="B28" s="13">
        <f>49+49</f>
        <v>98</v>
      </c>
      <c r="C28" s="9">
        <f>August!C28+B28</f>
        <v>4426</v>
      </c>
      <c r="D28" s="15"/>
      <c r="E28" s="9">
        <f>August!E28+D28</f>
        <v>142</v>
      </c>
      <c r="F28" s="17"/>
      <c r="G28" s="9">
        <f>August!G28+F28</f>
        <v>0</v>
      </c>
      <c r="H28" s="19"/>
      <c r="I28" s="9">
        <f>August!I28+H28</f>
        <v>0</v>
      </c>
    </row>
    <row r="29" spans="1:9" s="5" customFormat="1" ht="18" customHeight="1">
      <c r="A29" s="9" t="s">
        <v>32</v>
      </c>
      <c r="B29" s="13">
        <f>9+38+16561+61+34+7+2+1+35+63+71+127+70+63+63+140+1+3+75+80+72+72+63+78+43+27+123+80+76+63+158+37+68+65+37+42+71+68+22+162+69+78+4+13+120+120+60+62+62+62+40+75+79+56+76+98+78+71+27+27+10+60+55+23+78+60+33+27+13+133+88+4+6+5+17+2+141+60+29+80+71+115+82+78+79+103+79+67+157+12+65+58+74+65+58+72+79+78+78+72+128+182+61+67+68+71+17+74+60+75+159+54+54+9+61+43+67+257+72+68+70+15+62+91+60+43+3+1+1+3+120+2+65+65+29+47+88+35+58+71+66+64+64+64+163+90+50+122+73+11582+90+33+67+74+65+78+54+124+72+67+234+64+65+64+122+60+205+118+187+90+180+87+68+14+11+5+3+31+7+52+82+46+139+104</f>
        <v>40350</v>
      </c>
      <c r="C29" s="9">
        <f>August!C29+B29</f>
        <v>143273</v>
      </c>
      <c r="D29" s="15">
        <f>2+17+1+4+6+4+1+14+7+4+4+12+6+2+2+1+5+31+6+1+20+9+2+4+10+4+1+20</f>
        <v>200</v>
      </c>
      <c r="E29" s="9">
        <f>August!E29+D29</f>
        <v>5110</v>
      </c>
      <c r="F29" s="17">
        <f>113+57+40</f>
        <v>210</v>
      </c>
      <c r="G29" s="9">
        <f>August!G29+F29</f>
        <v>1055</v>
      </c>
      <c r="H29" s="19"/>
      <c r="I29" s="9">
        <f>August!I29+H29</f>
        <v>277</v>
      </c>
    </row>
    <row r="30" spans="1:9" s="5" customFormat="1" ht="18" customHeight="1">
      <c r="A30" s="9" t="s">
        <v>33</v>
      </c>
      <c r="B30" s="13">
        <f>115+42+375+67+10+8+6+135+265+340+69+400+6+65+46+38+58+62+121+100+82+39+70+225+320+220+120+385+369+350+183+400+543+483+500+120+56+18+343+400+170+65+62+420+100+170+15+35+6+157+174+220+40+70+12+36+17+68+216+210+115+27+100+8+12+65+13+125+11+3+71+90+138+131+48+6+16+36+110+5+9+22+40+90+90+82+240+250+250+155+122+62+106+31+47+140+135+60+190+3+36+610+69+60+53+115+205+202+276+379+9+260+119+445</f>
        <v>15909</v>
      </c>
      <c r="C30" s="9">
        <f>August!C30+B30</f>
        <v>44136</v>
      </c>
      <c r="D30" s="15">
        <f>146+153+53+45+1</f>
        <v>398</v>
      </c>
      <c r="E30" s="9">
        <f>August!E30+D30</f>
        <v>4797</v>
      </c>
      <c r="F30" s="17"/>
      <c r="G30" s="9">
        <f>August!G30+F30</f>
        <v>0</v>
      </c>
      <c r="H30" s="19"/>
      <c r="I30" s="9">
        <f>August!I30+H30</f>
        <v>0</v>
      </c>
    </row>
    <row r="31" spans="1:9" s="5" customFormat="1" ht="18" customHeight="1">
      <c r="A31" s="9" t="s">
        <v>34</v>
      </c>
      <c r="B31" s="13">
        <f>206+56+159+268+64+242+62+110+11+192+33+154+65+60+120+78+63+170+240+5+55+125+69+188+67+115+314+233+9+75+30+134+376+178+116+1+173+220+53+120+92+103+191+120+268+10+61+30+232+33+120+480+135+170+380+220+65+126+65+21+66+75+112+56+136+233+85+304+129+221+43+4+203+96+77+592+150+66+135+38+72+150+160+81+76+117+57+132+189+273+150+140+69+1010</f>
        <v>13428</v>
      </c>
      <c r="C31" s="9">
        <f>August!C31+B31</f>
        <v>43598</v>
      </c>
      <c r="D31" s="15">
        <f>6+4+2+7+1+2+4+1+1+11+44+4+4+13+75+1+1+51</f>
        <v>232</v>
      </c>
      <c r="E31" s="9">
        <f>August!E31+D31</f>
        <v>5878</v>
      </c>
      <c r="F31" s="17">
        <f>41+40+39+40+20+88</f>
        <v>268</v>
      </c>
      <c r="G31" s="9">
        <f>August!G31+F31</f>
        <v>2589</v>
      </c>
      <c r="H31" s="19"/>
      <c r="I31" s="9">
        <f>August!I31+H31</f>
        <v>30</v>
      </c>
    </row>
    <row r="32" spans="1:9" s="5" customFormat="1" ht="18" customHeight="1">
      <c r="A32" s="9" t="s">
        <v>35</v>
      </c>
      <c r="B32" s="13"/>
      <c r="C32" s="9">
        <f>August!C32+B32</f>
        <v>0</v>
      </c>
      <c r="D32" s="15"/>
      <c r="E32" s="9">
        <f>August!E32+D32</f>
        <v>0</v>
      </c>
      <c r="F32" s="17"/>
      <c r="G32" s="9">
        <f>August!G32+F32</f>
        <v>0</v>
      </c>
      <c r="H32" s="19"/>
      <c r="I32" s="9">
        <f>August!I32+H32</f>
        <v>0</v>
      </c>
    </row>
    <row r="33" spans="1:9" s="5" customFormat="1" ht="18" customHeight="1">
      <c r="A33" s="9" t="s">
        <v>36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</row>
    <row r="34" spans="1:9" s="5" customFormat="1" ht="18" customHeight="1">
      <c r="A34" s="9" t="s">
        <v>37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</row>
    <row r="35" spans="1:9" s="5" customFormat="1" ht="18" customHeight="1">
      <c r="A35" s="9" t="s">
        <v>38</v>
      </c>
      <c r="B35" s="13">
        <f>99+109</f>
        <v>208</v>
      </c>
      <c r="C35" s="9">
        <f>August!C35+B35</f>
        <v>794</v>
      </c>
      <c r="D35" s="15">
        <f>80+45+45+77+77+18+18+22+22+81+81+91+90+13+15+27+27</f>
        <v>829</v>
      </c>
      <c r="E35" s="9">
        <f>August!E35+D35</f>
        <v>829</v>
      </c>
      <c r="F35" s="17">
        <v>200</v>
      </c>
      <c r="G35" s="9">
        <f>August!G35+F35</f>
        <v>945</v>
      </c>
      <c r="H35" s="19"/>
      <c r="I35" s="9">
        <f>August!I35+H35</f>
        <v>0</v>
      </c>
    </row>
    <row r="36" spans="1:9" s="5" customFormat="1" ht="18" customHeight="1">
      <c r="A36" s="9" t="s">
        <v>39</v>
      </c>
      <c r="B36" s="13"/>
      <c r="C36" s="9">
        <f>August!C36+B36</f>
        <v>0</v>
      </c>
      <c r="D36" s="15">
        <f>1+2+1+1+2+2+1+4</f>
        <v>14</v>
      </c>
      <c r="E36" s="9">
        <f>August!E36+D36</f>
        <v>19</v>
      </c>
      <c r="F36" s="17">
        <f>9+7+10+10+10+10+10+10+6+7+7+7+8+3+2+9+10+29+29+10+10</f>
        <v>213</v>
      </c>
      <c r="G36" s="9">
        <f>August!G36+F36</f>
        <v>480</v>
      </c>
      <c r="H36" s="19"/>
      <c r="I36" s="9">
        <f>August!I36+H36</f>
        <v>0</v>
      </c>
    </row>
    <row r="37" spans="1:9" s="5" customFormat="1" ht="18" customHeight="1">
      <c r="A37" s="9" t="s">
        <v>40</v>
      </c>
      <c r="B37" s="13">
        <f>60+97</f>
        <v>157</v>
      </c>
      <c r="C37" s="9">
        <f>August!C37+B37</f>
        <v>533</v>
      </c>
      <c r="D37" s="15">
        <f>3</f>
        <v>3</v>
      </c>
      <c r="E37" s="9">
        <f>August!E37+D37</f>
        <v>19</v>
      </c>
      <c r="F37" s="17"/>
      <c r="G37" s="9">
        <f>August!G37+F37</f>
        <v>11</v>
      </c>
      <c r="H37" s="19"/>
      <c r="I37" s="9">
        <f>August!I37+H37</f>
        <v>0</v>
      </c>
    </row>
    <row r="38" spans="1:9" s="5" customFormat="1" ht="18" customHeight="1">
      <c r="A38" s="9" t="s">
        <v>41</v>
      </c>
      <c r="B38" s="13">
        <f>600+250+63+460+1260+146+59+30+266+198+310+100</f>
        <v>3742</v>
      </c>
      <c r="C38" s="9">
        <f>August!C38+B38</f>
        <v>40718</v>
      </c>
      <c r="D38" s="15">
        <f>1</f>
        <v>1</v>
      </c>
      <c r="E38" s="9">
        <f>August!E38+D38</f>
        <v>755</v>
      </c>
      <c r="F38" s="17"/>
      <c r="G38" s="9">
        <f>August!G38+F38</f>
        <v>122</v>
      </c>
      <c r="H38" s="19"/>
      <c r="I38" s="9">
        <f>August!I38+H38</f>
        <v>0</v>
      </c>
    </row>
    <row r="39" spans="1:9" s="5" customFormat="1" ht="18" customHeight="1">
      <c r="A39" s="9" t="s">
        <v>42</v>
      </c>
      <c r="B39" s="13">
        <f>110+115+115+120+12+3+18+18+25+27+13+14+6+5+14+2+12</f>
        <v>629</v>
      </c>
      <c r="C39" s="9">
        <f>August!C39+B39</f>
        <v>3991</v>
      </c>
      <c r="D39" s="15">
        <f>2+12</f>
        <v>14</v>
      </c>
      <c r="E39" s="9">
        <f>August!E39+D39</f>
        <v>52</v>
      </c>
      <c r="F39" s="17"/>
      <c r="G39" s="9">
        <f>August!G39+F39</f>
        <v>2216</v>
      </c>
      <c r="H39" s="19"/>
      <c r="I39" s="9">
        <f>August!I39+H39</f>
        <v>0</v>
      </c>
    </row>
    <row r="40" spans="1:9" s="5" customFormat="1" ht="18" customHeight="1">
      <c r="A40" s="9" t="s">
        <v>43</v>
      </c>
      <c r="B40" s="13">
        <f>139</f>
        <v>139</v>
      </c>
      <c r="C40" s="9">
        <f>August!C40+B40</f>
        <v>12708</v>
      </c>
      <c r="D40" s="15"/>
      <c r="E40" s="9">
        <f>August!E40+D40</f>
        <v>4063</v>
      </c>
      <c r="F40" s="17"/>
      <c r="G40" s="9">
        <f>August!G40+F40</f>
        <v>9</v>
      </c>
      <c r="H40" s="19"/>
      <c r="I40" s="9">
        <f>August!I40+H40</f>
        <v>0</v>
      </c>
    </row>
    <row r="41" spans="1:9" s="5" customFormat="1" ht="18" customHeight="1">
      <c r="A41" s="9" t="s">
        <v>44</v>
      </c>
      <c r="B41" s="13"/>
      <c r="C41" s="9">
        <f>August!C41+B41</f>
        <v>763</v>
      </c>
      <c r="D41" s="15"/>
      <c r="E41" s="9">
        <f>August!E41+D41</f>
        <v>85</v>
      </c>
      <c r="F41" s="17">
        <v>1</v>
      </c>
      <c r="G41" s="9">
        <f>August!G41+F41</f>
        <v>69</v>
      </c>
      <c r="H41" s="19"/>
      <c r="I41" s="9">
        <f>August!I41+H41</f>
        <v>0</v>
      </c>
    </row>
    <row r="42" spans="1:9" s="5" customFormat="1" ht="18" customHeight="1">
      <c r="A42" s="9" t="s">
        <v>45</v>
      </c>
      <c r="B42" s="13">
        <f>85+70+65+92</f>
        <v>312</v>
      </c>
      <c r="C42" s="9">
        <f>August!C42+B42</f>
        <v>1168</v>
      </c>
      <c r="D42" s="15"/>
      <c r="E42" s="9">
        <f>August!E42+D42</f>
        <v>242</v>
      </c>
      <c r="F42" s="17">
        <f>54</f>
        <v>54</v>
      </c>
      <c r="G42" s="9">
        <f>August!G42+F42</f>
        <v>1115</v>
      </c>
      <c r="H42" s="19"/>
      <c r="I42" s="9">
        <f>August!I42+H42</f>
        <v>0</v>
      </c>
    </row>
    <row r="43" spans="1:9" s="5" customFormat="1" ht="18" customHeight="1">
      <c r="A43" s="9" t="s">
        <v>46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</row>
    <row r="44" spans="1:9" s="5" customFormat="1" ht="18" customHeight="1">
      <c r="A44" s="9" t="s">
        <v>47</v>
      </c>
      <c r="B44" s="13">
        <f>107+91+88+81+66+287+88+76+112+301+201+76+93+106+179+103+90+77+119+96+91+91+240+76+91+400+198+91+80+80+105+89+100+197+92+106+78+94+106+98+93+99+78+74+104+75+82</f>
        <v>5545</v>
      </c>
      <c r="C44" s="9">
        <f>August!C44+B44</f>
        <v>12642</v>
      </c>
      <c r="D44" s="15"/>
      <c r="E44" s="9">
        <f>August!E44+D44</f>
        <v>0</v>
      </c>
      <c r="F44" s="17">
        <f>29+29+68</f>
        <v>126</v>
      </c>
      <c r="G44" s="9">
        <f>August!G44+F44</f>
        <v>126</v>
      </c>
      <c r="H44" s="19"/>
      <c r="I44" s="9">
        <f>August!I44+H44</f>
        <v>0</v>
      </c>
    </row>
    <row r="45" spans="1:9" s="5" customFormat="1" ht="18" customHeight="1">
      <c r="A45" s="9" t="s">
        <v>48</v>
      </c>
      <c r="B45" s="13">
        <f>20+6+2+59+132+125+2+9+6+89+60+50+299+64+188+64+3+127+256+11+63+79+136+9+23+48+70+1+58+58+170+13+156+70+79+270+21+204+61+77+154+157+53+71+13+1+153+145+69+66+216+137+145+185+5+17+5+394+61+66+500+10+23+5+35+73+5+73+74+60+57+31+192+167+11+16+39+9+30+2+11+26+54+65+13+89+16+8+36+18+41+72+70+18+14+69+54+80+51+3+16+20+24+5+12+33+34+47+40+100+29+19+52+51+27+20+20+27+20+9+5+62+78+67+77+190+152+58+62+64+70+249+71+55+75+180+51+100+89+189+243+137+144+104+114+75+116+65+157+136+75+157+48+60+50+62+60+99+57+65+61+112+70+92+120+71+254+66+85+56+85+67+180+61+69+113+200+65+97+3+155+5+124+9+67+8+68+67+124+65+146+75+72+124+107+46+70+200+200+67+8+90+71+24+54+12+13+80+62+62+60+11+191+64+127+30+50+48+126</f>
        <v>17053</v>
      </c>
      <c r="C45" s="9">
        <f>August!C45+B45</f>
        <v>175046</v>
      </c>
      <c r="D45" s="15">
        <f>7+1+1+3+2+2+2+1+6+3+1</f>
        <v>29</v>
      </c>
      <c r="E45" s="9">
        <f>August!E45+D45</f>
        <v>9901</v>
      </c>
      <c r="F45" s="17">
        <f>2+1+15</f>
        <v>18</v>
      </c>
      <c r="G45" s="9">
        <f>August!G45+F45</f>
        <v>303</v>
      </c>
      <c r="H45" s="19"/>
      <c r="I45" s="9">
        <f>August!I45+H45</f>
        <v>0</v>
      </c>
    </row>
    <row r="46" spans="1:9" s="5" customFormat="1" ht="18" customHeight="1">
      <c r="A46" s="9" t="s">
        <v>49</v>
      </c>
      <c r="B46" s="13">
        <f>39+51+71+79+90+106+85+68+56+14+68+66+112+58+56+56+58+66+78+300+133+133+60+65+130+155+56+56+61+131+140+61+75</f>
        <v>2833</v>
      </c>
      <c r="C46" s="9">
        <f>August!C46+B46</f>
        <v>11040</v>
      </c>
      <c r="D46" s="15"/>
      <c r="E46" s="9">
        <f>August!E46+D46</f>
        <v>267</v>
      </c>
      <c r="F46" s="17"/>
      <c r="G46" s="9">
        <f>August!G46+F46</f>
        <v>81</v>
      </c>
      <c r="H46" s="19"/>
      <c r="I46" s="9">
        <f>August!I46+H46</f>
        <v>0</v>
      </c>
    </row>
    <row r="47" spans="1:9" s="5" customFormat="1" ht="18" customHeight="1">
      <c r="A47" s="9" t="s">
        <v>50</v>
      </c>
      <c r="B47" s="13">
        <f>56+56+56+82+2+273+136+108+108+164+223+125+120+110+188+201</f>
        <v>2008</v>
      </c>
      <c r="C47" s="9">
        <f>August!C47+B47</f>
        <v>13038</v>
      </c>
      <c r="D47" s="15">
        <f>96+22+12+44+14+14+30+8+35+39+58+74+105+105+117+10+30+33+69+58+52+57+73+73+10+39+39+17+33+33+13+219</f>
        <v>1631</v>
      </c>
      <c r="E47" s="9">
        <f>August!E47+D47</f>
        <v>4290</v>
      </c>
      <c r="F47" s="17"/>
      <c r="G47" s="9">
        <f>August!G47+F47</f>
        <v>627</v>
      </c>
      <c r="H47" s="19">
        <f>90</f>
        <v>90</v>
      </c>
      <c r="I47" s="9">
        <f>August!I47+H47</f>
        <v>90</v>
      </c>
    </row>
    <row r="48" spans="1:9" s="5" customFormat="1" ht="18" customHeight="1">
      <c r="A48" s="9" t="s">
        <v>51</v>
      </c>
      <c r="B48" s="13">
        <f>100</f>
        <v>100</v>
      </c>
      <c r="C48" s="9">
        <f>August!C48+B48</f>
        <v>104</v>
      </c>
      <c r="D48" s="15"/>
      <c r="E48" s="9">
        <f>August!E48+D48</f>
        <v>7</v>
      </c>
      <c r="F48" s="17"/>
      <c r="G48" s="9">
        <f>August!G48+F48</f>
        <v>324</v>
      </c>
      <c r="H48" s="19"/>
      <c r="I48" s="9">
        <f>August!I48+H48</f>
        <v>0</v>
      </c>
    </row>
    <row r="49" spans="1:9" s="5" customFormat="1" ht="18" customHeight="1">
      <c r="A49" s="9" t="s">
        <v>52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123</v>
      </c>
      <c r="H49" s="19"/>
      <c r="I49" s="9">
        <f>August!I49+H49</f>
        <v>0</v>
      </c>
    </row>
    <row r="50" spans="1:9" s="5" customFormat="1" ht="18" customHeight="1">
      <c r="A50" s="9" t="s">
        <v>53</v>
      </c>
      <c r="B50" s="13">
        <f>60+198+104+76+110+230+215+63+146+70+88+65+58+66+125+125+140+70+57+60+392+64+88+85+63+80+67+60+1110</f>
        <v>4135</v>
      </c>
      <c r="C50" s="9">
        <f>August!C50+B50</f>
        <v>13407</v>
      </c>
      <c r="D50" s="15"/>
      <c r="E50" s="9">
        <f>August!E50+D50</f>
        <v>62</v>
      </c>
      <c r="F50" s="17"/>
      <c r="G50" s="9">
        <f>August!G50+F50</f>
        <v>0</v>
      </c>
      <c r="H50" s="19"/>
      <c r="I50" s="9">
        <f>August!I50+H50</f>
        <v>0</v>
      </c>
    </row>
    <row r="51" spans="1:9" s="5" customFormat="1" ht="18" customHeight="1">
      <c r="A51" s="9" t="s">
        <v>54</v>
      </c>
      <c r="B51" s="13">
        <f>1+1</f>
        <v>2</v>
      </c>
      <c r="C51" s="9">
        <f>August!C51+B51</f>
        <v>1930</v>
      </c>
      <c r="D51" s="15">
        <f>1</f>
        <v>1</v>
      </c>
      <c r="E51" s="9">
        <f>August!E51+D51</f>
        <v>18</v>
      </c>
      <c r="F51" s="17"/>
      <c r="G51" s="9">
        <f>August!G51+F51</f>
        <v>466</v>
      </c>
      <c r="H51" s="19"/>
      <c r="I51" s="9">
        <f>August!I51+H51</f>
        <v>0</v>
      </c>
    </row>
    <row r="52" spans="1:9" s="5" customFormat="1" ht="18" customHeight="1">
      <c r="A52" s="9" t="s">
        <v>55</v>
      </c>
      <c r="B52" s="13">
        <f>55+55+55+23+97+67+67+52+52+58+60+60+66+64+62+99+69+78+65+35+35+28+58+95+122+57+40+60+71+55+70+115</f>
        <v>2045</v>
      </c>
      <c r="C52" s="9">
        <f>August!C52+B52</f>
        <v>6879</v>
      </c>
      <c r="D52" s="15"/>
      <c r="E52" s="9">
        <f>August!E52+D52</f>
        <v>63</v>
      </c>
      <c r="F52" s="17"/>
      <c r="G52" s="9">
        <f>August!G52+F52</f>
        <v>0</v>
      </c>
      <c r="H52" s="19"/>
      <c r="I52" s="9">
        <f>August!I52+H52</f>
        <v>0</v>
      </c>
    </row>
    <row r="53" spans="1:9" s="5" customFormat="1" ht="18" customHeight="1">
      <c r="A53" s="9" t="s">
        <v>56</v>
      </c>
      <c r="B53" s="13">
        <f>65+22+10+17+23+19+54+69+103+2+5+16+55+91+24+15+53+58+4+12+5+212+43+10+206+24+18+204+70+144+11+32+1+1+1+24+30+22+6+104+124+66+88+22+3+21+80+12+11+53+17+14+6+28+98+5+167+2+58+105+109+73+71+3+78+106+15+41+7+124+80+16+50+288+115+161+42</f>
        <v>4244</v>
      </c>
      <c r="C53" s="9">
        <f>August!C53+B53</f>
        <v>29332</v>
      </c>
      <c r="D53" s="15">
        <f>1+1+34+12+16+80+4+2+1+1+1+1+7+25+5+51+3+8+73+11+7+120+16+19+47+3+31+2</f>
        <v>582</v>
      </c>
      <c r="E53" s="9">
        <f>August!E53+D53</f>
        <v>1963</v>
      </c>
      <c r="F53" s="17">
        <f>25+2+3+7+3+2+1+26+47+38+7+8+1+3+17+39+5+50+120+160+80+41+38+4+2+44+25+80+2+16+1</f>
        <v>897</v>
      </c>
      <c r="G53" s="9">
        <f>August!G53+F53</f>
        <v>9147</v>
      </c>
      <c r="H53" s="19"/>
      <c r="I53" s="9">
        <f>August!I53+H53</f>
        <v>0</v>
      </c>
    </row>
    <row r="54" spans="1:9" s="5" customFormat="1" ht="18" customHeight="1" thickBot="1">
      <c r="A54" s="10" t="s">
        <v>57</v>
      </c>
      <c r="B54" s="13">
        <f>67+200+130+440+202+168+300+180+1+38+10+2+1+1+1+330+70+355+349+76+613+611+315+1</f>
        <v>4461</v>
      </c>
      <c r="C54" s="9">
        <f>August!C54+B54</f>
        <v>11964</v>
      </c>
      <c r="D54" s="16">
        <f>1</f>
        <v>1</v>
      </c>
      <c r="E54" s="9">
        <f>August!E54+D54</f>
        <v>1488</v>
      </c>
      <c r="F54" s="17"/>
      <c r="G54" s="9">
        <f>August!G54+F54</f>
        <v>0</v>
      </c>
      <c r="H54" s="19"/>
      <c r="I54" s="9">
        <f>August!I54+H54</f>
        <v>0</v>
      </c>
    </row>
    <row r="55" spans="1:9" s="5" customFormat="1" ht="18" customHeight="1" thickBot="1" thickTop="1">
      <c r="A55" s="11" t="s">
        <v>58</v>
      </c>
      <c r="B55" s="11">
        <f>SUM(B5:B54)</f>
        <v>146553</v>
      </c>
      <c r="C55" s="11"/>
      <c r="D55" s="11">
        <f>SUM(D5:D54)</f>
        <v>4416</v>
      </c>
      <c r="E55" s="11"/>
      <c r="F55" s="11">
        <f>SUM(F5:F54)</f>
        <v>3647</v>
      </c>
      <c r="G55" s="11"/>
      <c r="H55" s="11">
        <f>SUM(H5:H54)</f>
        <v>90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August!C57+B55</f>
        <v>773799</v>
      </c>
      <c r="D57" s="11"/>
      <c r="E57" s="11">
        <f>August!E57+D55</f>
        <v>48313</v>
      </c>
      <c r="F57" s="11"/>
      <c r="G57" s="11">
        <f>August!G57+F55</f>
        <v>47133</v>
      </c>
      <c r="H57" s="11"/>
      <c r="I57" s="11">
        <f>August!I57+H55</f>
        <v>541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August!E62+D60</f>
        <v>2482</v>
      </c>
      <c r="G62" s="4">
        <f>August!G62+F60</f>
        <v>13410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Crawford, Karla</cp:lastModifiedBy>
  <cp:lastPrinted>2011-01-10T22:07:14Z</cp:lastPrinted>
  <dcterms:created xsi:type="dcterms:W3CDTF">2010-10-14T14:44:24Z</dcterms:created>
  <dcterms:modified xsi:type="dcterms:W3CDTF">2012-01-11T15:06:30Z</dcterms:modified>
  <cp:category/>
  <cp:version/>
  <cp:contentType/>
  <cp:contentStatus/>
</cp:coreProperties>
</file>