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firstSheet="3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D52" i="10" l="1"/>
  <c r="B46" i="10"/>
  <c r="D44" i="10"/>
  <c r="B44" i="10"/>
  <c r="C66" i="10"/>
  <c r="D39" i="10"/>
  <c r="B39" i="10"/>
  <c r="B36" i="10"/>
  <c r="D30" i="10"/>
  <c r="B30" i="10"/>
  <c r="B29" i="10"/>
  <c r="D26" i="10"/>
  <c r="B26" i="10"/>
  <c r="C62" i="10"/>
  <c r="D25" i="10"/>
  <c r="B19" i="10"/>
  <c r="B18" i="10"/>
  <c r="D17" i="10"/>
  <c r="B17" i="10"/>
  <c r="B15" i="10"/>
  <c r="B11" i="10"/>
  <c r="B44" i="9"/>
  <c r="D38" i="9"/>
  <c r="B36" i="9"/>
  <c r="B30" i="9"/>
  <c r="B29" i="9"/>
  <c r="B28" i="9"/>
  <c r="C62" i="9"/>
  <c r="D26" i="9"/>
  <c r="B26" i="9"/>
  <c r="D25" i="9"/>
  <c r="D19" i="9"/>
  <c r="B19" i="9"/>
  <c r="D18" i="9"/>
  <c r="D17" i="9"/>
  <c r="B17" i="9"/>
  <c r="B18" i="9"/>
  <c r="B15" i="9"/>
  <c r="B19" i="8"/>
  <c r="B19" i="7"/>
  <c r="D53" i="10" l="1"/>
  <c r="B53" i="10"/>
  <c r="B52" i="10"/>
  <c r="D46" i="10"/>
  <c r="C64" i="10"/>
  <c r="B9" i="10" l="1"/>
  <c r="D37" i="10" l="1"/>
  <c r="D19" i="10"/>
  <c r="B37" i="10"/>
  <c r="B7" i="10" l="1"/>
  <c r="B53" i="9" l="1"/>
  <c r="D53" i="9"/>
  <c r="B52" i="9"/>
  <c r="D52" i="9"/>
  <c r="B37" i="9"/>
  <c r="D37" i="9"/>
  <c r="C64" i="9"/>
  <c r="D30" i="9"/>
  <c r="C63" i="9"/>
  <c r="D28" i="9"/>
  <c r="D20" i="9"/>
  <c r="B9" i="9"/>
  <c r="B7" i="9"/>
  <c r="D39" i="7" l="1"/>
  <c r="B39" i="8" l="1"/>
  <c r="B39" i="7"/>
  <c r="B39" i="6"/>
  <c r="D39" i="6"/>
  <c r="B52" i="8" l="1"/>
  <c r="D44" i="8"/>
  <c r="B44" i="8"/>
  <c r="B38" i="8"/>
  <c r="B36" i="8"/>
  <c r="B30" i="8"/>
  <c r="B29" i="8"/>
  <c r="B28" i="8"/>
  <c r="C62" i="8"/>
  <c r="D26" i="8"/>
  <c r="B26" i="8"/>
  <c r="D25" i="8"/>
  <c r="B25" i="8"/>
  <c r="B18" i="8"/>
  <c r="D17" i="8"/>
  <c r="B17" i="8"/>
  <c r="B15" i="8"/>
  <c r="D9" i="8" l="1"/>
  <c r="B53" i="8" l="1"/>
  <c r="D38" i="8"/>
  <c r="D37" i="8"/>
  <c r="B37" i="8"/>
  <c r="D18" i="8"/>
  <c r="B9" i="8"/>
  <c r="B7" i="8"/>
  <c r="D53" i="8" l="1"/>
  <c r="F47" i="8"/>
  <c r="D46" i="8"/>
  <c r="D30" i="8"/>
  <c r="D20" i="8"/>
  <c r="D19" i="8"/>
  <c r="D16" i="8"/>
  <c r="C63" i="8" l="1"/>
  <c r="C64" i="8" l="1"/>
  <c r="B52" i="7" l="1"/>
  <c r="B44" i="7"/>
  <c r="B36" i="7"/>
  <c r="B30" i="7"/>
  <c r="B29" i="7"/>
  <c r="B26" i="7"/>
  <c r="B18" i="7"/>
  <c r="B17" i="7"/>
  <c r="D28" i="7"/>
  <c r="B28" i="7"/>
  <c r="C62" i="7"/>
  <c r="D26" i="7"/>
  <c r="D17" i="7"/>
  <c r="B15" i="7"/>
  <c r="B11" i="7"/>
  <c r="D17" i="6"/>
  <c r="D38" i="7" l="1"/>
  <c r="B53" i="7" l="1"/>
  <c r="D53" i="7"/>
  <c r="D46" i="7"/>
  <c r="D45" i="7"/>
  <c r="D37" i="7"/>
  <c r="B37" i="7"/>
  <c r="D30" i="7"/>
  <c r="C64" i="7"/>
  <c r="C63" i="7"/>
  <c r="D25" i="7"/>
  <c r="D23" i="7"/>
  <c r="D19" i="7" l="1"/>
  <c r="D18" i="7"/>
  <c r="D11" i="7"/>
  <c r="B9" i="7"/>
  <c r="D9" i="7"/>
  <c r="B7" i="7"/>
  <c r="D52" i="6" l="1"/>
  <c r="D44" i="6"/>
  <c r="B44" i="6"/>
  <c r="C66" i="6"/>
  <c r="D30" i="6"/>
  <c r="D38" i="6"/>
  <c r="B30" i="6"/>
  <c r="B36" i="6"/>
  <c r="B29" i="6"/>
  <c r="B28" i="6"/>
  <c r="C62" i="6"/>
  <c r="D26" i="6"/>
  <c r="B26" i="6"/>
  <c r="B25" i="6"/>
  <c r="D19" i="6"/>
  <c r="B19" i="6"/>
  <c r="D18" i="6"/>
  <c r="B18" i="6"/>
  <c r="B17" i="6"/>
  <c r="B15" i="6"/>
  <c r="B11" i="6"/>
  <c r="D10" i="6"/>
  <c r="B53" i="6" l="1"/>
  <c r="B7" i="6" l="1"/>
  <c r="B9" i="6"/>
  <c r="D9" i="6"/>
  <c r="D13" i="6"/>
  <c r="C60" i="6"/>
  <c r="D53" i="6"/>
  <c r="B52" i="6"/>
  <c r="D41" i="6"/>
  <c r="D37" i="6"/>
  <c r="B37" i="6"/>
  <c r="D27" i="6"/>
  <c r="D28" i="6"/>
  <c r="D38" i="5" l="1"/>
  <c r="B39" i="5"/>
  <c r="B36" i="5"/>
  <c r="B30" i="5"/>
  <c r="D28" i="5"/>
  <c r="B28" i="5"/>
  <c r="D26" i="5"/>
  <c r="B26" i="5"/>
  <c r="D25" i="5"/>
  <c r="B25" i="5"/>
  <c r="B18" i="5"/>
  <c r="D17" i="5"/>
  <c r="B17" i="5"/>
  <c r="B15" i="5"/>
  <c r="B11" i="5"/>
  <c r="C62" i="5"/>
  <c r="B52" i="5" l="1"/>
  <c r="C63" i="5" l="1"/>
  <c r="D53" i="5"/>
  <c r="B53" i="5"/>
  <c r="B37" i="5"/>
  <c r="D37" i="5"/>
  <c r="C64" i="5"/>
  <c r="D30" i="5"/>
  <c r="D20" i="5" l="1"/>
  <c r="D19" i="5"/>
  <c r="B19" i="5"/>
  <c r="D18" i="5"/>
  <c r="D16" i="5"/>
  <c r="D9" i="5"/>
  <c r="B9" i="5"/>
  <c r="B7" i="5"/>
  <c r="D52" i="4" l="1"/>
  <c r="D44" i="4"/>
  <c r="B44" i="4"/>
  <c r="B39" i="4"/>
  <c r="B37" i="4"/>
  <c r="B36" i="4"/>
  <c r="B30" i="4"/>
  <c r="B29" i="4"/>
  <c r="B28" i="4"/>
  <c r="C62" i="4"/>
  <c r="D26" i="4"/>
  <c r="B26" i="4"/>
  <c r="D25" i="4"/>
  <c r="B19" i="4"/>
  <c r="B18" i="4"/>
  <c r="D17" i="4"/>
  <c r="B17" i="4"/>
  <c r="B15" i="4"/>
  <c r="B11" i="4"/>
  <c r="D28" i="4" l="1"/>
  <c r="C60" i="4" l="1"/>
  <c r="B53" i="4" l="1"/>
  <c r="D53" i="4"/>
  <c r="B52" i="4"/>
  <c r="D46" i="4"/>
  <c r="C66" i="4"/>
  <c r="D41" i="4"/>
  <c r="D37" i="4"/>
  <c r="D30" i="4"/>
  <c r="C64" i="4"/>
  <c r="C63" i="4"/>
  <c r="D19" i="4"/>
  <c r="D18" i="4"/>
  <c r="B10" i="4" l="1"/>
  <c r="B9" i="4"/>
  <c r="D9" i="4"/>
  <c r="B7" i="4"/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G10" i="1"/>
  <c r="C11" i="1"/>
  <c r="C11" i="2" s="1"/>
  <c r="E11" i="1"/>
  <c r="G11" i="1"/>
  <c r="G11" i="2"/>
  <c r="C12" i="1"/>
  <c r="E12" i="1"/>
  <c r="E12" i="2" s="1"/>
  <c r="G12" i="1"/>
  <c r="C13" i="1"/>
  <c r="C13" i="2" s="1"/>
  <c r="C13" i="3" s="1"/>
  <c r="C13" i="4" s="1"/>
  <c r="E13" i="1"/>
  <c r="G13" i="1"/>
  <c r="G13" i="2" s="1"/>
  <c r="C14" i="1"/>
  <c r="E14" i="1"/>
  <c r="E14" i="2"/>
  <c r="G14" i="1"/>
  <c r="E15" i="1"/>
  <c r="E15" i="2" s="1"/>
  <c r="G15" i="1"/>
  <c r="E16" i="1"/>
  <c r="E16" i="2" s="1"/>
  <c r="E16" i="3" s="1"/>
  <c r="E16" i="4" s="1"/>
  <c r="E16" i="5" s="1"/>
  <c r="E16" i="6" s="1"/>
  <c r="E16" i="7" s="1"/>
  <c r="E16" i="8" s="1"/>
  <c r="E16" i="9" s="1"/>
  <c r="E16" i="10" s="1"/>
  <c r="G16" i="1"/>
  <c r="E17" i="1"/>
  <c r="E17" i="2" s="1"/>
  <c r="G17" i="1"/>
  <c r="C18" i="1"/>
  <c r="C18" i="2" s="1"/>
  <c r="C18" i="3" s="1"/>
  <c r="C18" i="4" s="1"/>
  <c r="C18" i="5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 s="1"/>
  <c r="C22" i="3" s="1"/>
  <c r="C22" i="4" s="1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 s="1"/>
  <c r="G24" i="3" s="1"/>
  <c r="G24" i="4" s="1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 s="1"/>
  <c r="E29" i="3" s="1"/>
  <c r="E29" i="4" s="1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 s="1"/>
  <c r="C32" i="3" s="1"/>
  <c r="C32" i="4" s="1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 s="1"/>
  <c r="G34" i="3" s="1"/>
  <c r="G34" i="4" s="1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 s="1"/>
  <c r="E40" i="1"/>
  <c r="E40" i="2" s="1"/>
  <c r="G40" i="1"/>
  <c r="G40" i="2" s="1"/>
  <c r="G40" i="3" s="1"/>
  <c r="G40" i="4" s="1"/>
  <c r="C41" i="1"/>
  <c r="C41" i="2" s="1"/>
  <c r="E41" i="1"/>
  <c r="E41" i="2"/>
  <c r="E41" i="3" s="1"/>
  <c r="E41" i="4" s="1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 s="1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 s="1"/>
  <c r="E21" i="5" s="1"/>
  <c r="E21" i="6" s="1"/>
  <c r="E21" i="7" s="1"/>
  <c r="E21" i="8" s="1"/>
  <c r="E21" i="9" s="1"/>
  <c r="E21" i="10" s="1"/>
  <c r="E45" i="3"/>
  <c r="E45" i="4" s="1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 s="1"/>
  <c r="D58" i="3" s="1"/>
  <c r="D58" i="4" s="1"/>
  <c r="D59" i="1"/>
  <c r="D59" i="2" s="1"/>
  <c r="D59" i="3" s="1"/>
  <c r="D59" i="4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5" i="1"/>
  <c r="D65" i="2" s="1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9" i="3"/>
  <c r="G9" i="4" s="1"/>
  <c r="C10" i="3"/>
  <c r="C10" i="4" s="1"/>
  <c r="C10" i="5" s="1"/>
  <c r="C10" i="6" s="1"/>
  <c r="C10" i="7" s="1"/>
  <c r="C10" i="8" s="1"/>
  <c r="C10" i="9" s="1"/>
  <c r="C10" i="10" s="1"/>
  <c r="C10" i="11" s="1"/>
  <c r="C10" i="12" s="1"/>
  <c r="G10" i="3"/>
  <c r="G10" i="4" s="1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 s="1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 s="1"/>
  <c r="G27" i="3"/>
  <c r="G27" i="4" s="1"/>
  <c r="E28" i="3"/>
  <c r="E28" i="4" s="1"/>
  <c r="E28" i="5" s="1"/>
  <c r="E28" i="6" s="1"/>
  <c r="E28" i="7" s="1"/>
  <c r="E28" i="8" s="1"/>
  <c r="E28" i="9" s="1"/>
  <c r="E28" i="10" s="1"/>
  <c r="E28" i="11" s="1"/>
  <c r="E28" i="12" s="1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 s="1"/>
  <c r="C31" i="3"/>
  <c r="C31" i="4" s="1"/>
  <c r="E31" i="3"/>
  <c r="E31" i="4" s="1"/>
  <c r="G31" i="3"/>
  <c r="G31" i="4" s="1"/>
  <c r="E32" i="3"/>
  <c r="E32" i="4" s="1"/>
  <c r="G32" i="3"/>
  <c r="G32" i="4" s="1"/>
  <c r="C33" i="3"/>
  <c r="C33" i="4" s="1"/>
  <c r="E33" i="3"/>
  <c r="E33" i="4" s="1"/>
  <c r="G33" i="3"/>
  <c r="G33" i="4" s="1"/>
  <c r="C34" i="3"/>
  <c r="C34" i="4" s="1"/>
  <c r="E34" i="3"/>
  <c r="E34" i="4" s="1"/>
  <c r="C35" i="3"/>
  <c r="C35" i="4" s="1"/>
  <c r="E35" i="3"/>
  <c r="E35" i="4" s="1"/>
  <c r="G35" i="3"/>
  <c r="G35" i="4" s="1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 s="1"/>
  <c r="G39" i="3"/>
  <c r="G39" i="4" s="1"/>
  <c r="C40" i="3"/>
  <c r="C40" i="4" s="1"/>
  <c r="E40" i="3"/>
  <c r="E40" i="4" s="1"/>
  <c r="C41" i="3"/>
  <c r="C41" i="4" s="1"/>
  <c r="G41" i="3"/>
  <c r="G41" i="4" s="1"/>
  <c r="E42" i="3"/>
  <c r="E42" i="4" s="1"/>
  <c r="C43" i="3"/>
  <c r="C43" i="4" s="1"/>
  <c r="G43" i="3"/>
  <c r="G43" i="4" s="1"/>
  <c r="G44" i="3"/>
  <c r="G44" i="4" s="1"/>
  <c r="C45" i="3"/>
  <c r="C45" i="4" s="1"/>
  <c r="G45" i="3"/>
  <c r="G45" i="4" s="1"/>
  <c r="E46" i="3"/>
  <c r="E46" i="4" s="1"/>
  <c r="G46" i="3"/>
  <c r="G46" i="4" s="1"/>
  <c r="E47" i="3"/>
  <c r="E47" i="4" s="1"/>
  <c r="G47" i="3"/>
  <c r="G47" i="4" s="1"/>
  <c r="C48" i="3"/>
  <c r="C48" i="4" s="1"/>
  <c r="E48" i="3"/>
  <c r="E48" i="4" s="1"/>
  <c r="G48" i="3"/>
  <c r="G48" i="4" s="1"/>
  <c r="C49" i="3"/>
  <c r="C49" i="4" s="1"/>
  <c r="E49" i="3"/>
  <c r="E49" i="4" s="1"/>
  <c r="G49" i="3"/>
  <c r="G49" i="4" s="1"/>
  <c r="C50" i="3"/>
  <c r="C50" i="4" s="1"/>
  <c r="E50" i="3"/>
  <c r="E50" i="4" s="1"/>
  <c r="G50" i="3"/>
  <c r="G50" i="4" s="1"/>
  <c r="C51" i="3"/>
  <c r="C51" i="4" s="1"/>
  <c r="E51" i="3"/>
  <c r="E51" i="4" s="1"/>
  <c r="G51" i="3"/>
  <c r="G51" i="4" s="1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 s="1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 s="1"/>
  <c r="G53" i="7" s="1"/>
  <c r="G53" i="8" s="1"/>
  <c r="G52" i="5"/>
  <c r="G52" i="6" s="1"/>
  <c r="G52" i="7" s="1"/>
  <c r="G52" i="8" s="1"/>
  <c r="G51" i="5"/>
  <c r="G51" i="6" s="1"/>
  <c r="G51" i="7" s="1"/>
  <c r="G51" i="8" s="1"/>
  <c r="E51" i="5"/>
  <c r="E51" i="6" s="1"/>
  <c r="E51" i="7" s="1"/>
  <c r="E51" i="8" s="1"/>
  <c r="C51" i="5"/>
  <c r="C51" i="6" s="1"/>
  <c r="C51" i="7" s="1"/>
  <c r="C51" i="8" s="1"/>
  <c r="G50" i="5"/>
  <c r="G50" i="6" s="1"/>
  <c r="G50" i="7" s="1"/>
  <c r="G50" i="8" s="1"/>
  <c r="E50" i="5"/>
  <c r="E50" i="6" s="1"/>
  <c r="E50" i="7" s="1"/>
  <c r="E50" i="8" s="1"/>
  <c r="C50" i="5"/>
  <c r="C50" i="6" s="1"/>
  <c r="C50" i="7" s="1"/>
  <c r="C50" i="8" s="1"/>
  <c r="G49" i="5"/>
  <c r="G49" i="6" s="1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 s="1"/>
  <c r="G47" i="7" s="1"/>
  <c r="G47" i="8" s="1"/>
  <c r="G47" i="9" s="1"/>
  <c r="G47" i="10" s="1"/>
  <c r="G47" i="11" s="1"/>
  <c r="G47" i="12" s="1"/>
  <c r="E47" i="5"/>
  <c r="E47" i="6" s="1"/>
  <c r="E47" i="7" s="1"/>
  <c r="E47" i="8" s="1"/>
  <c r="E47" i="9" s="1"/>
  <c r="E47" i="10" s="1"/>
  <c r="E47" i="11" s="1"/>
  <c r="E47" i="12" s="1"/>
  <c r="G46" i="5"/>
  <c r="G46" i="6" s="1"/>
  <c r="G46" i="7" s="1"/>
  <c r="G46" i="8" s="1"/>
  <c r="G46" i="9" s="1"/>
  <c r="G46" i="10" s="1"/>
  <c r="G46" i="11" s="1"/>
  <c r="G46" i="12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E39" i="9" s="1"/>
  <c r="E39" i="10" s="1"/>
  <c r="E39" i="11" s="1"/>
  <c r="E39" i="12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 s="1"/>
  <c r="E35" i="8" s="1"/>
  <c r="E35" i="9" s="1"/>
  <c r="E35" i="10" s="1"/>
  <c r="E35" i="11" s="1"/>
  <c r="E35" i="12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E23" i="9" s="1"/>
  <c r="E23" i="10" s="1"/>
  <c r="E23" i="11" s="1"/>
  <c r="E23" i="12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G20" i="9" s="1"/>
  <c r="G20" i="10" s="1"/>
  <c r="G20" i="11" s="1"/>
  <c r="G20" i="12" s="1"/>
  <c r="C20" i="5"/>
  <c r="C20" i="6" s="1"/>
  <c r="C20" i="7" s="1"/>
  <c r="C20" i="8" s="1"/>
  <c r="G19" i="5"/>
  <c r="G19" i="6" s="1"/>
  <c r="G19" i="7" s="1"/>
  <c r="G19" i="8" s="1"/>
  <c r="G19" i="9" s="1"/>
  <c r="G19" i="10" s="1"/>
  <c r="G19" i="11" s="1"/>
  <c r="G19" i="12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 s="1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 s="1"/>
  <c r="G8" i="7" s="1"/>
  <c r="G8" i="8" s="1"/>
  <c r="G8" i="9" s="1"/>
  <c r="G8" i="10" s="1"/>
  <c r="G8" i="11" s="1"/>
  <c r="G8" i="12" s="1"/>
  <c r="B55" i="12"/>
  <c r="D55" i="12"/>
  <c r="F55" i="12"/>
  <c r="E8" i="11"/>
  <c r="E8" i="12" s="1"/>
  <c r="E7" i="11"/>
  <c r="E7" i="12" s="1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 s="1"/>
  <c r="C16" i="12" s="1"/>
  <c r="E16" i="11"/>
  <c r="E16" i="12" s="1"/>
  <c r="C20" i="9"/>
  <c r="C20" i="10" s="1"/>
  <c r="C20" i="11" s="1"/>
  <c r="C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 s="1"/>
  <c r="E31" i="9"/>
  <c r="E31" i="10" s="1"/>
  <c r="E31" i="11" s="1"/>
  <c r="E31" i="12" s="1"/>
  <c r="G31" i="9"/>
  <c r="G31" i="10" s="1"/>
  <c r="G31" i="11" s="1"/>
  <c r="G31" i="12" s="1"/>
  <c r="C32" i="9"/>
  <c r="C32" i="10"/>
  <c r="C32" i="11" s="1"/>
  <c r="C32" i="12" s="1"/>
  <c r="E32" i="9"/>
  <c r="E32" i="10"/>
  <c r="E32" i="11" s="1"/>
  <c r="E32" i="12" s="1"/>
  <c r="G32" i="9"/>
  <c r="G32" i="10" s="1"/>
  <c r="G32" i="11" s="1"/>
  <c r="G32" i="12" s="1"/>
  <c r="C33" i="9"/>
  <c r="C33" i="10" s="1"/>
  <c r="C33" i="11" s="1"/>
  <c r="C33" i="12" s="1"/>
  <c r="E33" i="9"/>
  <c r="E33" i="10"/>
  <c r="E33" i="11" s="1"/>
  <c r="E33" i="12" s="1"/>
  <c r="G33" i="9"/>
  <c r="G33" i="10"/>
  <c r="G33" i="11" s="1"/>
  <c r="G33" i="12" s="1"/>
  <c r="C34" i="9"/>
  <c r="C34" i="10" s="1"/>
  <c r="C34" i="11" s="1"/>
  <c r="C34" i="12" s="1"/>
  <c r="E34" i="9"/>
  <c r="E34" i="10" s="1"/>
  <c r="E34" i="11" s="1"/>
  <c r="E34" i="12" s="1"/>
  <c r="G34" i="9"/>
  <c r="G34" i="10"/>
  <c r="G34" i="11" s="1"/>
  <c r="G34" i="12" s="1"/>
  <c r="C35" i="9"/>
  <c r="C35" i="10"/>
  <c r="C35" i="11" s="1"/>
  <c r="C35" i="12" s="1"/>
  <c r="G35" i="9"/>
  <c r="G35" i="10" s="1"/>
  <c r="G35" i="11" s="1"/>
  <c r="G35" i="12" s="1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G39" i="9"/>
  <c r="G39" i="10" s="1"/>
  <c r="G39" i="11" s="1"/>
  <c r="G39" i="12" s="1"/>
  <c r="C40" i="9"/>
  <c r="C40" i="10" s="1"/>
  <c r="C40" i="11" s="1"/>
  <c r="C40" i="12" s="1"/>
  <c r="E40" i="9"/>
  <c r="E40" i="10" s="1"/>
  <c r="E40" i="11" s="1"/>
  <c r="E40" i="12" s="1"/>
  <c r="G40" i="9"/>
  <c r="G40" i="10" s="1"/>
  <c r="G40" i="11" s="1"/>
  <c r="G40" i="12" s="1"/>
  <c r="G41" i="9"/>
  <c r="G41" i="10" s="1"/>
  <c r="G41" i="11" s="1"/>
  <c r="G41" i="12" s="1"/>
  <c r="C42" i="9"/>
  <c r="C42" i="10" s="1"/>
  <c r="C42" i="11" s="1"/>
  <c r="C42" i="12" s="1"/>
  <c r="E42" i="9"/>
  <c r="E42" i="10" s="1"/>
  <c r="E42" i="11" s="1"/>
  <c r="E42" i="12" s="1"/>
  <c r="G42" i="9"/>
  <c r="G42" i="10" s="1"/>
  <c r="G42" i="11" s="1"/>
  <c r="G42" i="12" s="1"/>
  <c r="C43" i="9"/>
  <c r="C43" i="10" s="1"/>
  <c r="C43" i="11" s="1"/>
  <c r="C43" i="12" s="1"/>
  <c r="E43" i="9"/>
  <c r="E43" i="10" s="1"/>
  <c r="E43" i="11" s="1"/>
  <c r="E43" i="12" s="1"/>
  <c r="G43" i="9"/>
  <c r="G43" i="10" s="1"/>
  <c r="G43" i="11" s="1"/>
  <c r="G43" i="12" s="1"/>
  <c r="G44" i="9"/>
  <c r="G44" i="10" s="1"/>
  <c r="G44" i="11" s="1"/>
  <c r="G44" i="12" s="1"/>
  <c r="E45" i="12"/>
  <c r="G45" i="9"/>
  <c r="G45" i="10" s="1"/>
  <c r="G45" i="11" s="1"/>
  <c r="G45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 s="1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18" i="6" l="1"/>
  <c r="C18" i="7" s="1"/>
  <c r="C18" i="8" s="1"/>
  <c r="C18" i="9" s="1"/>
  <c r="C18" i="10" s="1"/>
  <c r="C18" i="11" s="1"/>
  <c r="C18" i="12" s="1"/>
  <c r="C55" i="2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<sst xmlns="http://schemas.openxmlformats.org/spreadsheetml/2006/main" count="901" uniqueCount="84">
  <si>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</si>
  <si>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</si>
  <si>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</si>
  <si>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</si>
  <si>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</si>
  <si>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</si>
  <si>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</si>
  <si>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</si>
  <si>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</si>
  <si>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</si>
  <si>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</si>
  <si>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</si>
  <si>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</si>
  <si>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</si>
  <si>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</si>
  <si>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</si>
  <si>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</si>
  <si>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</si>
  <si>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</si>
  <si>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</si>
  <si>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</si>
  <si>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</si>
  <si>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</si>
  <si>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</si>
  <si>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</si>
  <si>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</si>
  <si>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</si>
  <si>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</si>
  <si>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</si>
  <si>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</si>
  <si>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</si>
  <si>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</si>
  <si>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</si>
  <si>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</si>
  <si>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</si>
  <si>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</si>
  <si>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</si>
  <si>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</si>
  <si>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</si>
  <si>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</si>
  <si>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</si>
  <si>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</si>
  <si>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</si>
  <si>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</si>
  <si>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</si>
  <si>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</si>
  <si>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</si>
  <si>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</si>
  <si>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</si>
  <si>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</si>
  <si>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</si>
  <si>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</si>
  <si>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</si>
  <si>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</si>
  <si>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</si>
  <si>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</si>
  <si>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</si>
  <si>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</si>
  <si>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</si>
  <si>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</si>
  <si>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</si>
  <si>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</si>
  <si>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</si>
  <si>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</si>
  <si>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</si>
  <si>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</si>
  <si>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</si>
  <si>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</si>
  <si>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</si>
  <si>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</si>
  <si>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</si>
  <si>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</si>
  <si>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</si>
  <si>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</si>
  <si>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</si>
  <si>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</si>
  <si>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</si>
  <si>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</si>
  <si>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</si>
  <si>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</si>
  <si>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</si>
  <si>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</si>
  <si>
    <t>KARLA CRAWFORD AND LISA POTTER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</si>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</sst>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7" fontId="9" fillId="8" borderId="5" xfId="0" applyNumberFormat="1" applyFont="1" applyFill="1" applyBorder="1" applyAlignment="1" applyProtection="1">
      <alignment horizontal="center"/>
    </xf>
    <xf numFmtId="37" fontId="9" fillId="9" borderId="5" xfId="0" applyNumberFormat="1" applyFont="1" applyFill="1" applyBorder="1" applyAlignment="1" applyProtection="1">
      <alignment horizontal="center"/>
    </xf>
    <xf numFmtId="37" fontId="9" fillId="10" borderId="5" xfId="0" applyNumberFormat="1" applyFont="1" applyFill="1" applyBorder="1" applyAlignment="1" applyProtection="1">
      <alignment horizontal="center"/>
    </xf>
    <xf numFmtId="37" fontId="0" fillId="8" borderId="5" xfId="0" applyNumberFormat="1" applyFill="1" applyBorder="1" applyAlignment="1" applyProtection="1">
      <alignment horizontal="center"/>
    </xf>
    <xf numFmtId="37" fontId="14" fillId="8" borderId="5" xfId="0" applyNumberFormat="1" applyFont="1" applyFill="1" applyBorder="1" applyAlignment="1" applyProtection="1">
      <alignment horizontal="center"/>
    </xf>
    <xf numFmtId="37" fontId="0" fillId="10" borderId="5" xfId="0" applyNumberFormat="1" applyFill="1" applyBorder="1" applyAlignment="1" applyProtection="1">
      <alignment horizontal="center"/>
    </xf>
    <xf numFmtId="37" fontId="14" fillId="10" borderId="5" xfId="0" applyNumberFormat="1" applyFont="1" applyFill="1" applyBorder="1" applyAlignment="1" applyProtection="1">
      <alignment horizontal="center"/>
    </xf>
    <xf numFmtId="37" fontId="10" fillId="10" borderId="5" xfId="0" applyNumberFormat="1" applyFont="1" applyFill="1" applyBorder="1" applyAlignment="1" applyProtection="1">
      <alignment horizontal="center"/>
    </xf>
    <xf numFmtId="37" fontId="10" fillId="8" borderId="5" xfId="0" applyNumberFormat="1" applyFont="1" applyFill="1" applyBorder="1" applyAlignment="1" applyProtection="1">
      <alignment horizontal="center"/>
    </xf>
    <xf numFmtId="37" fontId="17" fillId="10" borderId="5" xfId="0" applyNumberFormat="1" applyFont="1" applyFill="1" applyBorder="1" applyAlignment="1" applyProtection="1">
      <alignment horizontal="center"/>
    </xf>
    <xf numFmtId="37" fontId="23" fillId="10" borderId="5" xfId="0" applyNumberFormat="1" applyFont="1" applyFill="1" applyBorder="1" applyAlignment="1" applyProtection="1">
      <alignment horizontal="center"/>
    </xf>
    <xf numFmtId="37" fontId="23" fillId="8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24" sqref="A24"/>
    </sheetView>
  </sheetViews>
  <sheetFormatPr defaultColWidth="11.77734375" defaultRowHeight="15" x14ac:dyDescent="0.2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95" customHeight="1" x14ac:dyDescent="0.25">
      <c r="I1" s="74"/>
    </row>
    <row r="2" spans="1:256" ht="23.25" x14ac:dyDescent="0.35">
      <c r="A2" s="75" t="s">
        <v>68</v>
      </c>
      <c r="B2" s="76"/>
      <c r="D2" s="76"/>
      <c r="F2" s="77" t="s">
        <v>69</v>
      </c>
      <c r="G2" s="78"/>
      <c r="I2" s="74"/>
    </row>
    <row r="3" spans="1:256" ht="15.75" x14ac:dyDescent="0.25">
      <c r="F3" s="51" t="s">
        <v>67</v>
      </c>
      <c r="I3" s="74"/>
    </row>
    <row r="4" spans="1:256" ht="12.95" customHeight="1" thickBot="1" x14ac:dyDescent="0.3">
      <c r="E4" s="74"/>
      <c r="G4" s="74"/>
      <c r="I4" s="74"/>
    </row>
    <row r="5" spans="1:256" ht="21" customHeight="1" thickBot="1" x14ac:dyDescent="0.3">
      <c r="B5" s="79" t="s">
        <v>1</v>
      </c>
      <c r="C5" s="80"/>
      <c r="D5" s="81" t="s">
        <v>2</v>
      </c>
      <c r="E5" s="80"/>
      <c r="F5" s="81" t="s">
        <v>3</v>
      </c>
      <c r="G5" s="80"/>
    </row>
    <row r="6" spans="1:256" ht="16.5" thickBot="1" x14ac:dyDescent="0.25">
      <c r="A6" s="82" t="s">
        <v>4</v>
      </c>
      <c r="B6" s="83" t="s">
        <v>5</v>
      </c>
      <c r="C6" s="83" t="s">
        <v>6</v>
      </c>
      <c r="D6" s="83" t="s">
        <v>5</v>
      </c>
      <c r="E6" s="83" t="s">
        <v>6</v>
      </c>
      <c r="F6" s="83" t="s">
        <v>5</v>
      </c>
      <c r="G6" s="83" t="s">
        <v>6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x14ac:dyDescent="0.2">
      <c r="A7" s="44" t="s">
        <v>7</v>
      </c>
      <c r="B7" s="72">
        <f>780+415+815+815+800+800+800+800+500+500+800+800+800+800+800+800+800+800+800+650+800+800+310+800+800+490</f>
        <v>18875</v>
      </c>
      <c r="C7" s="25">
        <f t="shared" ref="C7:C54" si="0">B7</f>
        <v>18875</v>
      </c>
      <c r="D7" s="73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4" t="s">
        <v>65</v>
      </c>
      <c r="B8" s="72"/>
      <c r="C8" s="25">
        <f t="shared" si="0"/>
        <v>0</v>
      </c>
      <c r="D8" s="73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8</v>
      </c>
      <c r="B9" s="72">
        <f>552+590+700+500+800+450+500+750+1050+1050+1100+1100+300+750+1050+1050+1050+1100</f>
        <v>14442</v>
      </c>
      <c r="C9" s="25">
        <f t="shared" si="0"/>
        <v>14442</v>
      </c>
      <c r="D9" s="73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4" t="s">
        <v>9</v>
      </c>
      <c r="B10" s="72"/>
      <c r="C10" s="25">
        <f t="shared" si="0"/>
        <v>0</v>
      </c>
      <c r="D10" s="73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4" t="s">
        <v>10</v>
      </c>
      <c r="B11" s="72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3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4" t="s">
        <v>11</v>
      </c>
      <c r="B12" s="72"/>
      <c r="C12" s="25">
        <f t="shared" si="0"/>
        <v>0</v>
      </c>
      <c r="D12" s="73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4" t="s">
        <v>12</v>
      </c>
      <c r="B13" s="72"/>
      <c r="C13" s="25">
        <f t="shared" si="0"/>
        <v>0</v>
      </c>
      <c r="D13" s="73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13</v>
      </c>
      <c r="B14" s="72"/>
      <c r="C14" s="25">
        <f t="shared" si="0"/>
        <v>0</v>
      </c>
      <c r="D14" s="73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14</v>
      </c>
      <c r="B15" s="72">
        <f>1110+2220+1110+800+800</f>
        <v>6040</v>
      </c>
      <c r="C15" s="25">
        <f t="shared" si="0"/>
        <v>6040</v>
      </c>
      <c r="D15" s="73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15</v>
      </c>
      <c r="B16" s="72"/>
      <c r="C16" s="25">
        <f t="shared" si="0"/>
        <v>0</v>
      </c>
      <c r="D16" s="73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4" t="s">
        <v>16</v>
      </c>
      <c r="B17" s="72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3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4" t="s">
        <v>17</v>
      </c>
      <c r="B18" s="72">
        <f>600+500+580+650+250+250+50+320+50+250+250+8512</f>
        <v>12262</v>
      </c>
      <c r="C18" s="25">
        <f t="shared" si="0"/>
        <v>12262</v>
      </c>
      <c r="D18" s="73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4" t="s">
        <v>18</v>
      </c>
      <c r="B19" s="72">
        <f>256+2000+800+1100+1100+900+400+1100+1350+388+1450+10430</f>
        <v>21274</v>
      </c>
      <c r="C19" s="25">
        <f t="shared" si="0"/>
        <v>21274</v>
      </c>
      <c r="D19" s="73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4" t="s">
        <v>19</v>
      </c>
      <c r="B20" s="72"/>
      <c r="C20" s="25">
        <f t="shared" si="0"/>
        <v>0</v>
      </c>
      <c r="D20" s="73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4" t="s">
        <v>20</v>
      </c>
      <c r="B21" s="72"/>
      <c r="C21" s="25">
        <f t="shared" si="0"/>
        <v>0</v>
      </c>
      <c r="D21" s="73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4" t="s">
        <v>21</v>
      </c>
      <c r="B22" s="72"/>
      <c r="C22" s="25">
        <f t="shared" si="0"/>
        <v>0</v>
      </c>
      <c r="D22" s="73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4" t="s">
        <v>22</v>
      </c>
      <c r="B23" s="72"/>
      <c r="C23" s="25">
        <f t="shared" si="0"/>
        <v>0</v>
      </c>
      <c r="D23" s="73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4" t="s">
        <v>23</v>
      </c>
      <c r="B24" s="72"/>
      <c r="C24" s="25">
        <f t="shared" si="0"/>
        <v>0</v>
      </c>
      <c r="D24" s="73"/>
      <c r="E24" s="25">
        <f t="shared" si="1"/>
        <v>0</v>
      </c>
      <c r="F24" s="25"/>
      <c r="G24" s="25">
        <f t="shared" si="2"/>
        <v>0</v>
      </c>
      <c r="I24" s="51" t="s">
        <v>81</v>
      </c>
    </row>
    <row r="25" spans="1:9" x14ac:dyDescent="0.2">
      <c r="A25" s="44" t="s">
        <v>24</v>
      </c>
      <c r="B25" s="72"/>
      <c r="C25" s="25">
        <f t="shared" si="0"/>
        <v>0</v>
      </c>
      <c r="D25" s="73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4" t="s">
        <v>25</v>
      </c>
      <c r="B26" s="72">
        <f>128909+180+85+109870</f>
        <v>239044</v>
      </c>
      <c r="C26" s="25">
        <f t="shared" si="0"/>
        <v>239044</v>
      </c>
      <c r="D26" s="73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4" t="s">
        <v>26</v>
      </c>
      <c r="B27" s="72">
        <f>38425</f>
        <v>38425</v>
      </c>
      <c r="C27" s="25">
        <f t="shared" si="0"/>
        <v>38425</v>
      </c>
      <c r="D27" s="73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4" t="s">
        <v>27</v>
      </c>
      <c r="B28" s="72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3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4" t="s">
        <v>28</v>
      </c>
      <c r="B29" s="72">
        <f>2200</f>
        <v>2200</v>
      </c>
      <c r="C29" s="25">
        <f t="shared" si="0"/>
        <v>2200</v>
      </c>
      <c r="D29" s="73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4" t="s">
        <v>29</v>
      </c>
      <c r="B30" s="72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3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4" t="s">
        <v>30</v>
      </c>
      <c r="B31" s="72"/>
      <c r="C31" s="25">
        <f t="shared" si="0"/>
        <v>0</v>
      </c>
      <c r="D31" s="73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4" t="s">
        <v>31</v>
      </c>
      <c r="B32" s="72"/>
      <c r="C32" s="25">
        <f t="shared" si="0"/>
        <v>0</v>
      </c>
      <c r="D32" s="73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32</v>
      </c>
      <c r="B33" s="72"/>
      <c r="C33" s="25">
        <f t="shared" si="0"/>
        <v>0</v>
      </c>
      <c r="D33" s="73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33</v>
      </c>
      <c r="B34" s="72"/>
      <c r="C34" s="25">
        <f t="shared" si="0"/>
        <v>0</v>
      </c>
      <c r="D34" s="73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34</v>
      </c>
      <c r="B35" s="72"/>
      <c r="C35" s="25">
        <f t="shared" si="0"/>
        <v>0</v>
      </c>
      <c r="D35" s="73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35</v>
      </c>
      <c r="B36" s="72">
        <f>800+800+800+850+650+725+725+800+650+144279</f>
        <v>151079</v>
      </c>
      <c r="C36" s="25">
        <f t="shared" si="0"/>
        <v>151079</v>
      </c>
      <c r="D36" s="73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36</v>
      </c>
      <c r="B37" s="72">
        <f>2500+2230+2500+2225+1250+1100+1250+1700+1700+1700+1700+2500+2500+2000+1700+2190+2500+2500+2500+2220+1150+2075+125</f>
        <v>43815</v>
      </c>
      <c r="C37" s="25">
        <f t="shared" si="0"/>
        <v>43815</v>
      </c>
      <c r="D37" s="73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4" t="s">
        <v>37</v>
      </c>
      <c r="B38" s="72">
        <f>5875</f>
        <v>5875</v>
      </c>
      <c r="C38" s="25">
        <f t="shared" si="0"/>
        <v>5875</v>
      </c>
      <c r="D38" s="73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4" t="s">
        <v>38</v>
      </c>
      <c r="B39" s="72">
        <f>4230+3900+4230+750+1898+2417+3750+720+145170</f>
        <v>167065</v>
      </c>
      <c r="C39" s="25">
        <f t="shared" si="0"/>
        <v>167065</v>
      </c>
      <c r="D39" s="73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4" t="s">
        <v>39</v>
      </c>
      <c r="B40" s="72"/>
      <c r="C40" s="25">
        <f t="shared" si="0"/>
        <v>0</v>
      </c>
      <c r="D40" s="73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4" t="s">
        <v>40</v>
      </c>
      <c r="B41" s="72"/>
      <c r="C41" s="25">
        <f t="shared" si="0"/>
        <v>0</v>
      </c>
      <c r="D41" s="73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41</v>
      </c>
      <c r="B42" s="72"/>
      <c r="C42" s="25">
        <f t="shared" si="0"/>
        <v>0</v>
      </c>
      <c r="D42" s="73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42</v>
      </c>
      <c r="B43" s="72"/>
      <c r="C43" s="25">
        <f t="shared" si="0"/>
        <v>0</v>
      </c>
      <c r="D43" s="73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43</v>
      </c>
      <c r="B44" s="85">
        <f>17425+660+300+350+630+630+630+630+630+630+1000+550+550+550+650+62</f>
        <v>25877</v>
      </c>
      <c r="C44" s="25">
        <f t="shared" si="0"/>
        <v>25877</v>
      </c>
      <c r="D44" s="73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4" t="s">
        <v>44</v>
      </c>
      <c r="B45" s="72"/>
      <c r="C45" s="25">
        <f t="shared" si="0"/>
        <v>0</v>
      </c>
      <c r="D45" s="73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4" t="s">
        <v>45</v>
      </c>
      <c r="B46" s="72">
        <f>21064</f>
        <v>21064</v>
      </c>
      <c r="C46" s="25">
        <f t="shared" si="0"/>
        <v>21064</v>
      </c>
      <c r="D46" s="73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46</v>
      </c>
      <c r="B47" s="72">
        <f>2168+2225+2152+2150+2159+2200+2096+2176+2171+2148+2199+2183+2146</f>
        <v>28173</v>
      </c>
      <c r="C47" s="25">
        <f t="shared" si="0"/>
        <v>28173</v>
      </c>
      <c r="D47" s="73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4" t="s">
        <v>47</v>
      </c>
      <c r="B48" s="72"/>
      <c r="C48" s="25">
        <f t="shared" si="0"/>
        <v>0</v>
      </c>
      <c r="D48" s="73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48</v>
      </c>
      <c r="B49" s="72"/>
      <c r="C49" s="25">
        <f t="shared" si="0"/>
        <v>0</v>
      </c>
      <c r="D49" s="73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49</v>
      </c>
      <c r="B50" s="72"/>
      <c r="C50" s="25">
        <f t="shared" si="0"/>
        <v>0</v>
      </c>
      <c r="D50" s="73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50</v>
      </c>
      <c r="B51" s="72"/>
      <c r="C51" s="25">
        <f t="shared" si="0"/>
        <v>0</v>
      </c>
      <c r="D51" s="73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51</v>
      </c>
      <c r="B52" s="72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3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4" t="s">
        <v>52</v>
      </c>
      <c r="B53" s="72">
        <f>2439+113+1930+1830+2360+1480+890+250+1250+1060+1780+2360+660+1585+775+381+1770+209+2360+1870+1730</f>
        <v>29082</v>
      </c>
      <c r="C53" s="25">
        <f t="shared" si="0"/>
        <v>29082</v>
      </c>
      <c r="D53" s="73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5" t="s">
        <v>53</v>
      </c>
      <c r="B54" s="72">
        <f>260472</f>
        <v>260472</v>
      </c>
      <c r="C54" s="25">
        <f t="shared" si="0"/>
        <v>260472</v>
      </c>
      <c r="D54" s="73">
        <f>360+31+3</f>
        <v>394</v>
      </c>
      <c r="E54" s="25">
        <f t="shared" si="3"/>
        <v>394</v>
      </c>
      <c r="F54" s="25">
        <v>12745</v>
      </c>
      <c r="G54" s="86">
        <f t="shared" si="2"/>
        <v>12745</v>
      </c>
    </row>
    <row r="55" spans="1:256" ht="25.9" customHeight="1" thickTop="1" thickBot="1" x14ac:dyDescent="0.25">
      <c r="A55" s="46" t="s">
        <v>54</v>
      </c>
      <c r="B55" s="47">
        <f>SUM(B7:B54)</f>
        <v>1991918</v>
      </c>
      <c r="C55" s="47">
        <f>SUM(C7:C54)</f>
        <v>1991918</v>
      </c>
      <c r="D55" s="47">
        <f>SUM(D7:D54)</f>
        <v>27420</v>
      </c>
      <c r="E55" s="48">
        <f t="shared" si="3"/>
        <v>27420</v>
      </c>
      <c r="F55" s="89">
        <f>SUM(F7:F54)</f>
        <v>12751</v>
      </c>
      <c r="G55" s="87">
        <f t="shared" si="2"/>
        <v>12751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ht="18" x14ac:dyDescent="0.25">
      <c r="A56" s="49"/>
      <c r="B56" s="50"/>
      <c r="C56" s="50"/>
      <c r="D56" s="50"/>
      <c r="E56" s="50"/>
    </row>
    <row r="57" spans="1:256" ht="15.75" thickBot="1" x14ac:dyDescent="0.25">
      <c r="A57" s="52" t="s">
        <v>55</v>
      </c>
      <c r="B57" s="50"/>
      <c r="C57" s="53" t="s">
        <v>5</v>
      </c>
      <c r="D57" s="54" t="s">
        <v>6</v>
      </c>
      <c r="E57" s="50"/>
    </row>
    <row r="58" spans="1:256" x14ac:dyDescent="0.2">
      <c r="A58" s="55" t="s">
        <v>56</v>
      </c>
      <c r="B58" s="56"/>
      <c r="C58" s="26"/>
      <c r="D58" s="57">
        <f t="shared" ref="D58:D67" si="4">C58</f>
        <v>0</v>
      </c>
      <c r="E58" s="50"/>
    </row>
    <row r="59" spans="1:256" ht="15.75" x14ac:dyDescent="0.25">
      <c r="A59" s="55" t="s">
        <v>57</v>
      </c>
      <c r="B59" s="26"/>
      <c r="C59" s="26"/>
      <c r="D59" s="57">
        <f t="shared" si="4"/>
        <v>0</v>
      </c>
      <c r="F59" s="74"/>
      <c r="G59" s="74"/>
    </row>
    <row r="60" spans="1:256" ht="15.75" x14ac:dyDescent="0.25">
      <c r="A60" s="55" t="s">
        <v>58</v>
      </c>
      <c r="B60" s="26"/>
      <c r="C60" s="26">
        <f>60+60+80+30</f>
        <v>230</v>
      </c>
      <c r="D60" s="57">
        <f t="shared" si="4"/>
        <v>230</v>
      </c>
      <c r="F60" s="74"/>
      <c r="G60" s="74"/>
    </row>
    <row r="61" spans="1:256" ht="15.75" x14ac:dyDescent="0.25">
      <c r="A61" s="55" t="s">
        <v>59</v>
      </c>
      <c r="B61" s="26"/>
      <c r="C61" s="26"/>
      <c r="D61" s="57">
        <f t="shared" si="4"/>
        <v>0</v>
      </c>
      <c r="F61" s="74"/>
      <c r="G61" s="74"/>
    </row>
    <row r="62" spans="1:256" x14ac:dyDescent="0.2">
      <c r="A62" s="55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7">
        <f>C62</f>
        <v>338342</v>
      </c>
    </row>
    <row r="63" spans="1:256" x14ac:dyDescent="0.2">
      <c r="A63" s="55" t="s">
        <v>66</v>
      </c>
      <c r="B63" s="26"/>
      <c r="C63" s="26">
        <f>170+80+45+100+170+80+16+25+45+170+100+170+20+25+170+170+80+12+40+100+20+80+30+3860</f>
        <v>5778</v>
      </c>
      <c r="D63" s="57">
        <f t="shared" si="4"/>
        <v>5778</v>
      </c>
    </row>
    <row r="64" spans="1:256" x14ac:dyDescent="0.2">
      <c r="A64" s="55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7">
        <f t="shared" si="4"/>
        <v>20447</v>
      </c>
    </row>
    <row r="65" spans="1:4" x14ac:dyDescent="0.2">
      <c r="A65" s="55" t="s">
        <v>61</v>
      </c>
      <c r="C65" s="26"/>
      <c r="D65" s="57">
        <f t="shared" si="4"/>
        <v>0</v>
      </c>
    </row>
    <row r="66" spans="1:4" x14ac:dyDescent="0.2">
      <c r="A66" s="55" t="s">
        <v>62</v>
      </c>
      <c r="C66" s="26">
        <f>150+73+200+210+150+105+105+200+65+180+116+150+136+210+150+150+150+200+12+16+150+136+120+210+150+140+150+116+150+296</f>
        <v>4346</v>
      </c>
      <c r="D66" s="57">
        <f t="shared" si="4"/>
        <v>4346</v>
      </c>
    </row>
    <row r="67" spans="1:4" x14ac:dyDescent="0.2">
      <c r="A67" s="55" t="s">
        <v>63</v>
      </c>
      <c r="C67" s="26">
        <v>1500</v>
      </c>
      <c r="D67" s="57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5" zoomScaleNormal="75" workbookViewId="0">
      <pane ySplit="6" topLeftCell="A31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78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>
        <f>820+152+865+895+1000+30+423</f>
        <v>4185</v>
      </c>
      <c r="C7" s="12">
        <f>September!C7+B7</f>
        <v>100679</v>
      </c>
      <c r="D7" s="65"/>
      <c r="E7" s="12">
        <f>September!E7+D7</f>
        <v>0</v>
      </c>
      <c r="F7" s="66"/>
      <c r="G7" s="12">
        <f>September!G7+F7</f>
        <v>0</v>
      </c>
    </row>
    <row r="8" spans="1:256" x14ac:dyDescent="0.2">
      <c r="A8" s="11" t="s">
        <v>65</v>
      </c>
      <c r="B8" s="67"/>
      <c r="C8" s="12">
        <f>September!C8+B8</f>
        <v>0</v>
      </c>
      <c r="D8" s="65"/>
      <c r="E8" s="12">
        <f>September!E8+D8</f>
        <v>0</v>
      </c>
      <c r="F8" s="66"/>
      <c r="G8" s="12">
        <f>September!G8+F8</f>
        <v>0</v>
      </c>
    </row>
    <row r="9" spans="1:256" x14ac:dyDescent="0.2">
      <c r="A9" s="11" t="s">
        <v>8</v>
      </c>
      <c r="B9" s="67">
        <f>29488+1727+2027+1740+1983+2121+2304+666+469+468+668+666+1050+1050+1100+1100+1100+1100+1100+1100+400</f>
        <v>53427</v>
      </c>
      <c r="C9" s="12">
        <f>September!C9+B9</f>
        <v>265694</v>
      </c>
      <c r="D9" s="65"/>
      <c r="E9" s="12">
        <f>September!E9+D9</f>
        <v>632</v>
      </c>
      <c r="F9" s="66"/>
      <c r="G9" s="12">
        <f>September!G9+F9</f>
        <v>0</v>
      </c>
    </row>
    <row r="10" spans="1:256" x14ac:dyDescent="0.2">
      <c r="A10" s="11" t="s">
        <v>9</v>
      </c>
      <c r="B10" s="67"/>
      <c r="C10" s="12">
        <f>September!C10+B10</f>
        <v>1</v>
      </c>
      <c r="D10" s="65"/>
      <c r="E10" s="12">
        <f>September!E10+D10</f>
        <v>30</v>
      </c>
      <c r="F10" s="66"/>
      <c r="G10" s="12">
        <f>September!G10+F10</f>
        <v>0</v>
      </c>
    </row>
    <row r="11" spans="1:256" x14ac:dyDescent="0.2">
      <c r="A11" s="11" t="s">
        <v>10</v>
      </c>
      <c r="B11" s="67">
        <f>43938+47570</f>
        <v>91508</v>
      </c>
      <c r="C11" s="12">
        <f>September!C11+B11</f>
        <v>942239</v>
      </c>
      <c r="D11" s="65"/>
      <c r="E11" s="12">
        <f>September!E11+D11</f>
        <v>416</v>
      </c>
      <c r="F11" s="66"/>
      <c r="G11" s="12">
        <f>September!G11+F11</f>
        <v>0</v>
      </c>
    </row>
    <row r="12" spans="1:256" x14ac:dyDescent="0.2">
      <c r="A12" s="11" t="s">
        <v>11</v>
      </c>
      <c r="B12" s="67"/>
      <c r="C12" s="12">
        <f>September!C12+B12</f>
        <v>0</v>
      </c>
      <c r="D12" s="65"/>
      <c r="E12" s="12">
        <f>September!E12+D12</f>
        <v>0</v>
      </c>
      <c r="F12" s="66"/>
      <c r="G12" s="12">
        <f>September!G12+F12</f>
        <v>0</v>
      </c>
    </row>
    <row r="13" spans="1:256" x14ac:dyDescent="0.2">
      <c r="A13" s="11" t="s">
        <v>12</v>
      </c>
      <c r="B13" s="67"/>
      <c r="C13" s="12">
        <f>September!C13+B13</f>
        <v>0</v>
      </c>
      <c r="D13" s="65"/>
      <c r="E13" s="12">
        <f>September!E13+D13</f>
        <v>7</v>
      </c>
      <c r="F13" s="66"/>
      <c r="G13" s="12">
        <f>September!G13+F13</f>
        <v>0</v>
      </c>
    </row>
    <row r="14" spans="1:256" x14ac:dyDescent="0.2">
      <c r="A14" s="11" t="s">
        <v>13</v>
      </c>
      <c r="B14" s="67"/>
      <c r="C14" s="12">
        <f>September!C14+B14</f>
        <v>491</v>
      </c>
      <c r="D14" s="65"/>
      <c r="E14" s="12">
        <f>September!E14+D14</f>
        <v>0</v>
      </c>
      <c r="F14" s="66"/>
      <c r="G14" s="12">
        <f>September!G14+F14</f>
        <v>0</v>
      </c>
    </row>
    <row r="15" spans="1:256" x14ac:dyDescent="0.2">
      <c r="A15" s="11" t="s">
        <v>14</v>
      </c>
      <c r="B15" s="67">
        <f>2225+1600</f>
        <v>3825</v>
      </c>
      <c r="C15" s="12">
        <f>September!C15+B15</f>
        <v>57429</v>
      </c>
      <c r="D15" s="65"/>
      <c r="E15" s="12">
        <f>September!E15+D15</f>
        <v>0</v>
      </c>
      <c r="F15" s="66"/>
      <c r="G15" s="12">
        <f>September!G15+F15</f>
        <v>0</v>
      </c>
    </row>
    <row r="16" spans="1:256" x14ac:dyDescent="0.2">
      <c r="A16" s="11" t="s">
        <v>15</v>
      </c>
      <c r="B16" s="67"/>
      <c r="C16" s="12">
        <f>September!C16+B16</f>
        <v>0</v>
      </c>
      <c r="D16" s="65"/>
      <c r="E16" s="12">
        <f>September!E16+D16</f>
        <v>1053</v>
      </c>
      <c r="F16" s="66"/>
      <c r="G16" s="12">
        <f>September!G16+F16</f>
        <v>0</v>
      </c>
    </row>
    <row r="17" spans="1:7" x14ac:dyDescent="0.2">
      <c r="A17" s="11" t="s">
        <v>16</v>
      </c>
      <c r="B17" s="67">
        <f>98194+266124</f>
        <v>364318</v>
      </c>
      <c r="C17" s="12">
        <f>September!C17+B17</f>
        <v>3036572</v>
      </c>
      <c r="D17" s="65">
        <f>234+2996</f>
        <v>3230</v>
      </c>
      <c r="E17" s="12">
        <f>September!E17+D17</f>
        <v>40780</v>
      </c>
      <c r="F17" s="66"/>
      <c r="G17" s="12">
        <f>September!G17+F17</f>
        <v>0</v>
      </c>
    </row>
    <row r="18" spans="1:7" x14ac:dyDescent="0.2">
      <c r="A18" s="11" t="s">
        <v>17</v>
      </c>
      <c r="B18" s="67">
        <f>1230+5380</f>
        <v>6610</v>
      </c>
      <c r="C18" s="12">
        <f>September!C18+B18</f>
        <v>109579</v>
      </c>
      <c r="D18" s="65">
        <v>53</v>
      </c>
      <c r="E18" s="12">
        <f>September!E18+D18</f>
        <v>5553</v>
      </c>
      <c r="F18" s="66"/>
      <c r="G18" s="12">
        <f>September!G18+F18</f>
        <v>0</v>
      </c>
    </row>
    <row r="19" spans="1:7" x14ac:dyDescent="0.2">
      <c r="A19" s="11" t="s">
        <v>18</v>
      </c>
      <c r="B19" s="67">
        <f>4277+9774</f>
        <v>14051</v>
      </c>
      <c r="C19" s="12">
        <f>September!C19+B19</f>
        <v>242843</v>
      </c>
      <c r="D19" s="65">
        <f>11</f>
        <v>11</v>
      </c>
      <c r="E19" s="12">
        <f>September!E19+D19</f>
        <v>5516</v>
      </c>
      <c r="F19" s="66"/>
      <c r="G19" s="12">
        <f>September!G19+F19</f>
        <v>0</v>
      </c>
    </row>
    <row r="20" spans="1:7" x14ac:dyDescent="0.2">
      <c r="A20" s="11" t="s">
        <v>19</v>
      </c>
      <c r="B20" s="67"/>
      <c r="C20" s="12">
        <f>September!C20+B20</f>
        <v>7856</v>
      </c>
      <c r="D20" s="65"/>
      <c r="E20" s="12">
        <f>September!E20+D20</f>
        <v>34</v>
      </c>
      <c r="F20" s="66"/>
      <c r="G20" s="12">
        <f>September!G20+F20</f>
        <v>0</v>
      </c>
    </row>
    <row r="21" spans="1:7" x14ac:dyDescent="0.2">
      <c r="A21" s="11" t="s">
        <v>20</v>
      </c>
      <c r="B21" s="67"/>
      <c r="C21" s="12">
        <f>September!C21+B21</f>
        <v>0</v>
      </c>
      <c r="D21" s="65"/>
      <c r="E21" s="12">
        <f>September!E21+D21</f>
        <v>0</v>
      </c>
      <c r="F21" s="66"/>
      <c r="G21" s="12">
        <f>September!G21+F21</f>
        <v>0</v>
      </c>
    </row>
    <row r="22" spans="1:7" x14ac:dyDescent="0.2">
      <c r="A22" s="11" t="s">
        <v>21</v>
      </c>
      <c r="B22" s="67"/>
      <c r="C22" s="12">
        <f>September!C22+B22</f>
        <v>0</v>
      </c>
      <c r="D22" s="65"/>
      <c r="E22" s="12">
        <f>September!E22+D22</f>
        <v>0</v>
      </c>
      <c r="F22" s="66"/>
      <c r="G22" s="12">
        <f>September!G22+F22</f>
        <v>0</v>
      </c>
    </row>
    <row r="23" spans="1:7" x14ac:dyDescent="0.2">
      <c r="A23" s="11" t="s">
        <v>22</v>
      </c>
      <c r="B23" s="67"/>
      <c r="C23" s="12">
        <f>September!C23+B23</f>
        <v>0</v>
      </c>
      <c r="D23" s="65"/>
      <c r="E23" s="12">
        <f>September!E23+D23</f>
        <v>15</v>
      </c>
      <c r="F23" s="66"/>
      <c r="G23" s="12">
        <f>September!G23+F23</f>
        <v>0</v>
      </c>
    </row>
    <row r="24" spans="1:7" x14ac:dyDescent="0.2">
      <c r="A24" s="11" t="s">
        <v>23</v>
      </c>
      <c r="B24" s="67"/>
      <c r="C24" s="12">
        <f>September!C24+B24</f>
        <v>0</v>
      </c>
      <c r="D24" s="65"/>
      <c r="E24" s="12">
        <f>September!E24+D24</f>
        <v>0</v>
      </c>
      <c r="F24" s="66"/>
      <c r="G24" s="12">
        <f>September!G24+F24</f>
        <v>0</v>
      </c>
    </row>
    <row r="25" spans="1:7" x14ac:dyDescent="0.2">
      <c r="A25" s="11" t="s">
        <v>24</v>
      </c>
      <c r="B25" s="67"/>
      <c r="C25" s="12">
        <f>September!C25+B25</f>
        <v>7967</v>
      </c>
      <c r="D25" s="65">
        <f>449+246</f>
        <v>695</v>
      </c>
      <c r="E25" s="12">
        <f>September!E25+D25</f>
        <v>8774</v>
      </c>
      <c r="F25" s="66"/>
      <c r="G25" s="12">
        <f>September!G25+F25</f>
        <v>0</v>
      </c>
    </row>
    <row r="26" spans="1:7" x14ac:dyDescent="0.2">
      <c r="A26" s="11" t="s">
        <v>25</v>
      </c>
      <c r="B26" s="67">
        <f>84808+147843</f>
        <v>232651</v>
      </c>
      <c r="C26" s="12">
        <f>September!C26+B26</f>
        <v>2511740</v>
      </c>
      <c r="D26" s="65">
        <f>640+1169</f>
        <v>1809</v>
      </c>
      <c r="E26" s="12">
        <f>September!E26+D26</f>
        <v>25332</v>
      </c>
      <c r="F26" s="66"/>
      <c r="G26" s="12">
        <f>September!G26+F26</f>
        <v>0</v>
      </c>
    </row>
    <row r="27" spans="1:7" x14ac:dyDescent="0.2">
      <c r="A27" s="11" t="s">
        <v>26</v>
      </c>
      <c r="B27" s="67">
        <v>32925</v>
      </c>
      <c r="C27" s="12">
        <f>September!C27+B27</f>
        <v>292675</v>
      </c>
      <c r="D27" s="65"/>
      <c r="E27" s="12">
        <f>September!E27+D27</f>
        <v>1</v>
      </c>
      <c r="F27" s="66"/>
      <c r="G27" s="12">
        <f>September!G27+F27</f>
        <v>0</v>
      </c>
    </row>
    <row r="28" spans="1:7" x14ac:dyDescent="0.2">
      <c r="A28" s="11" t="s">
        <v>27</v>
      </c>
      <c r="B28" s="67">
        <v>162934</v>
      </c>
      <c r="C28" s="12">
        <f>September!C28+B28</f>
        <v>3044389</v>
      </c>
      <c r="D28" s="65"/>
      <c r="E28" s="12">
        <f>September!E28+D28</f>
        <v>8443</v>
      </c>
      <c r="F28" s="66"/>
      <c r="G28" s="12">
        <f>September!G28+F28</f>
        <v>24</v>
      </c>
    </row>
    <row r="29" spans="1:7" x14ac:dyDescent="0.2">
      <c r="A29" s="11" t="s">
        <v>28</v>
      </c>
      <c r="B29" s="67">
        <f>3000+1500+2200</f>
        <v>6700</v>
      </c>
      <c r="C29" s="12">
        <f>September!C29+B29</f>
        <v>48650</v>
      </c>
      <c r="D29" s="65"/>
      <c r="E29" s="12">
        <f>September!E29+D29</f>
        <v>0</v>
      </c>
      <c r="F29" s="66"/>
      <c r="G29" s="12">
        <f>September!G29+F29</f>
        <v>0</v>
      </c>
    </row>
    <row r="30" spans="1:7" x14ac:dyDescent="0.2">
      <c r="A30" s="11" t="s">
        <v>29</v>
      </c>
      <c r="B30" s="67">
        <f>41120+12+115130</f>
        <v>156262</v>
      </c>
      <c r="C30" s="12">
        <f>September!C30+B30</f>
        <v>1533608</v>
      </c>
      <c r="D30" s="65">
        <f>1453+2</f>
        <v>1455</v>
      </c>
      <c r="E30" s="12">
        <f>September!E30+D30</f>
        <v>18576</v>
      </c>
      <c r="F30" s="66"/>
      <c r="G30" s="12">
        <f>September!G30+F30</f>
        <v>0</v>
      </c>
    </row>
    <row r="31" spans="1:7" x14ac:dyDescent="0.2">
      <c r="A31" s="11" t="s">
        <v>30</v>
      </c>
      <c r="B31" s="67"/>
      <c r="C31" s="12">
        <f>September!C31+B31</f>
        <v>0</v>
      </c>
      <c r="D31" s="65"/>
      <c r="E31" s="12">
        <f>September!E31+D31</f>
        <v>0</v>
      </c>
      <c r="F31" s="66"/>
      <c r="G31" s="12">
        <f>September!G31+F31</f>
        <v>0</v>
      </c>
    </row>
    <row r="32" spans="1:7" x14ac:dyDescent="0.2">
      <c r="A32" s="11" t="s">
        <v>31</v>
      </c>
      <c r="B32" s="67"/>
      <c r="C32" s="12">
        <f>September!C32+B32</f>
        <v>0</v>
      </c>
      <c r="D32" s="65"/>
      <c r="E32" s="12">
        <f>September!E32+D32</f>
        <v>0</v>
      </c>
      <c r="F32" s="66"/>
      <c r="G32" s="12">
        <f>September!G32+F32</f>
        <v>0</v>
      </c>
    </row>
    <row r="33" spans="1:7" x14ac:dyDescent="0.2">
      <c r="A33" s="11" t="s">
        <v>32</v>
      </c>
      <c r="B33" s="67"/>
      <c r="C33" s="12">
        <f>September!C33+B33</f>
        <v>0</v>
      </c>
      <c r="D33" s="65"/>
      <c r="E33" s="12">
        <f>September!E33+D33</f>
        <v>0</v>
      </c>
      <c r="F33" s="66"/>
      <c r="G33" s="12">
        <f>September!G33+F33</f>
        <v>0</v>
      </c>
    </row>
    <row r="34" spans="1:7" x14ac:dyDescent="0.2">
      <c r="A34" s="11" t="s">
        <v>33</v>
      </c>
      <c r="B34" s="67"/>
      <c r="C34" s="12">
        <f>September!C34+B34</f>
        <v>0</v>
      </c>
      <c r="D34" s="65"/>
      <c r="E34" s="12">
        <f>September!E34+D34</f>
        <v>0</v>
      </c>
      <c r="F34" s="66"/>
      <c r="G34" s="12">
        <f>September!G34+F34</f>
        <v>0</v>
      </c>
    </row>
    <row r="35" spans="1:7" x14ac:dyDescent="0.2">
      <c r="A35" s="11" t="s">
        <v>34</v>
      </c>
      <c r="B35" s="67"/>
      <c r="C35" s="12">
        <f>September!C35+B35</f>
        <v>0</v>
      </c>
      <c r="D35" s="65"/>
      <c r="E35" s="12">
        <f>September!E35+D35</f>
        <v>0</v>
      </c>
      <c r="F35" s="66"/>
      <c r="G35" s="12">
        <f>September!G35+F35</f>
        <v>0</v>
      </c>
    </row>
    <row r="36" spans="1:7" x14ac:dyDescent="0.2">
      <c r="A36" s="11" t="s">
        <v>35</v>
      </c>
      <c r="B36" s="67">
        <f>7525+118495</f>
        <v>126020</v>
      </c>
      <c r="C36" s="12">
        <f>September!C36+B36</f>
        <v>1261945</v>
      </c>
      <c r="D36" s="65"/>
      <c r="E36" s="12">
        <f>September!E36+D36</f>
        <v>0</v>
      </c>
      <c r="F36" s="66"/>
      <c r="G36" s="12">
        <f>September!G36+F36</f>
        <v>0</v>
      </c>
    </row>
    <row r="37" spans="1:7" x14ac:dyDescent="0.2">
      <c r="A37" s="11" t="s">
        <v>36</v>
      </c>
      <c r="B37" s="67">
        <f>48875</f>
        <v>48875</v>
      </c>
      <c r="C37" s="12">
        <f>September!C37+B37</f>
        <v>278258</v>
      </c>
      <c r="D37" s="65">
        <f>790</f>
        <v>790</v>
      </c>
      <c r="E37" s="12">
        <f>September!E37+D37</f>
        <v>13966</v>
      </c>
      <c r="F37" s="66"/>
      <c r="G37" s="12">
        <f>September!G37+F37</f>
        <v>0</v>
      </c>
    </row>
    <row r="38" spans="1:7" x14ac:dyDescent="0.2">
      <c r="A38" s="11" t="s">
        <v>37</v>
      </c>
      <c r="B38" s="67">
        <v>9040</v>
      </c>
      <c r="C38" s="12">
        <f>September!C38+B38</f>
        <v>95662</v>
      </c>
      <c r="D38" s="65">
        <v>509</v>
      </c>
      <c r="E38" s="12">
        <f>September!E38+D38</f>
        <v>1654</v>
      </c>
      <c r="F38" s="66"/>
      <c r="G38" s="12">
        <f>September!G38+F38</f>
        <v>0</v>
      </c>
    </row>
    <row r="39" spans="1:7" x14ac:dyDescent="0.2">
      <c r="A39" s="11" t="s">
        <v>38</v>
      </c>
      <c r="B39" s="67">
        <f>550+1600+296+220+1865+1700+2160+1830+1250+1810+2180+1200+2180+1760+1810+2180+1740+2180+229+235+181+2180+875+2180+2070+785+300+600+434+440+300+440+460+300+500+1707+176419</f>
        <v>219146</v>
      </c>
      <c r="C39" s="12">
        <f>September!C39+B39</f>
        <v>2025039</v>
      </c>
      <c r="D39" s="65">
        <f>3+115</f>
        <v>118</v>
      </c>
      <c r="E39" s="12">
        <f>September!E39+D39</f>
        <v>1365</v>
      </c>
      <c r="F39" s="66"/>
      <c r="G39" s="12">
        <f>September!G39+F39</f>
        <v>0</v>
      </c>
    </row>
    <row r="40" spans="1:7" x14ac:dyDescent="0.2">
      <c r="A40" s="11" t="s">
        <v>39</v>
      </c>
      <c r="B40" s="67"/>
      <c r="C40" s="12">
        <f>September!C40+B40</f>
        <v>0</v>
      </c>
      <c r="D40" s="65"/>
      <c r="E40" s="12">
        <f>September!E40+D40</f>
        <v>0</v>
      </c>
      <c r="F40" s="66"/>
      <c r="G40" s="12">
        <f>September!G40+F40</f>
        <v>0</v>
      </c>
    </row>
    <row r="41" spans="1:7" x14ac:dyDescent="0.2">
      <c r="A41" s="11" t="s">
        <v>40</v>
      </c>
      <c r="B41" s="67">
        <v>1012</v>
      </c>
      <c r="C41" s="12">
        <f>September!C41+B41</f>
        <v>3201</v>
      </c>
      <c r="D41" s="65">
        <v>1024</v>
      </c>
      <c r="E41" s="12">
        <f>September!E41+D41</f>
        <v>1949</v>
      </c>
      <c r="F41" s="66"/>
      <c r="G41" s="12">
        <f>September!G41+F41</f>
        <v>0</v>
      </c>
    </row>
    <row r="42" spans="1:7" x14ac:dyDescent="0.2">
      <c r="A42" s="11" t="s">
        <v>41</v>
      </c>
      <c r="B42" s="67"/>
      <c r="C42" s="12">
        <f>September!C42+B42</f>
        <v>0</v>
      </c>
      <c r="D42" s="65"/>
      <c r="E42" s="12">
        <f>September!E42+D42</f>
        <v>0</v>
      </c>
      <c r="F42" s="66"/>
      <c r="G42" s="12">
        <f>September!G42+F42</f>
        <v>0</v>
      </c>
    </row>
    <row r="43" spans="1:7" x14ac:dyDescent="0.2">
      <c r="A43" s="11" t="s">
        <v>42</v>
      </c>
      <c r="B43" s="67"/>
      <c r="C43" s="12">
        <f>September!C43+B43</f>
        <v>0</v>
      </c>
      <c r="D43" s="65"/>
      <c r="E43" s="12">
        <f>September!E43+D43</f>
        <v>0</v>
      </c>
      <c r="F43" s="66"/>
      <c r="G43" s="12">
        <f>September!G43+F43</f>
        <v>0</v>
      </c>
    </row>
    <row r="44" spans="1:7" x14ac:dyDescent="0.2">
      <c r="A44" s="11" t="s">
        <v>43</v>
      </c>
      <c r="B44" s="67">
        <f>639+1300+3000+530+530+530+530+530+530+530+246+284+530+530+530+530+530+130+400+530+600+525+250+640+640+1300+630+630+630+630+630+630+630+630+2573+300+600+555+1390+2400+2400+709+220+400+668+662+26877</f>
        <v>61638</v>
      </c>
      <c r="C44" s="12">
        <f>September!C44+B44</f>
        <v>440944</v>
      </c>
      <c r="D44" s="65">
        <f>371+11+44+376</f>
        <v>802</v>
      </c>
      <c r="E44" s="12">
        <f>September!E44+D44</f>
        <v>6028</v>
      </c>
      <c r="F44" s="66"/>
      <c r="G44" s="12">
        <f>September!G44+F44</f>
        <v>0</v>
      </c>
    </row>
    <row r="45" spans="1:7" x14ac:dyDescent="0.2">
      <c r="A45" s="11" t="s">
        <v>44</v>
      </c>
      <c r="B45" s="67"/>
      <c r="C45" s="12">
        <f>September!C45+B45</f>
        <v>0</v>
      </c>
      <c r="D45" s="65"/>
      <c r="E45" s="12">
        <f>September!E45+D45</f>
        <v>137</v>
      </c>
      <c r="F45" s="66"/>
      <c r="G45" s="12">
        <f>September!G45+F45</f>
        <v>0</v>
      </c>
    </row>
    <row r="46" spans="1:7" x14ac:dyDescent="0.2">
      <c r="A46" s="11" t="s">
        <v>45</v>
      </c>
      <c r="B46" s="67">
        <f>20+1176+1176+1783+32563</f>
        <v>36718</v>
      </c>
      <c r="C46" s="12">
        <f>September!C46+B46</f>
        <v>153445</v>
      </c>
      <c r="D46" s="65">
        <f>1+1+1+1+1+1</f>
        <v>6</v>
      </c>
      <c r="E46" s="12">
        <f>September!E46+D46</f>
        <v>136</v>
      </c>
      <c r="F46" s="66"/>
      <c r="G46" s="12">
        <f>September!G46+F46</f>
        <v>0</v>
      </c>
    </row>
    <row r="47" spans="1:7" x14ac:dyDescent="0.2">
      <c r="A47" s="11" t="s">
        <v>46</v>
      </c>
      <c r="B47" s="67">
        <v>29420</v>
      </c>
      <c r="C47" s="12">
        <f>September!C47+B47</f>
        <v>273776</v>
      </c>
      <c r="D47" s="65"/>
      <c r="E47" s="12">
        <f>September!E47+D47</f>
        <v>2</v>
      </c>
      <c r="F47" s="66"/>
      <c r="G47" s="12">
        <f>September!G47+F47</f>
        <v>135</v>
      </c>
    </row>
    <row r="48" spans="1:7" x14ac:dyDescent="0.2">
      <c r="A48" s="11" t="s">
        <v>47</v>
      </c>
      <c r="B48" s="67"/>
      <c r="C48" s="12">
        <f>September!C48+B48</f>
        <v>0</v>
      </c>
      <c r="D48" s="65"/>
      <c r="E48" s="12">
        <f>September!E48+D48</f>
        <v>0</v>
      </c>
      <c r="F48" s="66"/>
      <c r="G48" s="12">
        <f>September!G48+F48</f>
        <v>0</v>
      </c>
    </row>
    <row r="49" spans="1:256" x14ac:dyDescent="0.2">
      <c r="A49" s="11" t="s">
        <v>48</v>
      </c>
      <c r="B49" s="67"/>
      <c r="C49" s="12">
        <f>September!C49+B49</f>
        <v>0</v>
      </c>
      <c r="D49" s="65"/>
      <c r="E49" s="12">
        <f>September!E49+D49</f>
        <v>0</v>
      </c>
      <c r="F49" s="66"/>
      <c r="G49" s="12">
        <f>September!G49+F49</f>
        <v>0</v>
      </c>
    </row>
    <row r="50" spans="1:256" x14ac:dyDescent="0.2">
      <c r="A50" s="11" t="s">
        <v>49</v>
      </c>
      <c r="B50" s="67"/>
      <c r="C50" s="12">
        <f>September!C50+B50</f>
        <v>0</v>
      </c>
      <c r="D50" s="65"/>
      <c r="E50" s="12">
        <f>September!E50+D50</f>
        <v>0</v>
      </c>
      <c r="F50" s="66"/>
      <c r="G50" s="12">
        <f>September!G50+F50</f>
        <v>0</v>
      </c>
    </row>
    <row r="51" spans="1:256" x14ac:dyDescent="0.2">
      <c r="A51" s="11" t="s">
        <v>50</v>
      </c>
      <c r="B51" s="67"/>
      <c r="C51" s="12">
        <f>September!C51+B51</f>
        <v>0</v>
      </c>
      <c r="D51" s="65"/>
      <c r="E51" s="12">
        <f>September!E51+D51</f>
        <v>0</v>
      </c>
      <c r="F51" s="66"/>
      <c r="G51" s="12">
        <f>September!G51+F51</f>
        <v>0</v>
      </c>
    </row>
    <row r="52" spans="1:256" x14ac:dyDescent="0.2">
      <c r="A52" s="11" t="s">
        <v>51</v>
      </c>
      <c r="B52" s="67">
        <f>180+200+120+200+200+200+120+220+200+80+120+160+200+25+200+200+120+200+200+80+600+2000+1125+2200+500+2200+850+400+400+800+2200+850+2200+300+100+200+280+120+200+200+300+400+725+18+2200+2200+450+450+1+900+900+1125+850+150+200+200</f>
        <v>32019</v>
      </c>
      <c r="C52" s="12">
        <f>September!C52+B52</f>
        <v>192953</v>
      </c>
      <c r="D52" s="65">
        <f>2+10+2+1290</f>
        <v>1304</v>
      </c>
      <c r="E52" s="12">
        <f>September!E52+D52</f>
        <v>5401</v>
      </c>
      <c r="F52" s="66"/>
      <c r="G52" s="12">
        <f>September!G52+F52</f>
        <v>0</v>
      </c>
    </row>
    <row r="53" spans="1:256" x14ac:dyDescent="0.2">
      <c r="A53" s="11" t="s">
        <v>52</v>
      </c>
      <c r="B53" s="67">
        <f>1280+1080+2360+1870+1685+720+1640+483+232+1935+1700+1830+1930+1830+1830+2360+2360+967+833+1910</f>
        <v>30835</v>
      </c>
      <c r="C53" s="12">
        <f>September!C53+B53</f>
        <v>272222</v>
      </c>
      <c r="D53" s="65">
        <f>153+250+160</f>
        <v>563</v>
      </c>
      <c r="E53" s="12">
        <f>September!E53+D53</f>
        <v>4065</v>
      </c>
      <c r="F53" s="66"/>
      <c r="G53" s="12">
        <f>September!G53+F53</f>
        <v>0</v>
      </c>
    </row>
    <row r="54" spans="1:256" ht="15.75" thickBot="1" x14ac:dyDescent="0.25">
      <c r="A54" s="13" t="s">
        <v>53</v>
      </c>
      <c r="B54" s="67">
        <v>286571</v>
      </c>
      <c r="C54" s="12">
        <f>September!C54+B54</f>
        <v>2661260</v>
      </c>
      <c r="D54" s="65">
        <v>945</v>
      </c>
      <c r="E54" s="12">
        <f>September!E54+D54</f>
        <v>8321</v>
      </c>
      <c r="F54" s="66">
        <v>17095</v>
      </c>
      <c r="G54" s="12">
        <f>September!G54+F54</f>
        <v>126525</v>
      </c>
    </row>
    <row r="55" spans="1:256" ht="25.9" customHeight="1" thickTop="1" thickBot="1" x14ac:dyDescent="0.25">
      <c r="A55" s="14" t="s">
        <v>54</v>
      </c>
      <c r="B55" s="15">
        <f>SUM(B7:B54)</f>
        <v>2010690</v>
      </c>
      <c r="C55" s="15">
        <f>September!C55+B55</f>
        <v>19861117</v>
      </c>
      <c r="D55" s="15">
        <f>SUM(D7:D54)</f>
        <v>13314</v>
      </c>
      <c r="E55" s="15">
        <f>September!E55+D55</f>
        <v>158186</v>
      </c>
      <c r="F55" s="15">
        <f>SUM(F7:F54)</f>
        <v>17095</v>
      </c>
      <c r="G55" s="15">
        <f>September!G55+F55</f>
        <v>126684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1020</v>
      </c>
      <c r="E58" s="18"/>
    </row>
    <row r="59" spans="1:256" x14ac:dyDescent="0.2">
      <c r="A59" s="1" t="s">
        <v>57</v>
      </c>
      <c r="B59" s="23"/>
      <c r="C59" s="23">
        <v>1806</v>
      </c>
      <c r="D59" s="24">
        <f>September!D59+C59</f>
        <v>1906</v>
      </c>
    </row>
    <row r="60" spans="1:256" x14ac:dyDescent="0.2">
      <c r="A60" s="1" t="s">
        <v>58</v>
      </c>
      <c r="B60" s="23"/>
      <c r="C60" s="23"/>
      <c r="D60" s="24">
        <f>September!D60+C60</f>
        <v>920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>
        <f>180+100+280+90+160+30+150+25+90+180+250+150+300+40+70+150+55+175+200+260+165+90+250+200+175+40+70+55+150+175+150+175+300+150+110+40+175+40+70+55+175+150+150+250+200+250+200+125+55+150+70+40+300+150+280+110+135+45+280+175+150+1200+240+1124+2280+1440+265+110+43+96+16+56+8+30+8+90+125+100+22+30+30+100+210+8+8+96+125+100+210+175+8+110+24+96+125+96+210+8+108+65+100+90+290+10+96+200+135+110+200+45+150+280+175+180+90+115+200+160+90+140+39+280+135+110+45+175+150+280+240+65+60+220+160+250+70+55+150+175+150+120+200+250+120+175+40+200+175+65+150+70+40+300+175+161+140+100+170+300+250+90+180+200+175+55+150+70+110+300+175+375+40+55+150+175+150+15+180+25+180+100+160+20+50+70+30+85+100+75+41+200+275+200+130+175+160+70+18+30+250+85+100+75+75+50+160+70+30+250+325+85+100+75+70+30+85+100+75+125+300+70+30+85+100+75+100+220+260+65+30+75+250+160+200+200+175+150+70+40+300+175+175+130+40+70+55+150+175+150+250+90+160+90+150+230+90+150+20+90+40+2700</f>
        <v>42260</v>
      </c>
      <c r="D62" s="24">
        <f>September!D62+C62</f>
        <v>782433</v>
      </c>
    </row>
    <row r="63" spans="1:256" x14ac:dyDescent="0.2">
      <c r="A63" s="1" t="s">
        <v>66</v>
      </c>
      <c r="B63" s="23"/>
      <c r="C63" s="23"/>
      <c r="D63" s="24">
        <f>September!D63+C63</f>
        <v>50903</v>
      </c>
    </row>
    <row r="64" spans="1:256" x14ac:dyDescent="0.2">
      <c r="A64" s="1" t="s">
        <v>64</v>
      </c>
      <c r="B64" s="23"/>
      <c r="C64" s="23">
        <f>140+150+70+140+140+140+150+35+15+45+26+65+70+150+26+60+72+146+16+90+140+225+180+70+35+40+12+33+2+40+40+75+10+100+76+171+140+38+8+70+30+95+72+225+145+160+100+65+140+80+35+57+33+12+40+57+41+35+15+230+65+76+26+80+23+70+75+15+230+76+80+24+70+35+45+31+12+33+40+40+75+10+25+60+76+120+35+8+70+30+120+35+39+20+33+12+35+66+100+19+70+45+57+75+15+35+53+53+12+57+30+20+80+66+114+40+75+10+45+40+75+10+50+35+30+33+12+100+24+76+120+35+8+70+30+80+35+42+36+33+12+76+120+16+30+70+140+225+155+140+85+70+26+72+65+70+140+225+180+140+100+70+210+26+70+72+105+90+140+40+250+180+180+100+100+26+95+72+65+90+100+140+180+85+72+105+120+160+250+180+100+110+120+26+85+72+120+140+105+250+180+180+100+100+125+26+80</f>
        <v>16427</v>
      </c>
      <c r="D64" s="24">
        <f>September!D64+C64</f>
        <v>243626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>
        <f>12+40+19+89+70+200</f>
        <v>430</v>
      </c>
      <c r="D66" s="24">
        <f>September!D66+C66</f>
        <v>18758</v>
      </c>
    </row>
    <row r="67" spans="1:4" x14ac:dyDescent="0.2">
      <c r="A67" s="1" t="s">
        <v>63</v>
      </c>
      <c r="C67" s="23">
        <v>2400</v>
      </c>
      <c r="D67" s="24">
        <f>September!D67+C67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79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8"/>
      <c r="C7" s="12">
        <f>October!C7+B7</f>
        <v>100679</v>
      </c>
      <c r="D7" s="6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68"/>
      <c r="C8" s="12">
        <f>October!C8+B8</f>
        <v>0</v>
      </c>
      <c r="D8" s="64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68"/>
      <c r="C9" s="12">
        <f>October!C9+B9</f>
        <v>265694</v>
      </c>
      <c r="D9" s="64"/>
      <c r="E9" s="12">
        <f>October!E9+D9</f>
        <v>632</v>
      </c>
      <c r="F9" s="12"/>
      <c r="G9" s="12">
        <f>October!G9+F9</f>
        <v>0</v>
      </c>
    </row>
    <row r="10" spans="1:256" x14ac:dyDescent="0.2">
      <c r="A10" s="11" t="s">
        <v>9</v>
      </c>
      <c r="B10" s="68"/>
      <c r="C10" s="12">
        <f>October!C10+B10</f>
        <v>1</v>
      </c>
      <c r="D10" s="64"/>
      <c r="E10" s="12">
        <f>October!E10+D10</f>
        <v>30</v>
      </c>
      <c r="F10" s="12"/>
      <c r="G10" s="12">
        <f>October!G10+F10</f>
        <v>0</v>
      </c>
    </row>
    <row r="11" spans="1:256" x14ac:dyDescent="0.2">
      <c r="A11" s="11" t="s">
        <v>10</v>
      </c>
      <c r="B11" s="68"/>
      <c r="C11" s="12">
        <f>October!C11+B11</f>
        <v>942239</v>
      </c>
      <c r="D11" s="64"/>
      <c r="E11" s="12">
        <f>October!E11+D11</f>
        <v>416</v>
      </c>
      <c r="F11" s="12"/>
      <c r="G11" s="12">
        <f>October!G11+F11</f>
        <v>0</v>
      </c>
    </row>
    <row r="12" spans="1:256" x14ac:dyDescent="0.2">
      <c r="A12" s="11" t="s">
        <v>11</v>
      </c>
      <c r="B12" s="68"/>
      <c r="C12" s="12">
        <f>October!C12+B12</f>
        <v>0</v>
      </c>
      <c r="D12" s="64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68"/>
      <c r="C13" s="12">
        <f>October!C13+B13</f>
        <v>0</v>
      </c>
      <c r="D13" s="64"/>
      <c r="E13" s="12">
        <f>October!E13+D13</f>
        <v>7</v>
      </c>
      <c r="F13" s="12"/>
      <c r="G13" s="12">
        <f>October!G13+F13</f>
        <v>0</v>
      </c>
    </row>
    <row r="14" spans="1:256" x14ac:dyDescent="0.2">
      <c r="A14" s="11" t="s">
        <v>13</v>
      </c>
      <c r="B14" s="68"/>
      <c r="C14" s="12">
        <f>October!C14+B14</f>
        <v>491</v>
      </c>
      <c r="D14" s="6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68"/>
      <c r="C15" s="12">
        <f>October!C15+B15</f>
        <v>57429</v>
      </c>
      <c r="D15" s="64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68"/>
      <c r="C16" s="12">
        <f>October!C16+B16</f>
        <v>0</v>
      </c>
      <c r="D16" s="64"/>
      <c r="E16" s="12">
        <f>October!E16+D16</f>
        <v>1053</v>
      </c>
      <c r="F16" s="12"/>
      <c r="G16" s="12">
        <f>October!G16+F16</f>
        <v>0</v>
      </c>
    </row>
    <row r="17" spans="1:7" x14ac:dyDescent="0.2">
      <c r="A17" s="11" t="s">
        <v>16</v>
      </c>
      <c r="B17" s="68"/>
      <c r="C17" s="12">
        <f>October!C17+B17</f>
        <v>3036572</v>
      </c>
      <c r="D17" s="64"/>
      <c r="E17" s="12">
        <f>October!E17+D17</f>
        <v>40780</v>
      </c>
      <c r="F17" s="12"/>
      <c r="G17" s="12">
        <f>October!G17+F17</f>
        <v>0</v>
      </c>
    </row>
    <row r="18" spans="1:7" x14ac:dyDescent="0.2">
      <c r="A18" s="11" t="s">
        <v>17</v>
      </c>
      <c r="B18" s="68"/>
      <c r="C18" s="12">
        <f>October!C18+B18</f>
        <v>109579</v>
      </c>
      <c r="D18" s="64"/>
      <c r="E18" s="12">
        <f>October!E18+D18</f>
        <v>5553</v>
      </c>
      <c r="F18" s="12"/>
      <c r="G18" s="12">
        <f>October!G18+F18</f>
        <v>0</v>
      </c>
    </row>
    <row r="19" spans="1:7" x14ac:dyDescent="0.2">
      <c r="A19" s="11" t="s">
        <v>18</v>
      </c>
      <c r="B19" s="68"/>
      <c r="C19" s="12">
        <f>October!C19+B19</f>
        <v>242843</v>
      </c>
      <c r="D19" s="64"/>
      <c r="E19" s="12">
        <f>October!E19+D19</f>
        <v>5516</v>
      </c>
      <c r="F19" s="12"/>
      <c r="G19" s="12">
        <f>October!G19+F19</f>
        <v>0</v>
      </c>
    </row>
    <row r="20" spans="1:7" x14ac:dyDescent="0.2">
      <c r="A20" s="11" t="s">
        <v>19</v>
      </c>
      <c r="B20" s="68"/>
      <c r="C20" s="12">
        <f>October!C20+B20</f>
        <v>7856</v>
      </c>
      <c r="D20" s="64"/>
      <c r="E20" s="12">
        <f>October!E20+D20</f>
        <v>34</v>
      </c>
      <c r="F20" s="12"/>
      <c r="G20" s="12">
        <f>October!G20+F20</f>
        <v>0</v>
      </c>
    </row>
    <row r="21" spans="1:7" x14ac:dyDescent="0.2">
      <c r="A21" s="11" t="s">
        <v>20</v>
      </c>
      <c r="B21" s="68"/>
      <c r="C21" s="12">
        <f>October!C21+B21</f>
        <v>0</v>
      </c>
      <c r="D21" s="64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68"/>
      <c r="C22" s="12">
        <f>October!C22+B22</f>
        <v>0</v>
      </c>
      <c r="D22" s="64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68"/>
      <c r="C23" s="12">
        <f>October!C23+B23</f>
        <v>0</v>
      </c>
      <c r="D23" s="64"/>
      <c r="E23" s="12">
        <f>October!E23+D23</f>
        <v>15</v>
      </c>
      <c r="F23" s="12"/>
      <c r="G23" s="12">
        <f>October!G23+F23</f>
        <v>0</v>
      </c>
    </row>
    <row r="24" spans="1:7" x14ac:dyDescent="0.2">
      <c r="A24" s="11" t="s">
        <v>23</v>
      </c>
      <c r="B24" s="68"/>
      <c r="C24" s="12">
        <f>October!C24+B24</f>
        <v>0</v>
      </c>
      <c r="D24" s="6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68"/>
      <c r="C25" s="12">
        <f>October!C25+B25</f>
        <v>7967</v>
      </c>
      <c r="D25" s="64"/>
      <c r="E25" s="12">
        <f>October!E25+D25</f>
        <v>8774</v>
      </c>
      <c r="F25" s="12"/>
      <c r="G25" s="12">
        <f>October!G25+F25</f>
        <v>0</v>
      </c>
    </row>
    <row r="26" spans="1:7" x14ac:dyDescent="0.2">
      <c r="A26" s="11" t="s">
        <v>25</v>
      </c>
      <c r="B26" s="68"/>
      <c r="C26" s="12">
        <f>October!C26+B26</f>
        <v>2511740</v>
      </c>
      <c r="D26" s="64"/>
      <c r="E26" s="12">
        <f>October!E26+D26</f>
        <v>25332</v>
      </c>
      <c r="F26" s="12"/>
      <c r="G26" s="12">
        <f>October!G26+F26</f>
        <v>0</v>
      </c>
    </row>
    <row r="27" spans="1:7" x14ac:dyDescent="0.2">
      <c r="A27" s="11" t="s">
        <v>26</v>
      </c>
      <c r="B27" s="68"/>
      <c r="C27" s="12">
        <f>October!C27+B27</f>
        <v>292675</v>
      </c>
      <c r="D27" s="64"/>
      <c r="E27" s="12">
        <f>October!E27+D27</f>
        <v>1</v>
      </c>
      <c r="F27" s="12"/>
      <c r="G27" s="12">
        <f>October!G27+F27</f>
        <v>0</v>
      </c>
    </row>
    <row r="28" spans="1:7" x14ac:dyDescent="0.2">
      <c r="A28" s="11" t="s">
        <v>27</v>
      </c>
      <c r="B28" s="68"/>
      <c r="C28" s="12">
        <f>October!C28+B28</f>
        <v>3044389</v>
      </c>
      <c r="D28" s="64"/>
      <c r="E28" s="12">
        <f>October!E28+D28</f>
        <v>8443</v>
      </c>
      <c r="F28" s="12"/>
      <c r="G28" s="12">
        <f>October!G28+F28</f>
        <v>24</v>
      </c>
    </row>
    <row r="29" spans="1:7" x14ac:dyDescent="0.2">
      <c r="A29" s="11" t="s">
        <v>28</v>
      </c>
      <c r="B29" s="68"/>
      <c r="C29" s="12">
        <f>October!C29+B29</f>
        <v>48650</v>
      </c>
      <c r="D29" s="64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68"/>
      <c r="C30" s="12">
        <f>October!C30+B30</f>
        <v>1533608</v>
      </c>
      <c r="D30" s="64"/>
      <c r="E30" s="12">
        <f>October!E30+D30</f>
        <v>18576</v>
      </c>
      <c r="F30" s="12"/>
      <c r="G30" s="12">
        <f>October!G30+F30</f>
        <v>0</v>
      </c>
    </row>
    <row r="31" spans="1:7" x14ac:dyDescent="0.2">
      <c r="A31" s="11" t="s">
        <v>30</v>
      </c>
      <c r="B31" s="68"/>
      <c r="C31" s="12">
        <f>October!C31+B31</f>
        <v>0</v>
      </c>
      <c r="D31" s="64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68"/>
      <c r="C32" s="12">
        <f>October!C32+B32</f>
        <v>0</v>
      </c>
      <c r="D32" s="6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68"/>
      <c r="C33" s="12">
        <f>October!C33+B33</f>
        <v>0</v>
      </c>
      <c r="D33" s="6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68"/>
      <c r="C34" s="12">
        <f>October!C34+B34</f>
        <v>0</v>
      </c>
      <c r="D34" s="6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68"/>
      <c r="C35" s="12">
        <f>October!C35+B35</f>
        <v>0</v>
      </c>
      <c r="D35" s="6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68"/>
      <c r="C36" s="12">
        <f>October!C36+B36</f>
        <v>1261945</v>
      </c>
      <c r="D36" s="6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68"/>
      <c r="C37" s="12">
        <f>October!C37+B37</f>
        <v>278258</v>
      </c>
      <c r="D37" s="64"/>
      <c r="E37" s="12">
        <f>October!E37+D37</f>
        <v>13966</v>
      </c>
      <c r="F37" s="12"/>
      <c r="G37" s="12">
        <f>October!G37+F37</f>
        <v>0</v>
      </c>
    </row>
    <row r="38" spans="1:7" x14ac:dyDescent="0.2">
      <c r="A38" s="11" t="s">
        <v>37</v>
      </c>
      <c r="B38" s="68"/>
      <c r="C38" s="12">
        <f>October!C38+B38</f>
        <v>95662</v>
      </c>
      <c r="D38" s="64"/>
      <c r="E38" s="12">
        <f>October!E38+D38</f>
        <v>1654</v>
      </c>
      <c r="F38" s="12"/>
      <c r="G38" s="12">
        <f>October!G38+F38</f>
        <v>0</v>
      </c>
    </row>
    <row r="39" spans="1:7" x14ac:dyDescent="0.2">
      <c r="A39" s="11" t="s">
        <v>38</v>
      </c>
      <c r="B39" s="68"/>
      <c r="C39" s="12">
        <f>October!C39+B39</f>
        <v>2025039</v>
      </c>
      <c r="D39" s="64"/>
      <c r="E39" s="12">
        <f>October!E39+D39</f>
        <v>1365</v>
      </c>
      <c r="F39" s="12"/>
      <c r="G39" s="12">
        <f>October!G39+F39</f>
        <v>0</v>
      </c>
    </row>
    <row r="40" spans="1:7" x14ac:dyDescent="0.2">
      <c r="A40" s="11" t="s">
        <v>39</v>
      </c>
      <c r="B40" s="68"/>
      <c r="C40" s="12">
        <f>October!C40+B40</f>
        <v>0</v>
      </c>
      <c r="D40" s="64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68"/>
      <c r="C41" s="12">
        <f>October!C41+B41</f>
        <v>3201</v>
      </c>
      <c r="D41" s="64"/>
      <c r="E41" s="12">
        <f>October!E41+D41</f>
        <v>1949</v>
      </c>
      <c r="F41" s="12"/>
      <c r="G41" s="12">
        <f>October!G41+F41</f>
        <v>0</v>
      </c>
    </row>
    <row r="42" spans="1:7" x14ac:dyDescent="0.2">
      <c r="A42" s="11" t="s">
        <v>41</v>
      </c>
      <c r="B42" s="68"/>
      <c r="C42" s="12">
        <f>October!C42+B42</f>
        <v>0</v>
      </c>
      <c r="D42" s="64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68"/>
      <c r="C43" s="12">
        <f>October!C43+B43</f>
        <v>0</v>
      </c>
      <c r="D43" s="6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68"/>
      <c r="C44" s="12">
        <f>October!C44+B44</f>
        <v>440944</v>
      </c>
      <c r="D44" s="64"/>
      <c r="E44" s="12">
        <f>October!E44+D44</f>
        <v>6028</v>
      </c>
      <c r="F44" s="12"/>
      <c r="G44" s="12">
        <f>October!G44+F44</f>
        <v>0</v>
      </c>
    </row>
    <row r="45" spans="1:7" x14ac:dyDescent="0.2">
      <c r="A45" s="11" t="s">
        <v>44</v>
      </c>
      <c r="B45" s="69"/>
      <c r="C45" s="12">
        <f>October!C45+B45</f>
        <v>0</v>
      </c>
      <c r="D45" s="64"/>
      <c r="E45" s="12">
        <f>October!E45+D45</f>
        <v>137</v>
      </c>
      <c r="F45" s="12"/>
      <c r="G45" s="12">
        <f>October!G45+F45</f>
        <v>0</v>
      </c>
    </row>
    <row r="46" spans="1:7" x14ac:dyDescent="0.2">
      <c r="A46" s="11" t="s">
        <v>45</v>
      </c>
      <c r="B46" s="68"/>
      <c r="C46" s="12">
        <f>October!C46+B46</f>
        <v>153445</v>
      </c>
      <c r="D46" s="64"/>
      <c r="E46" s="12">
        <f>October!E46+D46</f>
        <v>136</v>
      </c>
      <c r="F46" s="12"/>
      <c r="G46" s="12">
        <f>October!G46+F46</f>
        <v>0</v>
      </c>
    </row>
    <row r="47" spans="1:7" x14ac:dyDescent="0.2">
      <c r="A47" s="11" t="s">
        <v>46</v>
      </c>
      <c r="B47" s="68"/>
      <c r="C47" s="12">
        <f>October!C47+B47</f>
        <v>273776</v>
      </c>
      <c r="D47" s="64"/>
      <c r="E47" s="12">
        <f>October!E47+D47</f>
        <v>2</v>
      </c>
      <c r="F47" s="12"/>
      <c r="G47" s="12">
        <f>October!G47+F47</f>
        <v>135</v>
      </c>
    </row>
    <row r="48" spans="1:7" x14ac:dyDescent="0.2">
      <c r="A48" s="11" t="s">
        <v>47</v>
      </c>
      <c r="B48" s="68"/>
      <c r="C48" s="12">
        <f>October!C48+B48</f>
        <v>0</v>
      </c>
      <c r="D48" s="6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68"/>
      <c r="C49" s="12">
        <f>October!C49+B49</f>
        <v>0</v>
      </c>
      <c r="D49" s="6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68"/>
      <c r="C50" s="12">
        <f>October!C50+B50</f>
        <v>0</v>
      </c>
      <c r="D50" s="6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68"/>
      <c r="C51" s="12">
        <f>October!C51+B51</f>
        <v>0</v>
      </c>
      <c r="D51" s="6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68"/>
      <c r="C52" s="12">
        <f>October!C52+B52</f>
        <v>192953</v>
      </c>
      <c r="D52" s="64"/>
      <c r="E52" s="12">
        <f>October!E52+D52</f>
        <v>5401</v>
      </c>
      <c r="F52" s="12"/>
      <c r="G52" s="12">
        <f>October!G52+F52</f>
        <v>0</v>
      </c>
    </row>
    <row r="53" spans="1:256" x14ac:dyDescent="0.2">
      <c r="A53" s="11" t="s">
        <v>52</v>
      </c>
      <c r="B53" s="68"/>
      <c r="C53" s="12">
        <f>October!C53+B53</f>
        <v>272222</v>
      </c>
      <c r="D53" s="64"/>
      <c r="E53" s="12">
        <f>October!E53+D53</f>
        <v>4065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68"/>
      <c r="C54" s="12">
        <f>October!C54+B54</f>
        <v>2661260</v>
      </c>
      <c r="D54" s="12"/>
      <c r="E54" s="12">
        <f>October!E54+D54</f>
        <v>8321</v>
      </c>
      <c r="F54" s="12"/>
      <c r="G54" s="12">
        <f>October!G54+F54</f>
        <v>126525</v>
      </c>
    </row>
    <row r="55" spans="1:256" ht="25.9" customHeight="1" thickTop="1" thickBot="1" x14ac:dyDescent="0.25">
      <c r="A55" s="14" t="s">
        <v>54</v>
      </c>
      <c r="B55" s="70">
        <f>SUM(B7:B54)</f>
        <v>0</v>
      </c>
      <c r="C55" s="15">
        <f>October!C55+B55</f>
        <v>19861117</v>
      </c>
      <c r="D55" s="15">
        <f>SUM(D7:D54)</f>
        <v>0</v>
      </c>
      <c r="E55" s="15">
        <f>October!E55+D55</f>
        <v>158186</v>
      </c>
      <c r="F55" s="15">
        <f>SUM(F7:F54)</f>
        <v>0</v>
      </c>
      <c r="G55" s="15">
        <f>October!G55+F55</f>
        <v>126684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1906</v>
      </c>
    </row>
    <row r="60" spans="1:256" x14ac:dyDescent="0.2">
      <c r="A60" s="1" t="s">
        <v>58</v>
      </c>
      <c r="B60" s="23"/>
      <c r="C60" s="23"/>
      <c r="D60" s="24">
        <f>October!D60+C60</f>
        <v>920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782433</v>
      </c>
    </row>
    <row r="63" spans="1:256" x14ac:dyDescent="0.2">
      <c r="A63" s="1" t="s">
        <v>66</v>
      </c>
      <c r="B63" s="23"/>
      <c r="C63" s="23"/>
      <c r="D63" s="24">
        <f>October!D63+C63</f>
        <v>50903</v>
      </c>
    </row>
    <row r="64" spans="1:256" x14ac:dyDescent="0.2">
      <c r="A64" s="1" t="s">
        <v>64</v>
      </c>
      <c r="B64" s="23"/>
      <c r="C64" s="23"/>
      <c r="D64" s="24">
        <f>October!D64+C64</f>
        <v>243626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18758</v>
      </c>
    </row>
    <row r="67" spans="1:4" x14ac:dyDescent="0.2">
      <c r="A67" s="1" t="s">
        <v>63</v>
      </c>
      <c r="C67" s="23"/>
      <c r="D67" s="24">
        <f>October!D67+C67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9" activePane="bottomLeft" state="frozen"/>
      <selection pane="bottomLeft" activeCell="E2" sqref="E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80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8"/>
      <c r="C7" s="12">
        <f>November!C7+B7</f>
        <v>100679</v>
      </c>
      <c r="D7" s="96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98"/>
      <c r="C8" s="12">
        <f>November!C8+B8</f>
        <v>0</v>
      </c>
      <c r="D8" s="96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98"/>
      <c r="C9" s="12">
        <f>November!C9+B9</f>
        <v>265694</v>
      </c>
      <c r="D9" s="96"/>
      <c r="E9" s="12">
        <f>November!E9+D9</f>
        <v>632</v>
      </c>
      <c r="F9" s="12"/>
      <c r="G9" s="12">
        <f>November!G9+F9</f>
        <v>0</v>
      </c>
    </row>
    <row r="10" spans="1:256" x14ac:dyDescent="0.2">
      <c r="A10" s="11" t="s">
        <v>9</v>
      </c>
      <c r="B10" s="98"/>
      <c r="C10" s="12">
        <f>November!C10+B10</f>
        <v>1</v>
      </c>
      <c r="D10" s="96"/>
      <c r="E10" s="12">
        <f>November!E10+D10</f>
        <v>30</v>
      </c>
      <c r="F10" s="12"/>
      <c r="G10" s="12">
        <f>November!G10+F10</f>
        <v>0</v>
      </c>
    </row>
    <row r="11" spans="1:256" x14ac:dyDescent="0.2">
      <c r="A11" s="11" t="s">
        <v>10</v>
      </c>
      <c r="B11" s="98"/>
      <c r="C11" s="12">
        <f>November!C11+B11</f>
        <v>942239</v>
      </c>
      <c r="D11" s="96"/>
      <c r="E11" s="12">
        <f>November!E11+D11</f>
        <v>416</v>
      </c>
      <c r="F11" s="12"/>
      <c r="G11" s="12">
        <f>November!G11+F11</f>
        <v>0</v>
      </c>
    </row>
    <row r="12" spans="1:256" x14ac:dyDescent="0.2">
      <c r="A12" s="11" t="s">
        <v>11</v>
      </c>
      <c r="B12" s="98"/>
      <c r="C12" s="12">
        <f>November!C12+B12</f>
        <v>0</v>
      </c>
      <c r="D12" s="96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98"/>
      <c r="C13" s="12">
        <f>November!C13+B13</f>
        <v>0</v>
      </c>
      <c r="D13" s="96"/>
      <c r="E13" s="12">
        <f>November!E13+D13</f>
        <v>7</v>
      </c>
      <c r="F13" s="12"/>
      <c r="G13" s="12">
        <f>November!G13+F13</f>
        <v>0</v>
      </c>
    </row>
    <row r="14" spans="1:256" x14ac:dyDescent="0.2">
      <c r="A14" s="11" t="s">
        <v>13</v>
      </c>
      <c r="B14" s="98"/>
      <c r="C14" s="12">
        <f>November!C14+B14</f>
        <v>491</v>
      </c>
      <c r="D14" s="96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98"/>
      <c r="C15" s="12">
        <f>November!C15+B15</f>
        <v>57429</v>
      </c>
      <c r="D15" s="96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98"/>
      <c r="C16" s="12">
        <f>November!C16+B16</f>
        <v>0</v>
      </c>
      <c r="D16" s="96"/>
      <c r="E16" s="12">
        <f>November!E16+D16</f>
        <v>1053</v>
      </c>
      <c r="F16" s="12"/>
      <c r="G16" s="12">
        <f>November!G16+F16</f>
        <v>0</v>
      </c>
    </row>
    <row r="17" spans="1:7" x14ac:dyDescent="0.2">
      <c r="A17" s="11" t="s">
        <v>16</v>
      </c>
      <c r="B17" s="98"/>
      <c r="C17" s="12">
        <f>November!C17+B17</f>
        <v>3036572</v>
      </c>
      <c r="D17" s="96"/>
      <c r="E17" s="12">
        <f>November!E17+D17</f>
        <v>40780</v>
      </c>
      <c r="F17" s="12"/>
      <c r="G17" s="12">
        <f>November!G17+F17</f>
        <v>0</v>
      </c>
    </row>
    <row r="18" spans="1:7" x14ac:dyDescent="0.2">
      <c r="A18" s="11" t="s">
        <v>17</v>
      </c>
      <c r="B18" s="98"/>
      <c r="C18" s="12">
        <f>November!C18+B18</f>
        <v>109579</v>
      </c>
      <c r="D18" s="96"/>
      <c r="E18" s="12">
        <f>November!E18+D18</f>
        <v>5553</v>
      </c>
      <c r="F18" s="12"/>
      <c r="G18" s="12">
        <f>November!G18+F18</f>
        <v>0</v>
      </c>
    </row>
    <row r="19" spans="1:7" x14ac:dyDescent="0.2">
      <c r="A19" s="11" t="s">
        <v>18</v>
      </c>
      <c r="B19" s="98"/>
      <c r="C19" s="12">
        <f>November!C19+B19</f>
        <v>242843</v>
      </c>
      <c r="D19" s="96"/>
      <c r="E19" s="12">
        <f>November!E19+D19</f>
        <v>5516</v>
      </c>
      <c r="F19" s="12"/>
      <c r="G19" s="12">
        <f>November!G19+F19</f>
        <v>0</v>
      </c>
    </row>
    <row r="20" spans="1:7" x14ac:dyDescent="0.2">
      <c r="A20" s="11" t="s">
        <v>19</v>
      </c>
      <c r="B20" s="98"/>
      <c r="C20" s="12">
        <f>November!C20+B20</f>
        <v>7856</v>
      </c>
      <c r="D20" s="96"/>
      <c r="E20" s="12">
        <f>November!E20+D20</f>
        <v>34</v>
      </c>
      <c r="F20" s="12"/>
      <c r="G20" s="12">
        <f>November!G20+F20</f>
        <v>0</v>
      </c>
    </row>
    <row r="21" spans="1:7" x14ac:dyDescent="0.2">
      <c r="A21" s="11" t="s">
        <v>20</v>
      </c>
      <c r="B21" s="98"/>
      <c r="C21" s="12">
        <f>November!C21+B21</f>
        <v>0</v>
      </c>
      <c r="D21" s="96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98"/>
      <c r="C22" s="12">
        <f>November!C22+B22</f>
        <v>0</v>
      </c>
      <c r="D22" s="96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98"/>
      <c r="C23" s="12">
        <f>November!C23+B23</f>
        <v>0</v>
      </c>
      <c r="D23" s="96"/>
      <c r="E23" s="12">
        <f>November!E23+D23</f>
        <v>15</v>
      </c>
      <c r="F23" s="12"/>
      <c r="G23" s="12">
        <f>November!G23+F23</f>
        <v>0</v>
      </c>
    </row>
    <row r="24" spans="1:7" x14ac:dyDescent="0.2">
      <c r="A24" s="11" t="s">
        <v>23</v>
      </c>
      <c r="B24" s="98"/>
      <c r="C24" s="12">
        <f>November!C24+B24</f>
        <v>0</v>
      </c>
      <c r="D24" s="96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98"/>
      <c r="C25" s="12">
        <f>November!C25+B25</f>
        <v>7967</v>
      </c>
      <c r="D25" s="96"/>
      <c r="E25" s="12">
        <f>November!E25+D25</f>
        <v>8774</v>
      </c>
      <c r="F25" s="12"/>
      <c r="G25" s="12">
        <f>November!G25+F25</f>
        <v>0</v>
      </c>
    </row>
    <row r="26" spans="1:7" x14ac:dyDescent="0.2">
      <c r="A26" s="11" t="s">
        <v>25</v>
      </c>
      <c r="B26" s="98"/>
      <c r="C26" s="12">
        <f>November!C26+B26</f>
        <v>2511740</v>
      </c>
      <c r="D26" s="96"/>
      <c r="E26" s="12">
        <f>November!E26+D26</f>
        <v>25332</v>
      </c>
      <c r="F26" s="12"/>
      <c r="G26" s="12">
        <f>November!G26+F26</f>
        <v>0</v>
      </c>
    </row>
    <row r="27" spans="1:7" x14ac:dyDescent="0.2">
      <c r="A27" s="11" t="s">
        <v>26</v>
      </c>
      <c r="B27" s="98"/>
      <c r="C27" s="12">
        <f>November!C27+B27</f>
        <v>292675</v>
      </c>
      <c r="D27" s="96"/>
      <c r="E27" s="12">
        <f>November!E27+D27</f>
        <v>1</v>
      </c>
      <c r="F27" s="12"/>
      <c r="G27" s="12">
        <f>November!G27+F27</f>
        <v>0</v>
      </c>
    </row>
    <row r="28" spans="1:7" x14ac:dyDescent="0.2">
      <c r="A28" s="11" t="s">
        <v>27</v>
      </c>
      <c r="B28" s="98"/>
      <c r="C28" s="12">
        <f>November!C28+B28</f>
        <v>3044389</v>
      </c>
      <c r="D28" s="96"/>
      <c r="E28" s="12">
        <f>November!E28+D28</f>
        <v>8443</v>
      </c>
      <c r="F28" s="12"/>
      <c r="G28" s="12">
        <f>November!G28+F28</f>
        <v>24</v>
      </c>
    </row>
    <row r="29" spans="1:7" x14ac:dyDescent="0.2">
      <c r="A29" s="11" t="s">
        <v>28</v>
      </c>
      <c r="B29" s="98"/>
      <c r="C29" s="12">
        <f>November!C29+B29</f>
        <v>48650</v>
      </c>
      <c r="D29" s="96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98"/>
      <c r="C30" s="12">
        <f>November!C30+B30</f>
        <v>1533608</v>
      </c>
      <c r="D30" s="96"/>
      <c r="E30" s="12">
        <f>November!E30+D30</f>
        <v>18576</v>
      </c>
      <c r="F30" s="12"/>
      <c r="G30" s="12">
        <f>November!G30+F30</f>
        <v>0</v>
      </c>
    </row>
    <row r="31" spans="1:7" x14ac:dyDescent="0.2">
      <c r="A31" s="11" t="s">
        <v>30</v>
      </c>
      <c r="B31" s="98"/>
      <c r="C31" s="12">
        <f>November!C31+B31</f>
        <v>0</v>
      </c>
      <c r="D31" s="96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98"/>
      <c r="C32" s="12">
        <f>November!C32+B32</f>
        <v>0</v>
      </c>
      <c r="D32" s="96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98"/>
      <c r="C33" s="12">
        <f>November!C33+B33</f>
        <v>0</v>
      </c>
      <c r="D33" s="96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98"/>
      <c r="C34" s="12">
        <f>November!C34+B34</f>
        <v>0</v>
      </c>
      <c r="D34" s="96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98"/>
      <c r="C35" s="12">
        <f>November!C35+B35</f>
        <v>0</v>
      </c>
      <c r="D35" s="96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98"/>
      <c r="C36" s="12">
        <f>November!C36+B36</f>
        <v>1261945</v>
      </c>
      <c r="D36" s="96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98"/>
      <c r="C37" s="12">
        <f>November!C37+B37</f>
        <v>278258</v>
      </c>
      <c r="D37" s="96"/>
      <c r="E37" s="12">
        <f>November!E37+D37</f>
        <v>13966</v>
      </c>
      <c r="F37" s="12"/>
      <c r="G37" s="12">
        <f>November!G37+F37</f>
        <v>0</v>
      </c>
    </row>
    <row r="38" spans="1:7" x14ac:dyDescent="0.2">
      <c r="A38" s="11" t="s">
        <v>37</v>
      </c>
      <c r="B38" s="98"/>
      <c r="C38" s="12">
        <f>November!C38+B38</f>
        <v>95662</v>
      </c>
      <c r="D38" s="96"/>
      <c r="E38" s="12">
        <f>November!E38+D38</f>
        <v>1654</v>
      </c>
      <c r="F38" s="12"/>
      <c r="G38" s="12">
        <f>November!G38+F38</f>
        <v>0</v>
      </c>
    </row>
    <row r="39" spans="1:7" x14ac:dyDescent="0.2">
      <c r="A39" s="11" t="s">
        <v>38</v>
      </c>
      <c r="B39" s="98"/>
      <c r="C39" s="12">
        <f>November!C39+B39</f>
        <v>2025039</v>
      </c>
      <c r="D39" s="96"/>
      <c r="E39" s="12">
        <f>November!E39+D39</f>
        <v>1365</v>
      </c>
      <c r="F39" s="12"/>
      <c r="G39" s="12">
        <f>November!G39+F39</f>
        <v>0</v>
      </c>
    </row>
    <row r="40" spans="1:7" x14ac:dyDescent="0.2">
      <c r="A40" s="11" t="s">
        <v>39</v>
      </c>
      <c r="B40" s="98"/>
      <c r="C40" s="12">
        <f>November!C40+B40</f>
        <v>0</v>
      </c>
      <c r="D40" s="96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98"/>
      <c r="C41" s="12">
        <f>November!C41+B41</f>
        <v>3201</v>
      </c>
      <c r="D41" s="96"/>
      <c r="E41" s="12">
        <f>November!E41+D41</f>
        <v>1949</v>
      </c>
      <c r="F41" s="12"/>
      <c r="G41" s="12">
        <f>November!G41+F41</f>
        <v>0</v>
      </c>
    </row>
    <row r="42" spans="1:7" x14ac:dyDescent="0.2">
      <c r="A42" s="11" t="s">
        <v>41</v>
      </c>
      <c r="B42" s="98"/>
      <c r="C42" s="12">
        <f>November!C42+B42</f>
        <v>0</v>
      </c>
      <c r="D42" s="96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98"/>
      <c r="C43" s="12">
        <f>November!C43+B43</f>
        <v>0</v>
      </c>
      <c r="D43" s="96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98"/>
      <c r="C44" s="12">
        <f>November!C44+B44</f>
        <v>440944</v>
      </c>
      <c r="D44" s="96"/>
      <c r="E44" s="12">
        <f>November!E44+D44</f>
        <v>6028</v>
      </c>
      <c r="F44" s="12"/>
      <c r="G44" s="12">
        <f>November!G44+F44</f>
        <v>0</v>
      </c>
    </row>
    <row r="45" spans="1:7" x14ac:dyDescent="0.2">
      <c r="A45" s="11" t="s">
        <v>44</v>
      </c>
      <c r="B45" s="98"/>
      <c r="C45" s="12">
        <f>November!C45+B45</f>
        <v>0</v>
      </c>
      <c r="D45" s="96"/>
      <c r="E45" s="12">
        <f>November!E45+D45</f>
        <v>137</v>
      </c>
      <c r="F45" s="12"/>
      <c r="G45" s="12">
        <f>November!G45+F45</f>
        <v>0</v>
      </c>
    </row>
    <row r="46" spans="1:7" x14ac:dyDescent="0.2">
      <c r="A46" s="11" t="s">
        <v>45</v>
      </c>
      <c r="B46" s="98"/>
      <c r="C46" s="12">
        <f>November!C46+B46</f>
        <v>153445</v>
      </c>
      <c r="D46" s="96"/>
      <c r="E46" s="12">
        <f>November!E46+D46</f>
        <v>136</v>
      </c>
      <c r="F46" s="12"/>
      <c r="G46" s="12">
        <f>November!G46+F46</f>
        <v>0</v>
      </c>
    </row>
    <row r="47" spans="1:7" x14ac:dyDescent="0.2">
      <c r="A47" s="11" t="s">
        <v>46</v>
      </c>
      <c r="B47" s="98"/>
      <c r="C47" s="12">
        <f>November!C47+B47</f>
        <v>273776</v>
      </c>
      <c r="D47" s="96"/>
      <c r="E47" s="12">
        <f>November!E47+D47</f>
        <v>2</v>
      </c>
      <c r="F47" s="12"/>
      <c r="G47" s="12">
        <f>November!G47+F47</f>
        <v>135</v>
      </c>
    </row>
    <row r="48" spans="1:7" x14ac:dyDescent="0.2">
      <c r="A48" s="11" t="s">
        <v>47</v>
      </c>
      <c r="B48" s="98"/>
      <c r="C48" s="12">
        <f>November!C48+B48</f>
        <v>0</v>
      </c>
      <c r="D48" s="96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98"/>
      <c r="C49" s="12">
        <f>November!C49+B49</f>
        <v>0</v>
      </c>
      <c r="D49" s="96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98"/>
      <c r="C50" s="12">
        <f>November!C50+B50</f>
        <v>0</v>
      </c>
      <c r="D50" s="96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98"/>
      <c r="C51" s="12">
        <f>November!C51+B51</f>
        <v>0</v>
      </c>
      <c r="D51" s="96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98"/>
      <c r="C52" s="12">
        <f>November!C52+B52</f>
        <v>192953</v>
      </c>
      <c r="D52" s="96"/>
      <c r="E52" s="12">
        <f>November!E52+D52</f>
        <v>5401</v>
      </c>
      <c r="F52" s="12"/>
      <c r="G52" s="12">
        <f>November!G52+F52</f>
        <v>0</v>
      </c>
    </row>
    <row r="53" spans="1:256" x14ac:dyDescent="0.2">
      <c r="A53" s="11" t="s">
        <v>52</v>
      </c>
      <c r="B53" s="98"/>
      <c r="C53" s="12">
        <f>November!C53+B53</f>
        <v>272222</v>
      </c>
      <c r="D53" s="96"/>
      <c r="E53" s="12">
        <f>November!E53+D53</f>
        <v>4065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98"/>
      <c r="C54" s="12">
        <f>November!C54+B54</f>
        <v>2661260</v>
      </c>
      <c r="D54" s="96"/>
      <c r="E54" s="12">
        <f>November!E54+D54</f>
        <v>8321</v>
      </c>
      <c r="F54" s="12"/>
      <c r="G54" s="12">
        <f>November!G54+F54</f>
        <v>126525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19861117</v>
      </c>
      <c r="D55" s="15">
        <f>SUM(D7:D54)</f>
        <v>0</v>
      </c>
      <c r="E55" s="15">
        <f>November!E55+D55</f>
        <v>158186</v>
      </c>
      <c r="F55" s="15">
        <f>SUM(F7:F54)</f>
        <v>0</v>
      </c>
      <c r="G55" s="15">
        <f>November!G55+F55</f>
        <v>126684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1906</v>
      </c>
    </row>
    <row r="60" spans="1:256" x14ac:dyDescent="0.2">
      <c r="A60" s="1" t="s">
        <v>58</v>
      </c>
      <c r="B60" s="23"/>
      <c r="C60" s="23"/>
      <c r="D60" s="24">
        <f>November!D60+C60</f>
        <v>920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782433</v>
      </c>
    </row>
    <row r="63" spans="1:256" x14ac:dyDescent="0.2">
      <c r="A63" s="1" t="s">
        <v>66</v>
      </c>
      <c r="B63" s="23"/>
      <c r="C63" s="23"/>
      <c r="D63" s="24">
        <f>November!D63+C63</f>
        <v>50903</v>
      </c>
    </row>
    <row r="64" spans="1:256" x14ac:dyDescent="0.2">
      <c r="A64" s="1" t="s">
        <v>64</v>
      </c>
      <c r="B64" s="23"/>
      <c r="C64" s="23"/>
      <c r="D64" s="24">
        <f>November!D64+C64</f>
        <v>243626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18758</v>
      </c>
    </row>
    <row r="67" spans="1:4" x14ac:dyDescent="0.2">
      <c r="A67" s="1" t="s">
        <v>63</v>
      </c>
      <c r="C67" s="23"/>
      <c r="D67" s="24">
        <f>November!D67+C67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 x14ac:dyDescent="0.25">
      <c r="I1" s="74"/>
    </row>
    <row r="2" spans="1:256" ht="23.25" x14ac:dyDescent="0.35">
      <c r="A2" s="75" t="s">
        <v>70</v>
      </c>
      <c r="B2" s="76"/>
      <c r="D2" s="76"/>
      <c r="F2" s="51" t="s">
        <v>71</v>
      </c>
      <c r="G2" s="42"/>
      <c r="I2" s="74"/>
    </row>
    <row r="3" spans="1:256" ht="12.95" customHeight="1" x14ac:dyDescent="0.25">
      <c r="F3" s="51" t="s">
        <v>67</v>
      </c>
      <c r="I3" s="74"/>
    </row>
    <row r="4" spans="1:256" ht="12.95" customHeight="1" thickBot="1" x14ac:dyDescent="0.3">
      <c r="E4" s="74"/>
      <c r="G4" s="74"/>
      <c r="I4" s="74"/>
    </row>
    <row r="5" spans="1:256" ht="21" customHeight="1" thickBot="1" x14ac:dyDescent="0.3">
      <c r="B5" s="79" t="s">
        <v>1</v>
      </c>
      <c r="C5" s="80"/>
      <c r="D5" s="81" t="s">
        <v>2</v>
      </c>
      <c r="E5" s="80"/>
      <c r="F5" s="81" t="s">
        <v>3</v>
      </c>
      <c r="G5" s="80"/>
    </row>
    <row r="6" spans="1:256" ht="16.5" thickBot="1" x14ac:dyDescent="0.25">
      <c r="A6" s="82" t="s">
        <v>4</v>
      </c>
      <c r="B6" s="83" t="s">
        <v>5</v>
      </c>
      <c r="C6" s="83" t="s">
        <v>6</v>
      </c>
      <c r="D6" s="83" t="s">
        <v>5</v>
      </c>
      <c r="E6" s="83" t="s">
        <v>6</v>
      </c>
      <c r="F6" s="83" t="s">
        <v>5</v>
      </c>
      <c r="G6" s="83" t="s">
        <v>6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x14ac:dyDescent="0.2">
      <c r="A7" s="44" t="s">
        <v>7</v>
      </c>
      <c r="B7" s="94">
        <f>1000+500+500+1000+850+850+425+850+850+870+870+870+870+870</f>
        <v>11175</v>
      </c>
      <c r="C7" s="25">
        <f>January!C7+B7</f>
        <v>30050</v>
      </c>
      <c r="D7" s="93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65</v>
      </c>
      <c r="B8" s="94"/>
      <c r="C8" s="25">
        <f>January!C8+B8</f>
        <v>0</v>
      </c>
      <c r="D8" s="93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8</v>
      </c>
      <c r="B9" s="94">
        <f>470+1630+1760</f>
        <v>3860</v>
      </c>
      <c r="C9" s="25">
        <f>January!C9+B9</f>
        <v>18302</v>
      </c>
      <c r="D9" s="93"/>
      <c r="E9" s="25">
        <f>January!E9+D9</f>
        <v>600</v>
      </c>
      <c r="F9" s="25"/>
      <c r="G9" s="25">
        <f>January!G9+F9</f>
        <v>0</v>
      </c>
    </row>
    <row r="10" spans="1:256" x14ac:dyDescent="0.2">
      <c r="A10" s="44" t="s">
        <v>9</v>
      </c>
      <c r="B10" s="94"/>
      <c r="C10" s="25">
        <f>January!C10+B10</f>
        <v>0</v>
      </c>
      <c r="D10" s="93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4" t="s">
        <v>10</v>
      </c>
      <c r="B11" s="94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93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4" t="s">
        <v>11</v>
      </c>
      <c r="B12" s="94"/>
      <c r="C12" s="25">
        <f>January!C12+B12</f>
        <v>0</v>
      </c>
      <c r="D12" s="93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4" t="s">
        <v>12</v>
      </c>
      <c r="B13" s="94"/>
      <c r="C13" s="25">
        <f>January!C13+B13</f>
        <v>0</v>
      </c>
      <c r="D13" s="93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13</v>
      </c>
      <c r="B14" s="94"/>
      <c r="C14" s="25">
        <f>January!C14+B14</f>
        <v>0</v>
      </c>
      <c r="D14" s="93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14</v>
      </c>
      <c r="B15" s="94">
        <f>2220+1120+2120+800</f>
        <v>6260</v>
      </c>
      <c r="C15" s="25">
        <f>January!C15+B15</f>
        <v>12300</v>
      </c>
      <c r="D15" s="93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15</v>
      </c>
      <c r="B16" s="94"/>
      <c r="C16" s="25">
        <f>January!C16+B16</f>
        <v>0</v>
      </c>
      <c r="D16" s="93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4" t="s">
        <v>16</v>
      </c>
      <c r="B17" s="94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93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4" t="s">
        <v>17</v>
      </c>
      <c r="B18" s="94">
        <f>550+500+600+600+570+15690</f>
        <v>18510</v>
      </c>
      <c r="C18" s="25">
        <f>January!C18+B18</f>
        <v>30772</v>
      </c>
      <c r="D18" s="93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4" t="s">
        <v>18</v>
      </c>
      <c r="B19" s="94">
        <f>500+1000+1670+500+500+450+1200+1100+1000+1975+2000+457+10420</f>
        <v>22772</v>
      </c>
      <c r="C19" s="25">
        <f>January!C19+B19</f>
        <v>44046</v>
      </c>
      <c r="D19" s="93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4" t="s">
        <v>19</v>
      </c>
      <c r="B20" s="94"/>
      <c r="C20" s="25">
        <f>January!C20+B20</f>
        <v>0</v>
      </c>
      <c r="D20" s="93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4" t="s">
        <v>20</v>
      </c>
      <c r="B21" s="94"/>
      <c r="C21" s="25">
        <f>January!C21+B21</f>
        <v>0</v>
      </c>
      <c r="D21" s="93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4" t="s">
        <v>21</v>
      </c>
      <c r="B22" s="94"/>
      <c r="C22" s="25">
        <f>January!C22+B22</f>
        <v>0</v>
      </c>
      <c r="D22" s="93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22</v>
      </c>
      <c r="B23" s="94"/>
      <c r="C23" s="25">
        <f>January!C23+B23</f>
        <v>0</v>
      </c>
      <c r="D23" s="93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23</v>
      </c>
      <c r="B24" s="94"/>
      <c r="C24" s="25">
        <f>January!C24+B24</f>
        <v>0</v>
      </c>
      <c r="D24" s="93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24</v>
      </c>
      <c r="B25" s="94">
        <f>730</f>
        <v>730</v>
      </c>
      <c r="C25" s="25">
        <f>January!C25+B25</f>
        <v>730</v>
      </c>
      <c r="D25" s="93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4" t="s">
        <v>25</v>
      </c>
      <c r="B26" s="94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93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4" t="s">
        <v>26</v>
      </c>
      <c r="B27" s="94"/>
      <c r="C27" s="25">
        <f>January!C27+B27</f>
        <v>38425</v>
      </c>
      <c r="D27" s="93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4" t="s">
        <v>27</v>
      </c>
      <c r="B28" s="94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93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4" t="s">
        <v>28</v>
      </c>
      <c r="B29" s="94">
        <f>2200</f>
        <v>2200</v>
      </c>
      <c r="C29" s="25">
        <f>January!C29+B29</f>
        <v>4400</v>
      </c>
      <c r="D29" s="93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4" t="s">
        <v>29</v>
      </c>
      <c r="B30" s="94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93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4" t="s">
        <v>30</v>
      </c>
      <c r="B31" s="94"/>
      <c r="C31" s="25">
        <f>January!C31+B31</f>
        <v>0</v>
      </c>
      <c r="D31" s="93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4" t="s">
        <v>31</v>
      </c>
      <c r="B32" s="94"/>
      <c r="C32" s="25">
        <f>January!C32+B32</f>
        <v>0</v>
      </c>
      <c r="D32" s="93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32</v>
      </c>
      <c r="B33" s="94"/>
      <c r="C33" s="25">
        <f>January!C33+B33</f>
        <v>0</v>
      </c>
      <c r="D33" s="93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33</v>
      </c>
      <c r="B34" s="94"/>
      <c r="C34" s="25">
        <f>January!C34+B34</f>
        <v>0</v>
      </c>
      <c r="D34" s="93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34</v>
      </c>
      <c r="B35" s="94"/>
      <c r="C35" s="25">
        <f>January!C35+B35</f>
        <v>0</v>
      </c>
      <c r="D35" s="93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35</v>
      </c>
      <c r="B36" s="94">
        <f>850+1800+700+800+750+1600+750+118500</f>
        <v>125750</v>
      </c>
      <c r="C36" s="25">
        <f>January!C36+B36</f>
        <v>276829</v>
      </c>
      <c r="D36" s="93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36</v>
      </c>
      <c r="B37" s="94">
        <f>2500+2500+80+2200+1250+925+1275</f>
        <v>10730</v>
      </c>
      <c r="C37" s="25">
        <f>January!C37+B37</f>
        <v>54545</v>
      </c>
      <c r="D37" s="93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4" t="s">
        <v>37</v>
      </c>
      <c r="B38" s="94">
        <f>6068</f>
        <v>6068</v>
      </c>
      <c r="C38" s="25">
        <f>January!C38+B38</f>
        <v>11943</v>
      </c>
      <c r="D38" s="93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4" t="s">
        <v>38</v>
      </c>
      <c r="B39" s="94">
        <v>149545</v>
      </c>
      <c r="C39" s="25">
        <f>January!C39+B39</f>
        <v>316610</v>
      </c>
      <c r="D39" s="93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4" t="s">
        <v>39</v>
      </c>
      <c r="B40" s="94"/>
      <c r="C40" s="25">
        <f>January!C40+B40</f>
        <v>0</v>
      </c>
      <c r="D40" s="93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40</v>
      </c>
      <c r="B41" s="94">
        <v>2000</v>
      </c>
      <c r="C41" s="25">
        <f>January!C41+B41</f>
        <v>2000</v>
      </c>
      <c r="D41" s="93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41</v>
      </c>
      <c r="B42" s="94"/>
      <c r="C42" s="25">
        <f>January!C42+B42</f>
        <v>0</v>
      </c>
      <c r="D42" s="93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4" t="s">
        <v>42</v>
      </c>
      <c r="B43" s="94"/>
      <c r="C43" s="25">
        <f>January!C43+B43</f>
        <v>0</v>
      </c>
      <c r="D43" s="93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43</v>
      </c>
      <c r="B44" s="94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93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4" t="s">
        <v>44</v>
      </c>
      <c r="B45" s="94"/>
      <c r="C45" s="25">
        <f>January!C45+B45</f>
        <v>0</v>
      </c>
      <c r="D45" s="93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4" t="s">
        <v>45</v>
      </c>
      <c r="B46" s="94">
        <v>15156</v>
      </c>
      <c r="C46" s="25">
        <f>January!C46+B46</f>
        <v>36220</v>
      </c>
      <c r="D46" s="93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46</v>
      </c>
      <c r="B47" s="94">
        <f>2224+2222+2154+2215+2198+2216+2228+2208+2228+2259+2220+2227</f>
        <v>26599</v>
      </c>
      <c r="C47" s="25">
        <f>January!C47+B47</f>
        <v>54772</v>
      </c>
      <c r="D47" s="93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4" t="s">
        <v>47</v>
      </c>
      <c r="B48" s="94"/>
      <c r="C48" s="25">
        <f>January!C48+B48</f>
        <v>0</v>
      </c>
      <c r="D48" s="93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48</v>
      </c>
      <c r="B49" s="94"/>
      <c r="C49" s="25">
        <f>January!C49+B49</f>
        <v>0</v>
      </c>
      <c r="D49" s="93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49</v>
      </c>
      <c r="B50" s="94"/>
      <c r="C50" s="25">
        <f>January!C50+B50</f>
        <v>0</v>
      </c>
      <c r="D50" s="93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50</v>
      </c>
      <c r="B51" s="94"/>
      <c r="C51" s="25">
        <f>January!C51+B51</f>
        <v>0</v>
      </c>
      <c r="D51" s="93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51</v>
      </c>
      <c r="B52" s="94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93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4" t="s">
        <v>52</v>
      </c>
      <c r="B53" s="94">
        <f>1785+1770+1290+1770+2418+370+650+1810+1810+2417+2360+2360+1690+2040</f>
        <v>24540</v>
      </c>
      <c r="C53" s="25">
        <f>January!C53+B53</f>
        <v>53622</v>
      </c>
      <c r="D53" s="93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5" t="s">
        <v>53</v>
      </c>
      <c r="B54" s="94">
        <v>261442</v>
      </c>
      <c r="C54" s="25">
        <f>January!C54+B54</f>
        <v>521914</v>
      </c>
      <c r="D54" s="93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0" t="s">
        <v>54</v>
      </c>
      <c r="B55" s="59">
        <f>SUM(B7:B54)</f>
        <v>1762297</v>
      </c>
      <c r="C55" s="59">
        <f>January!C55+B55</f>
        <v>3754215</v>
      </c>
      <c r="D55" s="59">
        <f>SUM(D7:D54)</f>
        <v>13014</v>
      </c>
      <c r="E55" s="59">
        <f>January!E55+D55</f>
        <v>40434</v>
      </c>
      <c r="F55" s="59">
        <f>SUM(F7:F54)</f>
        <v>11163</v>
      </c>
      <c r="G55" s="59">
        <f>January!G55+F55</f>
        <v>23914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ht="18" x14ac:dyDescent="0.25">
      <c r="A56" s="91"/>
      <c r="B56" s="50"/>
      <c r="C56" s="50"/>
      <c r="D56" s="50"/>
      <c r="E56" s="50"/>
    </row>
    <row r="57" spans="1:256" ht="16.5" thickBot="1" x14ac:dyDescent="0.3">
      <c r="A57" s="92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55" t="s">
        <v>56</v>
      </c>
      <c r="B58" s="56"/>
      <c r="C58" s="26"/>
      <c r="D58" s="57">
        <f>January!D58+C58</f>
        <v>0</v>
      </c>
      <c r="E58" s="50"/>
    </row>
    <row r="59" spans="1:256" x14ac:dyDescent="0.2">
      <c r="A59" s="55" t="s">
        <v>57</v>
      </c>
      <c r="B59" s="26"/>
      <c r="C59" s="26"/>
      <c r="D59" s="57">
        <f>January!D59+C59</f>
        <v>0</v>
      </c>
    </row>
    <row r="60" spans="1:256" x14ac:dyDescent="0.2">
      <c r="A60" s="55" t="s">
        <v>58</v>
      </c>
      <c r="B60" s="26"/>
      <c r="C60" s="26">
        <f>70+80</f>
        <v>150</v>
      </c>
      <c r="D60" s="57">
        <f>January!D60+C60</f>
        <v>380</v>
      </c>
    </row>
    <row r="61" spans="1:256" x14ac:dyDescent="0.2">
      <c r="A61" s="55" t="s">
        <v>59</v>
      </c>
      <c r="B61" s="26"/>
      <c r="C61" s="26"/>
      <c r="D61" s="57">
        <f>January!D61+C61</f>
        <v>0</v>
      </c>
    </row>
    <row r="62" spans="1:256" x14ac:dyDescent="0.2">
      <c r="A62" s="55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7">
        <f>January!D62+C62</f>
        <v>393698</v>
      </c>
    </row>
    <row r="63" spans="1:256" x14ac:dyDescent="0.2">
      <c r="A63" s="55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7">
        <f>January!D63+C63</f>
        <v>12611</v>
      </c>
    </row>
    <row r="64" spans="1:256" x14ac:dyDescent="0.2">
      <c r="A64" s="55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7">
        <f>January!D64+C64</f>
        <v>42716</v>
      </c>
    </row>
    <row r="65" spans="1:4" x14ac:dyDescent="0.2">
      <c r="A65" s="55" t="s">
        <v>61</v>
      </c>
      <c r="C65" s="26"/>
      <c r="D65" s="57">
        <f>January!D65+C65</f>
        <v>0</v>
      </c>
    </row>
    <row r="66" spans="1:4" x14ac:dyDescent="0.2">
      <c r="A66" s="55" t="s">
        <v>62</v>
      </c>
      <c r="C66" s="26">
        <f>26+24+20+20+30+20+150+150+128+150+65+180+80+180+136+200+205+150+116+180+210+180+525</f>
        <v>3125</v>
      </c>
      <c r="D66" s="57">
        <f>January!D66+C66</f>
        <v>7471</v>
      </c>
    </row>
    <row r="67" spans="1:4" x14ac:dyDescent="0.2">
      <c r="A67" s="55" t="s">
        <v>63</v>
      </c>
      <c r="C67" s="26">
        <v>500</v>
      </c>
      <c r="D67" s="57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52" activePane="bottomLeft" state="frozen"/>
      <selection pane="bottomLeft" activeCell="B43" sqref="B43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72</v>
      </c>
      <c r="G2" s="42"/>
      <c r="I2" s="2"/>
    </row>
    <row r="3" spans="1:256" ht="15.75" x14ac:dyDescent="0.25">
      <c r="F3" t="s">
        <v>67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5">
        <f>850+850+850+850+850+850+425+850+850+850+850</f>
        <v>8925</v>
      </c>
      <c r="C7" s="25">
        <f>February!C7+B7</f>
        <v>38975</v>
      </c>
      <c r="D7" s="93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95"/>
      <c r="C8" s="25">
        <f>February!C8+B8</f>
        <v>0</v>
      </c>
      <c r="D8" s="93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95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93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95"/>
      <c r="C10" s="25">
        <f>February!C10+B10</f>
        <v>0</v>
      </c>
      <c r="D10" s="93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95">
        <v>19628</v>
      </c>
      <c r="C11" s="25">
        <f>February!C11+B11</f>
        <v>248632</v>
      </c>
      <c r="D11" s="93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95"/>
      <c r="C12" s="25">
        <f>February!C12+B12</f>
        <v>0</v>
      </c>
      <c r="D12" s="93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95"/>
      <c r="C13" s="25">
        <f>February!C13+B13</f>
        <v>0</v>
      </c>
      <c r="D13" s="93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95"/>
      <c r="C14" s="25">
        <f>February!C14+B14</f>
        <v>0</v>
      </c>
      <c r="D14" s="93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95">
        <f>2225+2400</f>
        <v>4625</v>
      </c>
      <c r="C15" s="25">
        <f>February!C15+B15</f>
        <v>16925</v>
      </c>
      <c r="D15" s="93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95"/>
      <c r="C16" s="25">
        <f>February!C16+B16</f>
        <v>0</v>
      </c>
      <c r="D16" s="93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95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93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95">
        <f>500+5095</f>
        <v>5595</v>
      </c>
      <c r="C18" s="25">
        <f>February!C18+B18</f>
        <v>36367</v>
      </c>
      <c r="D18" s="93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95">
        <f>1500+1250+251+1250+1250+1250+1500+2000+1500+1500+500+1650+1650+1050+1600+1100+500+850+800+3585</f>
        <v>26536</v>
      </c>
      <c r="C19" s="25">
        <f>February!C19+B19</f>
        <v>70582</v>
      </c>
      <c r="D19" s="93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95">
        <v>9</v>
      </c>
      <c r="C20" s="25">
        <f>February!C20+B20</f>
        <v>9</v>
      </c>
      <c r="D20" s="93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95"/>
      <c r="C21" s="25">
        <f>February!C21+B21</f>
        <v>0</v>
      </c>
      <c r="D21" s="93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95"/>
      <c r="C22" s="25">
        <f>February!C22+B22</f>
        <v>0</v>
      </c>
      <c r="D22" s="93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95"/>
      <c r="C23" s="25">
        <f>February!C23+B23</f>
        <v>0</v>
      </c>
      <c r="D23" s="93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95"/>
      <c r="C24" s="25">
        <f>February!C24+B24</f>
        <v>0</v>
      </c>
      <c r="D24" s="93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95">
        <f>462+900</f>
        <v>1362</v>
      </c>
      <c r="C25" s="25">
        <f>February!C25+B25</f>
        <v>2092</v>
      </c>
      <c r="D25" s="93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95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93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95">
        <v>30775</v>
      </c>
      <c r="C27" s="25">
        <f>February!C27+B27</f>
        <v>69200</v>
      </c>
      <c r="D27" s="93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95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93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95">
        <v>2200</v>
      </c>
      <c r="C29" s="25">
        <f>February!C29+B29</f>
        <v>6600</v>
      </c>
      <c r="D29" s="93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95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93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95"/>
      <c r="C31" s="25">
        <f>February!C31+B31</f>
        <v>0</v>
      </c>
      <c r="D31" s="93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95"/>
      <c r="C32" s="25">
        <f>February!C32+B32</f>
        <v>0</v>
      </c>
      <c r="D32" s="93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95"/>
      <c r="C33" s="25">
        <f>February!C33+B33</f>
        <v>0</v>
      </c>
      <c r="D33" s="93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95"/>
      <c r="C34" s="25">
        <f>February!C34+B34</f>
        <v>0</v>
      </c>
      <c r="D34" s="93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95"/>
      <c r="C35" s="25">
        <f>February!C35+B35</f>
        <v>0</v>
      </c>
      <c r="D35" s="93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95">
        <f>650+1300+825+700+124465</f>
        <v>127940</v>
      </c>
      <c r="C36" s="25">
        <f>February!C36+B36</f>
        <v>404769</v>
      </c>
      <c r="D36" s="93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95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93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95">
        <v>9603</v>
      </c>
      <c r="C38" s="25">
        <f>February!C38+B38</f>
        <v>21546</v>
      </c>
      <c r="D38" s="93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95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93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95"/>
      <c r="C40" s="25">
        <f>February!C40+B40</f>
        <v>0</v>
      </c>
      <c r="D40" s="93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95"/>
      <c r="C41" s="25">
        <f>February!C41+B41</f>
        <v>2000</v>
      </c>
      <c r="D41" s="93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95"/>
      <c r="C42" s="25">
        <f>February!C42+B42</f>
        <v>0</v>
      </c>
      <c r="D42" s="93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95"/>
      <c r="C43" s="25">
        <f>February!C43+B43</f>
        <v>0</v>
      </c>
      <c r="D43" s="93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95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93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95"/>
      <c r="C45" s="25">
        <f>February!C45+B45</f>
        <v>0</v>
      </c>
      <c r="D45" s="93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95">
        <v>5139</v>
      </c>
      <c r="C46" s="25">
        <f>February!C46+B46</f>
        <v>41359</v>
      </c>
      <c r="D46" s="93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95">
        <v>18402</v>
      </c>
      <c r="C47" s="25">
        <f>February!C47+B47</f>
        <v>73174</v>
      </c>
      <c r="D47" s="93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95"/>
      <c r="C48" s="25">
        <f>February!C48+B48</f>
        <v>0</v>
      </c>
      <c r="D48" s="93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95"/>
      <c r="C49" s="25">
        <f>February!C49+B49</f>
        <v>0</v>
      </c>
      <c r="D49" s="93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95"/>
      <c r="C50" s="25">
        <f>February!C50+B50</f>
        <v>0</v>
      </c>
      <c r="D50" s="93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95"/>
      <c r="C51" s="25">
        <f>February!C51+B51</f>
        <v>0</v>
      </c>
      <c r="D51" s="93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95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93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95">
        <f>1250+2500+2040+2040+2360+1818+892+2360+1790+2050+1300+1250</f>
        <v>21650</v>
      </c>
      <c r="C53" s="25">
        <f>February!C53+B53</f>
        <v>75272</v>
      </c>
      <c r="D53" s="93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95">
        <v>278283</v>
      </c>
      <c r="C54" s="25">
        <f>February!C54+B54</f>
        <v>800197</v>
      </c>
      <c r="D54" s="93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59">
        <f>SUM(B7:B54)</f>
        <v>1839888</v>
      </c>
      <c r="C55" s="59">
        <f>February!C55+B55</f>
        <v>5594103</v>
      </c>
      <c r="D55" s="59">
        <f>SUM(D7:D54)</f>
        <v>9443</v>
      </c>
      <c r="E55" s="59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0"/>
      <c r="C56" s="50"/>
      <c r="D56" s="50"/>
      <c r="E56" s="50"/>
    </row>
    <row r="57" spans="1:256" ht="16.5" thickBot="1" x14ac:dyDescent="0.3">
      <c r="A57" s="19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1" t="s">
        <v>56</v>
      </c>
      <c r="B58" s="56"/>
      <c r="C58" s="26">
        <v>20</v>
      </c>
      <c r="D58" s="57">
        <f>February!D58+C58</f>
        <v>20</v>
      </c>
      <c r="E58" s="50"/>
    </row>
    <row r="59" spans="1:256" x14ac:dyDescent="0.2">
      <c r="A59" s="1" t="s">
        <v>57</v>
      </c>
      <c r="B59" s="26"/>
      <c r="C59" s="26"/>
      <c r="D59" s="57">
        <f>February!D59+C59</f>
        <v>0</v>
      </c>
      <c r="E59" s="51"/>
    </row>
    <row r="60" spans="1:256" x14ac:dyDescent="0.2">
      <c r="A60" s="1" t="s">
        <v>58</v>
      </c>
      <c r="B60" s="26"/>
      <c r="C60" s="26">
        <v>60</v>
      </c>
      <c r="D60" s="57">
        <f>February!D60+C60</f>
        <v>440</v>
      </c>
      <c r="E60" s="51"/>
    </row>
    <row r="61" spans="1:256" ht="15.75" x14ac:dyDescent="0.25">
      <c r="A61" s="1" t="s">
        <v>59</v>
      </c>
      <c r="B61" s="26"/>
      <c r="C61" s="58"/>
      <c r="D61" s="57">
        <f>February!D61+C61</f>
        <v>0</v>
      </c>
      <c r="E61" s="51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7">
        <f>February!D62+C62</f>
        <v>443023</v>
      </c>
      <c r="E62" s="51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7">
        <f>February!D63+C63</f>
        <v>17519</v>
      </c>
      <c r="E63" s="51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7">
        <f>February!D64+C64</f>
        <v>59431</v>
      </c>
      <c r="E64" s="51"/>
    </row>
    <row r="65" spans="1:5" x14ac:dyDescent="0.2">
      <c r="A65" s="1" t="s">
        <v>61</v>
      </c>
      <c r="B65" s="51"/>
      <c r="C65" s="26"/>
      <c r="D65" s="57">
        <f>February!D65+C65</f>
        <v>0</v>
      </c>
      <c r="E65" s="51"/>
    </row>
    <row r="66" spans="1:5" x14ac:dyDescent="0.2">
      <c r="A66" s="1" t="s">
        <v>62</v>
      </c>
      <c r="B66" s="51"/>
      <c r="C66" s="26">
        <f>140+150+100+70+180+73+180+180+150+150+220+180+180+165</f>
        <v>2118</v>
      </c>
      <c r="D66" s="57">
        <f>February!D66+C66</f>
        <v>9589</v>
      </c>
      <c r="E66" s="51"/>
    </row>
    <row r="67" spans="1:5" x14ac:dyDescent="0.2">
      <c r="A67" s="1" t="s">
        <v>63</v>
      </c>
      <c r="B67" s="51"/>
      <c r="C67" s="26">
        <v>500</v>
      </c>
      <c r="D67" s="57">
        <f>February!D67+C67</f>
        <v>2500</v>
      </c>
      <c r="E67" s="51"/>
    </row>
    <row r="68" spans="1:5" x14ac:dyDescent="0.2">
      <c r="B68" s="51"/>
      <c r="C68" s="51"/>
      <c r="D68" s="51"/>
      <c r="E68" s="51"/>
    </row>
    <row r="69" spans="1:5" x14ac:dyDescent="0.2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34" activePane="bottomLeft" state="frozen"/>
      <selection pane="bottomLeft" activeCell="B39" sqref="B39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s="43" t="s">
        <v>73</v>
      </c>
      <c r="G2" s="42"/>
      <c r="I2" s="2"/>
    </row>
    <row r="3" spans="1:256" ht="15.75" customHeight="1" x14ac:dyDescent="0.25">
      <c r="F3" t="s">
        <v>67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8">
        <f>900+900+850+280+875+875+875+875+875+875+875+875+762+138</f>
        <v>10830</v>
      </c>
      <c r="C7" s="12">
        <f>March!C7+B7</f>
        <v>49805</v>
      </c>
      <c r="D7" s="96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98"/>
      <c r="C8" s="12">
        <f>March!C8+B8</f>
        <v>0</v>
      </c>
      <c r="D8" s="96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98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96">
        <f>1</f>
        <v>1</v>
      </c>
      <c r="E9" s="12">
        <f>March!E9+D9</f>
        <v>603</v>
      </c>
      <c r="F9" s="12"/>
      <c r="G9" s="12">
        <f>March!G9+F9</f>
        <v>0</v>
      </c>
    </row>
    <row r="10" spans="1:256" x14ac:dyDescent="0.2">
      <c r="A10" s="11" t="s">
        <v>9</v>
      </c>
      <c r="B10" s="98">
        <f>1</f>
        <v>1</v>
      </c>
      <c r="C10" s="12">
        <f>March!C10+B10</f>
        <v>1</v>
      </c>
      <c r="D10" s="96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99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96">
        <v>407</v>
      </c>
      <c r="E11" s="12">
        <f>March!E11+D11</f>
        <v>410</v>
      </c>
      <c r="F11" s="12"/>
      <c r="G11" s="12">
        <f>March!G11+F11</f>
        <v>0</v>
      </c>
    </row>
    <row r="12" spans="1:256" x14ac:dyDescent="0.2">
      <c r="A12" s="11" t="s">
        <v>11</v>
      </c>
      <c r="B12" s="98"/>
      <c r="C12" s="12">
        <f>March!C12+B12</f>
        <v>0</v>
      </c>
      <c r="D12" s="96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98"/>
      <c r="C13" s="12">
        <f>March!C13+B13</f>
        <v>0</v>
      </c>
      <c r="D13" s="96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98"/>
      <c r="C14" s="12">
        <f>March!C14+B14</f>
        <v>0</v>
      </c>
      <c r="D14" s="96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98">
        <f>2250+1150+1150+1600</f>
        <v>6150</v>
      </c>
      <c r="C15" s="12">
        <f>March!C15+B15</f>
        <v>23075</v>
      </c>
      <c r="D15" s="96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98"/>
      <c r="C16" s="12">
        <f>March!C16+B16</f>
        <v>0</v>
      </c>
      <c r="D16" s="96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99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97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 x14ac:dyDescent="0.2">
      <c r="A18" s="11" t="s">
        <v>17</v>
      </c>
      <c r="B18" s="99">
        <f>550+4+5771</f>
        <v>6325</v>
      </c>
      <c r="C18" s="12">
        <f>March!C18+B18</f>
        <v>42692</v>
      </c>
      <c r="D18" s="97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 x14ac:dyDescent="0.2">
      <c r="A19" s="11" t="s">
        <v>18</v>
      </c>
      <c r="B19" s="99">
        <f>238+249+1300+1500+260+360+1500+10+25+1600+1600+160+45+500+900+755+800+2000+232+450+1085+666+860+1300+1514+6+9425</f>
        <v>29340</v>
      </c>
      <c r="C19" s="12">
        <f>March!C19+B19</f>
        <v>99922</v>
      </c>
      <c r="D19" s="97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 x14ac:dyDescent="0.2">
      <c r="A20" s="11" t="s">
        <v>19</v>
      </c>
      <c r="B20" s="98"/>
      <c r="C20" s="12">
        <f>March!C20+B20</f>
        <v>9</v>
      </c>
      <c r="D20" s="97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98"/>
      <c r="C21" s="12">
        <f>March!C21+B21</f>
        <v>0</v>
      </c>
      <c r="D21" s="96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98"/>
      <c r="C22" s="12">
        <f>March!C22+B22</f>
        <v>0</v>
      </c>
      <c r="D22" s="96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98"/>
      <c r="C23" s="12">
        <f>March!C23+B23</f>
        <v>0</v>
      </c>
      <c r="D23" s="96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98"/>
      <c r="C24" s="12">
        <f>March!C24+B24</f>
        <v>0</v>
      </c>
      <c r="D24" s="96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98">
        <v>70</v>
      </c>
      <c r="C25" s="12">
        <f>March!C25+B25</f>
        <v>2162</v>
      </c>
      <c r="D25" s="96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 x14ac:dyDescent="0.2">
      <c r="A26" s="11" t="s">
        <v>25</v>
      </c>
      <c r="B26" s="99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97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 x14ac:dyDescent="0.2">
      <c r="A27" s="11" t="s">
        <v>26</v>
      </c>
      <c r="B27" s="98">
        <v>30250</v>
      </c>
      <c r="C27" s="12">
        <f>March!C27+B27</f>
        <v>99450</v>
      </c>
      <c r="D27" s="96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99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96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 x14ac:dyDescent="0.2">
      <c r="A29" s="11" t="s">
        <v>28</v>
      </c>
      <c r="B29" s="98">
        <f>1300+1300+1300+1100</f>
        <v>5000</v>
      </c>
      <c r="C29" s="12">
        <f>March!C29+B29</f>
        <v>11600</v>
      </c>
      <c r="D29" s="96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98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96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 x14ac:dyDescent="0.2">
      <c r="A31" s="11" t="s">
        <v>30</v>
      </c>
      <c r="B31" s="98"/>
      <c r="C31" s="12">
        <f>March!C31+B31</f>
        <v>0</v>
      </c>
      <c r="D31" s="96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98"/>
      <c r="C32" s="12">
        <f>March!C32+B32</f>
        <v>0</v>
      </c>
      <c r="D32" s="96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98"/>
      <c r="C33" s="12">
        <f>March!C33+B33</f>
        <v>0</v>
      </c>
      <c r="D33" s="96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98"/>
      <c r="C34" s="12">
        <f>March!C34+B34</f>
        <v>0</v>
      </c>
      <c r="D34" s="96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98"/>
      <c r="C35" s="12">
        <f>March!C35+B35</f>
        <v>0</v>
      </c>
      <c r="D35" s="96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99">
        <f>800+700+800+1600+600+129227</f>
        <v>133727</v>
      </c>
      <c r="C36" s="12">
        <f>March!C36+B36</f>
        <v>538496</v>
      </c>
      <c r="D36" s="96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98">
        <f>2500+2400+2500+200</f>
        <v>7600</v>
      </c>
      <c r="C37" s="12">
        <f>March!C37+B37</f>
        <v>105579</v>
      </c>
      <c r="D37" s="96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 x14ac:dyDescent="0.2">
      <c r="A38" s="11" t="s">
        <v>37</v>
      </c>
      <c r="B38" s="99">
        <v>3847</v>
      </c>
      <c r="C38" s="12">
        <f>March!C38+B38</f>
        <v>25393</v>
      </c>
      <c r="D38" s="96">
        <v>234</v>
      </c>
      <c r="E38" s="12">
        <f>March!E38+D38</f>
        <v>236</v>
      </c>
      <c r="F38" s="12"/>
      <c r="G38" s="12">
        <f>March!G38+F38</f>
        <v>0</v>
      </c>
    </row>
    <row r="39" spans="1:7" x14ac:dyDescent="0.2">
      <c r="A39" s="11" t="s">
        <v>38</v>
      </c>
      <c r="B39" s="99">
        <f>330+1925+415+2180+420+350+400+230+420+400+200+465+1720+825+1715+710+1355+2180+1880+280+171863</f>
        <v>190263</v>
      </c>
      <c r="C39" s="12">
        <f>March!C39+B39</f>
        <v>738002</v>
      </c>
      <c r="D39" s="96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98"/>
      <c r="C40" s="12">
        <f>March!C40+B40</f>
        <v>0</v>
      </c>
      <c r="D40" s="96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98"/>
      <c r="C41" s="12">
        <f>March!C41+B41</f>
        <v>2000</v>
      </c>
      <c r="D41" s="96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 x14ac:dyDescent="0.2">
      <c r="A42" s="11" t="s">
        <v>41</v>
      </c>
      <c r="B42" s="98"/>
      <c r="C42" s="12">
        <f>March!C42+B42</f>
        <v>0</v>
      </c>
      <c r="D42" s="96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98"/>
      <c r="C43" s="12">
        <f>March!C43+B43</f>
        <v>0</v>
      </c>
      <c r="D43" s="96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99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97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 x14ac:dyDescent="0.2">
      <c r="A45" s="11" t="s">
        <v>44</v>
      </c>
      <c r="B45" s="98"/>
      <c r="C45" s="12">
        <f>March!C45+B45</f>
        <v>0</v>
      </c>
      <c r="D45" s="97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99">
        <v>17579</v>
      </c>
      <c r="C46" s="12">
        <f>March!C46+B46</f>
        <v>58938</v>
      </c>
      <c r="D46" s="96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 x14ac:dyDescent="0.2">
      <c r="A47" s="11" t="s">
        <v>46</v>
      </c>
      <c r="B47" s="99">
        <v>27889</v>
      </c>
      <c r="C47" s="12">
        <f>March!C47+B47</f>
        <v>101063</v>
      </c>
      <c r="D47" s="96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98"/>
      <c r="C48" s="12">
        <f>March!C48+B48</f>
        <v>0</v>
      </c>
      <c r="D48" s="96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98"/>
      <c r="C49" s="12">
        <f>March!C49+B49</f>
        <v>0</v>
      </c>
      <c r="D49" s="96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98"/>
      <c r="C50" s="12">
        <f>March!C50+B50</f>
        <v>0</v>
      </c>
      <c r="D50" s="96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98"/>
      <c r="C51" s="12">
        <f>March!C51+B51</f>
        <v>0</v>
      </c>
      <c r="D51" s="96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99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96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 x14ac:dyDescent="0.2">
      <c r="A53" s="11" t="s">
        <v>52</v>
      </c>
      <c r="B53" s="99">
        <f>568+1792+2360+1930+1930+1795+2050+1218+1142+1750+2360+1250+1250+1250+2400+1755+2070+1770</f>
        <v>30640</v>
      </c>
      <c r="C53" s="12">
        <f>March!C53+B53</f>
        <v>105912</v>
      </c>
      <c r="D53" s="96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98">
        <v>253914</v>
      </c>
      <c r="C54" s="12">
        <f>March!C54+B54</f>
        <v>1054111</v>
      </c>
      <c r="D54" s="96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1">
        <f>20247+4080</f>
        <v>24327</v>
      </c>
      <c r="D62" s="24">
        <f>March!D62+C62</f>
        <v>467350</v>
      </c>
    </row>
    <row r="63" spans="1:256" x14ac:dyDescent="0.2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 x14ac:dyDescent="0.2">
      <c r="A64" s="1" t="s">
        <v>64</v>
      </c>
      <c r="B64" s="23"/>
      <c r="C64" s="41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 x14ac:dyDescent="0.2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34" activePane="bottomLeft" state="frozen"/>
      <selection pane="bottomLeft" activeCell="B39" sqref="B39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74</v>
      </c>
      <c r="I2" s="2"/>
    </row>
    <row r="3" spans="1:256" ht="15.75" x14ac:dyDescent="0.25">
      <c r="F3" t="s">
        <v>67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8">
        <f>880+880+880+880+880+215+660+880+880+880</f>
        <v>7915</v>
      </c>
      <c r="C7" s="12">
        <f>April!C7+B7</f>
        <v>57720</v>
      </c>
      <c r="D7" s="96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100"/>
      <c r="C8" s="27">
        <f>April!C8+B8</f>
        <v>0</v>
      </c>
      <c r="D8" s="101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100">
        <f>164+725+725+583+2018+571+1940+1260+1260+1050+1050+1100+1100+1100+1100+1100+725+525+750+500+500+500+650+450</f>
        <v>21446</v>
      </c>
      <c r="C9" s="27">
        <f>April!C9+B9</f>
        <v>99875</v>
      </c>
      <c r="D9" s="101">
        <f>2+2+1</f>
        <v>5</v>
      </c>
      <c r="E9" s="27">
        <f>April!E9+D9</f>
        <v>608</v>
      </c>
      <c r="F9" s="27"/>
      <c r="G9" s="27">
        <f>April!G9+F9</f>
        <v>0</v>
      </c>
    </row>
    <row r="10" spans="1:256" x14ac:dyDescent="0.2">
      <c r="A10" s="11" t="s">
        <v>9</v>
      </c>
      <c r="B10" s="100"/>
      <c r="C10" s="27">
        <f>April!C10+B10</f>
        <v>1</v>
      </c>
      <c r="D10" s="101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100">
        <f>1200+1200+550+550+1000+1530+900+300+300+1200+900+1200+1100+1100+1100+1200+1200+1150+1150+1100+1100+1400+1200+51119</f>
        <v>74749</v>
      </c>
      <c r="C11" s="27">
        <f>April!C11+B11</f>
        <v>562499</v>
      </c>
      <c r="D11" s="101"/>
      <c r="E11" s="27">
        <f>April!E11+D11</f>
        <v>410</v>
      </c>
      <c r="F11" s="27"/>
      <c r="G11" s="27">
        <f>April!G11+F11</f>
        <v>0</v>
      </c>
    </row>
    <row r="12" spans="1:256" x14ac:dyDescent="0.2">
      <c r="A12" s="11" t="s">
        <v>11</v>
      </c>
      <c r="B12" s="100"/>
      <c r="C12" s="27">
        <f>April!C12+B12</f>
        <v>0</v>
      </c>
      <c r="D12" s="101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100"/>
      <c r="C13" s="27">
        <f>April!C13+B13</f>
        <v>0</v>
      </c>
      <c r="D13" s="101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100"/>
      <c r="C14" s="27">
        <f>April!C14+B14</f>
        <v>0</v>
      </c>
      <c r="D14" s="101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100">
        <f>2200+2214+1600</f>
        <v>6014</v>
      </c>
      <c r="C15" s="27">
        <f>April!C15+B15</f>
        <v>29089</v>
      </c>
      <c r="D15" s="101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100"/>
      <c r="C16" s="27">
        <f>April!C16+B16</f>
        <v>0</v>
      </c>
      <c r="D16" s="101">
        <f>350+3</f>
        <v>353</v>
      </c>
      <c r="E16" s="27">
        <f>April!E16+D16</f>
        <v>703</v>
      </c>
      <c r="F16" s="27"/>
      <c r="G16" s="27">
        <f>April!G16+F16</f>
        <v>0</v>
      </c>
    </row>
    <row r="17" spans="1:7" x14ac:dyDescent="0.2">
      <c r="A17" s="11" t="s">
        <v>16</v>
      </c>
      <c r="B17" s="100">
        <f>330+500+550+500+550+1030+330+1060+1060+1060+1250+2100+800+700+700+700+700+800+700+800+743+1157+650+650+650+650+595+650+650+55+650+525+1020+1020+525+1060+525+1403+730+591+1200+1200+2076+70+650+775+1750+200+758+250+100+1300+1100+1925+600+650+550+600+450+345+340+345+550+340+345+350+350+220+350+340+345+350+345+345+355+345+350+350+567+330+345+340+345+650+650+650+1060+1060+340+330+350+340+345+340+650+650+650+650+550+650+1+1+650+600+340+1225+300+300+784+400+850+1200+1200+1200+825+173550</f>
        <v>248851</v>
      </c>
      <c r="C17" s="27">
        <f>April!C17+B17</f>
        <v>1451104</v>
      </c>
      <c r="D17" s="101">
        <f>150+1+37+8+30+8+170+110+180+180+100+80+1480+767+600+1468+80+90+1+1+1+1+1+1+1+1+1+135</f>
        <v>5683</v>
      </c>
      <c r="E17" s="27">
        <f>April!E17+D17</f>
        <v>27864</v>
      </c>
      <c r="F17" s="27"/>
      <c r="G17" s="27">
        <f>April!G17+F17</f>
        <v>0</v>
      </c>
    </row>
    <row r="18" spans="1:7" x14ac:dyDescent="0.2">
      <c r="A18" s="11" t="s">
        <v>17</v>
      </c>
      <c r="B18" s="100">
        <f>500+37+32+32+22+175+650+220+1200+225+2+4961</f>
        <v>8056</v>
      </c>
      <c r="C18" s="27">
        <f>April!C18+B18</f>
        <v>50748</v>
      </c>
      <c r="D18" s="101">
        <f>1050</f>
        <v>1050</v>
      </c>
      <c r="E18" s="27">
        <f>April!E18+D18</f>
        <v>3810</v>
      </c>
      <c r="F18" s="27"/>
      <c r="G18" s="27">
        <f>April!G18+F18</f>
        <v>0</v>
      </c>
    </row>
    <row r="19" spans="1:7" x14ac:dyDescent="0.2">
      <c r="A19" s="11" t="s">
        <v>18</v>
      </c>
      <c r="B19" s="100">
        <f>600+1100+128+1600+120+1250+1250+1250+2000+1400+701+298</f>
        <v>11697</v>
      </c>
      <c r="C19" s="27">
        <f>April!C19+B19</f>
        <v>111619</v>
      </c>
      <c r="D19" s="101">
        <f>150+240+10</f>
        <v>400</v>
      </c>
      <c r="E19" s="27">
        <f>April!E19+D19</f>
        <v>2936</v>
      </c>
      <c r="F19" s="27"/>
      <c r="G19" s="27">
        <f>April!G19+F19</f>
        <v>0</v>
      </c>
    </row>
    <row r="20" spans="1:7" x14ac:dyDescent="0.2">
      <c r="A20" s="11" t="s">
        <v>19</v>
      </c>
      <c r="B20" s="100">
        <v>7847</v>
      </c>
      <c r="C20" s="27">
        <f>April!C20+B20</f>
        <v>7856</v>
      </c>
      <c r="D20" s="101">
        <f>1</f>
        <v>1</v>
      </c>
      <c r="E20" s="27">
        <f>April!E20+D20</f>
        <v>23</v>
      </c>
      <c r="F20" s="27"/>
      <c r="G20" s="27">
        <f>April!G20+F20</f>
        <v>0</v>
      </c>
    </row>
    <row r="21" spans="1:7" x14ac:dyDescent="0.2">
      <c r="A21" s="11" t="s">
        <v>20</v>
      </c>
      <c r="B21" s="100"/>
      <c r="C21" s="27">
        <f>April!C21+B21</f>
        <v>0</v>
      </c>
      <c r="D21" s="101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100"/>
      <c r="C22" s="27">
        <f>April!C22+B22</f>
        <v>0</v>
      </c>
      <c r="D22" s="101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100"/>
      <c r="C23" s="27">
        <f>April!C23+B23</f>
        <v>0</v>
      </c>
      <c r="D23" s="101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100"/>
      <c r="C24" s="27">
        <f>April!C24+B24</f>
        <v>0</v>
      </c>
      <c r="D24" s="101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100">
        <f>24+275+24+550+469</f>
        <v>1342</v>
      </c>
      <c r="C25" s="27">
        <f>April!C25+B25</f>
        <v>3504</v>
      </c>
      <c r="D25" s="101">
        <f>28+181+27+54+27+60+180+106+53+300</f>
        <v>1016</v>
      </c>
      <c r="E25" s="27">
        <f>April!E25+D25</f>
        <v>6357</v>
      </c>
      <c r="F25" s="27"/>
      <c r="G25" s="27">
        <f>April!G25+F25</f>
        <v>0</v>
      </c>
    </row>
    <row r="26" spans="1:7" x14ac:dyDescent="0.2">
      <c r="A26" s="11" t="s">
        <v>25</v>
      </c>
      <c r="B26" s="100">
        <f>1250+3150+2518+1304+1253+1264+1269+3780+1620+420+155+630+1867+2160+1620+160+5067+460+460+510+355+310+135+200+75+850+2250+2040+2040+1220+214+203+240+240+410+410+380+1200+250+200+150+1000+1000+340+200+1100+1100+1100+1100+40+350+390+1561+1014+1521+60+60+106+2400+752+740+850+1080+1080+65+220+1000+1000+600+1000+1000+1000+2200+480+2054+2054+2100+2100+2000+111+2034+506+1525+850+660+630+1125+330+285+155+155+240+420+155+240+1260+230+230+100+155+110+310+160+3822+3000+550+550+79+480+480+240+380+108+2500+2056+2200+850+570+925+111+172+1000+1000+1+1+1+1+1+6+500+700+144401</f>
        <v>260767</v>
      </c>
      <c r="C26" s="27">
        <f>April!C26+B26</f>
        <v>1364359</v>
      </c>
      <c r="D26" s="101">
        <f>3+11+250+212+320+2685</f>
        <v>3481</v>
      </c>
      <c r="E26" s="27">
        <f>April!E26+D26</f>
        <v>12637</v>
      </c>
      <c r="F26" s="27"/>
      <c r="G26" s="27">
        <f>April!G26+F26</f>
        <v>0</v>
      </c>
    </row>
    <row r="27" spans="1:7" x14ac:dyDescent="0.2">
      <c r="A27" s="11" t="s">
        <v>26</v>
      </c>
      <c r="B27" s="100">
        <v>34900</v>
      </c>
      <c r="C27" s="27">
        <f>April!C27+B27</f>
        <v>134350</v>
      </c>
      <c r="D27" s="101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100">
        <f>10+500+700+850+500+175+90+500+1845+2445+1302+2480+1762+613+1227+1037+1243+2445+2445+800+1645+2595+467+8+1250+700+2610+2760+2770+700+2450+4000+800+60+100+280+2610+2610+700+640+630+640+700+100+350+10+2495+2495+2595+2595+800+1805+350+2440+800+720+372+720+670+625+625+1800+600+240+502+503+1920+320+640+320+640+1650+1220+610+610+735+1236+1237+685+2036+607+608+690+350+198769</f>
        <v>293789</v>
      </c>
      <c r="C28" s="27">
        <f>April!C28+B28</f>
        <v>1595671</v>
      </c>
      <c r="D28" s="101">
        <f>130+150+45</f>
        <v>325</v>
      </c>
      <c r="E28" s="27">
        <f>April!E28+D28</f>
        <v>2409</v>
      </c>
      <c r="F28" s="27"/>
      <c r="G28" s="27">
        <f>April!G28+F28</f>
        <v>24</v>
      </c>
    </row>
    <row r="29" spans="1:7" x14ac:dyDescent="0.2">
      <c r="A29" s="11" t="s">
        <v>28</v>
      </c>
      <c r="B29" s="100"/>
      <c r="C29" s="27">
        <f>April!C29+B29</f>
        <v>11600</v>
      </c>
      <c r="D29" s="101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100">
        <f>700+670+274+1227+948+800+800+1406+700+700+250+300+1095+1095+1095+1095+1095+1325+615+1000+1000+1000+18+900+340+900+1250+500+1200+180+19+1100+900+1300+600+1250+1120+1410+1720+1120+1410+1120+1120+1410+127521</f>
        <v>167598</v>
      </c>
      <c r="C30" s="27">
        <f>April!C30+B30</f>
        <v>699518</v>
      </c>
      <c r="D30" s="101">
        <f>120+240+44+5+28+22+968+135+230+168+30+196+120+160+133+180+288</f>
        <v>3067</v>
      </c>
      <c r="E30" s="27">
        <f>April!E30+D30</f>
        <v>9172</v>
      </c>
      <c r="F30" s="27"/>
      <c r="G30" s="27">
        <f>April!G30+F30</f>
        <v>0</v>
      </c>
    </row>
    <row r="31" spans="1:7" x14ac:dyDescent="0.2">
      <c r="A31" s="11" t="s">
        <v>30</v>
      </c>
      <c r="B31" s="100"/>
      <c r="C31" s="27">
        <f>April!C31+B31</f>
        <v>0</v>
      </c>
      <c r="D31" s="101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100"/>
      <c r="C32" s="27">
        <f>April!C32+B32</f>
        <v>0</v>
      </c>
      <c r="D32" s="101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100"/>
      <c r="C33" s="27">
        <f>April!C33+B33</f>
        <v>0</v>
      </c>
      <c r="D33" s="101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100"/>
      <c r="C34" s="27">
        <f>April!C34+B34</f>
        <v>0</v>
      </c>
      <c r="D34" s="101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100"/>
      <c r="C35" s="27">
        <f>April!C35+B35</f>
        <v>0</v>
      </c>
      <c r="D35" s="101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100">
        <f>800+1250+800+800+800+1600+1600+800+122038</f>
        <v>130488</v>
      </c>
      <c r="C36" s="27">
        <f>April!C36+B36</f>
        <v>668984</v>
      </c>
      <c r="D36" s="101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100">
        <f>2160+1000+1000+1000+1200+1000+2500+2250+1250+1250+600+130+1150+2235+1000+1200+167+2100</f>
        <v>23192</v>
      </c>
      <c r="C37" s="27">
        <f>April!C37+B37</f>
        <v>128771</v>
      </c>
      <c r="D37" s="101">
        <f>170+160+160+350+430+430+450+175+220+210</f>
        <v>2755</v>
      </c>
      <c r="E37" s="27">
        <f>April!E37+D37</f>
        <v>7261</v>
      </c>
      <c r="F37" s="27"/>
      <c r="G37" s="27">
        <f>April!G37+F37</f>
        <v>0</v>
      </c>
    </row>
    <row r="38" spans="1:7" x14ac:dyDescent="0.2">
      <c r="A38" s="11" t="s">
        <v>37</v>
      </c>
      <c r="B38" s="100">
        <v>6195</v>
      </c>
      <c r="C38" s="27">
        <f>April!C38+B38</f>
        <v>31588</v>
      </c>
      <c r="D38" s="101">
        <f>1+1+1+1+1+1+1+1+1+1+1+1+1+7+138</f>
        <v>158</v>
      </c>
      <c r="E38" s="27">
        <f>April!E38+D38</f>
        <v>394</v>
      </c>
      <c r="F38" s="27"/>
      <c r="G38" s="27">
        <f>April!G38+F38</f>
        <v>0</v>
      </c>
    </row>
    <row r="39" spans="1:7" x14ac:dyDescent="0.2">
      <c r="A39" s="11" t="s">
        <v>38</v>
      </c>
      <c r="B39" s="100">
        <f>600+350+550+600+920+600+600+2180+2180+600+2000+324+275+1200+1135+2180+2030+1045+2040+2180+810+1240+280+520+720+550+520+1438+250+600+600+600+1625+280+500+550+555+600+600+600+2180+810+1240+280+520+720+550+520+1438+250+600+500+550+555+280+350+1625+550+600+920+600+2180+2180+600+2000+324+275+1200+1135+2180+2030+1045+2040+580+550+580+580+1935+2180+289+700+2180+1225+1275+500+600+2180+1530+600+600+200+580+600+2250+2180+590+1160+2050+2250+200+2050+600+520+580+580+580+580+580+450+169963</f>
        <v>276481</v>
      </c>
      <c r="C39" s="27">
        <f>April!C39+B39</f>
        <v>1014483</v>
      </c>
      <c r="D39" s="101">
        <v>10</v>
      </c>
      <c r="E39" s="27">
        <f>April!E39+D39</f>
        <v>14</v>
      </c>
      <c r="F39" s="27"/>
      <c r="G39" s="27">
        <f>April!G39+F39</f>
        <v>0</v>
      </c>
    </row>
    <row r="40" spans="1:7" x14ac:dyDescent="0.2">
      <c r="A40" s="11" t="s">
        <v>39</v>
      </c>
      <c r="B40" s="100"/>
      <c r="C40" s="27">
        <f>April!C40+B40</f>
        <v>0</v>
      </c>
      <c r="D40" s="101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100"/>
      <c r="C41" s="27">
        <f>April!C41+B41</f>
        <v>2000</v>
      </c>
      <c r="D41" s="101"/>
      <c r="E41" s="27">
        <f>April!E41+D41</f>
        <v>18</v>
      </c>
      <c r="F41" s="27"/>
      <c r="G41" s="27">
        <f>April!G41+F41</f>
        <v>0</v>
      </c>
    </row>
    <row r="42" spans="1:7" x14ac:dyDescent="0.2">
      <c r="A42" s="11" t="s">
        <v>41</v>
      </c>
      <c r="B42" s="100"/>
      <c r="C42" s="27">
        <f>April!C42+B42</f>
        <v>0</v>
      </c>
      <c r="D42" s="101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100"/>
      <c r="C43" s="27">
        <f>April!C43+B43</f>
        <v>0</v>
      </c>
      <c r="D43" s="101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100">
        <v>14542</v>
      </c>
      <c r="C44" s="27">
        <f>April!C44+B44</f>
        <v>150568</v>
      </c>
      <c r="D44" s="101">
        <v>197</v>
      </c>
      <c r="E44" s="27">
        <f>April!E44+D44</f>
        <v>1577</v>
      </c>
      <c r="F44" s="27"/>
      <c r="G44" s="27">
        <f>April!G44+F44</f>
        <v>0</v>
      </c>
    </row>
    <row r="45" spans="1:7" x14ac:dyDescent="0.2">
      <c r="A45" s="11" t="s">
        <v>44</v>
      </c>
      <c r="B45" s="100"/>
      <c r="C45" s="27">
        <f>April!C45+B45</f>
        <v>0</v>
      </c>
      <c r="D45" s="101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100">
        <v>9311</v>
      </c>
      <c r="C46" s="27">
        <f>April!C46+B46</f>
        <v>68249</v>
      </c>
      <c r="D46" s="101">
        <v>1</v>
      </c>
      <c r="E46" s="27">
        <f>April!E46+D46</f>
        <v>96</v>
      </c>
      <c r="F46" s="27"/>
      <c r="G46" s="27">
        <f>April!G46+F46</f>
        <v>0</v>
      </c>
    </row>
    <row r="47" spans="1:7" x14ac:dyDescent="0.2">
      <c r="A47" s="11" t="s">
        <v>46</v>
      </c>
      <c r="B47" s="100">
        <v>30243</v>
      </c>
      <c r="C47" s="27">
        <f>April!C47+B47</f>
        <v>131306</v>
      </c>
      <c r="D47" s="101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100"/>
      <c r="C48" s="27">
        <f>April!C48+B48</f>
        <v>0</v>
      </c>
      <c r="D48" s="101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100"/>
      <c r="C49" s="27">
        <f>April!C49+B49</f>
        <v>0</v>
      </c>
      <c r="D49" s="101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100"/>
      <c r="C50" s="27">
        <f>April!C50+B50</f>
        <v>0</v>
      </c>
      <c r="D50" s="101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100"/>
      <c r="C51" s="27">
        <f>April!C51+B51</f>
        <v>0</v>
      </c>
      <c r="D51" s="101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100">
        <f>1025+1100+600+2400+600+600+562+2400+2400+400+450+850+2400+200+200+200+75+240+200+250+200+200+270+150+200+1025+500+975+600+40+1000+24+200+200+150+150+50</f>
        <v>23086</v>
      </c>
      <c r="C52" s="27">
        <f>April!C52+B52</f>
        <v>107059</v>
      </c>
      <c r="D52" s="101">
        <v>901</v>
      </c>
      <c r="E52" s="27">
        <f>April!E52+D52</f>
        <v>2789</v>
      </c>
      <c r="F52" s="27"/>
      <c r="G52" s="27">
        <f>April!G52+F52</f>
        <v>0</v>
      </c>
    </row>
    <row r="53" spans="1:256" x14ac:dyDescent="0.2">
      <c r="A53" s="11" t="s">
        <v>52</v>
      </c>
      <c r="B53" s="100">
        <f>530+1830+1825+1825+1795+2360+2360+1930+1289+506+272+533+300</f>
        <v>17355</v>
      </c>
      <c r="C53" s="27">
        <f>April!C53+B53</f>
        <v>123267</v>
      </c>
      <c r="D53" s="101">
        <f>160+48+250</f>
        <v>458</v>
      </c>
      <c r="E53" s="27">
        <f>April!E53+D53</f>
        <v>2278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100">
        <v>254791</v>
      </c>
      <c r="C54" s="27">
        <f>April!C54+B54</f>
        <v>1308902</v>
      </c>
      <c r="D54" s="101">
        <v>773</v>
      </c>
      <c r="E54" s="27">
        <f>April!E54+D54</f>
        <v>4085</v>
      </c>
      <c r="F54" s="27">
        <v>12078</v>
      </c>
      <c r="G54" s="27">
        <f>April!G54+F54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1930655</v>
      </c>
      <c r="C55" s="15">
        <f>April!C55+B55</f>
        <v>9914690</v>
      </c>
      <c r="D55" s="15">
        <f>SUM(D7:D54)</f>
        <v>20634</v>
      </c>
      <c r="E55" s="15">
        <f>April!E55+D55</f>
        <v>85441</v>
      </c>
      <c r="F55" s="15">
        <f>SUM(F7:F54)</f>
        <v>12078</v>
      </c>
      <c r="G55" s="15">
        <f>April!G55+F55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>
        <v>100</v>
      </c>
      <c r="D58" s="36">
        <f>April!D58+C58</f>
        <v>120</v>
      </c>
      <c r="E58" s="31"/>
      <c r="F58" s="32"/>
      <c r="G58" s="32"/>
    </row>
    <row r="59" spans="1:256" x14ac:dyDescent="0.2">
      <c r="A59" s="1" t="s">
        <v>57</v>
      </c>
      <c r="B59" s="35"/>
      <c r="C59" s="35">
        <v>100</v>
      </c>
      <c r="D59" s="36">
        <f>April!D59+C59</f>
        <v>100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>
        <f>85+170+180+150+175+175+55+150+70+40+40+359+175+160+175+150+150+150+40+55+70+150+270+140+230+150+95+200+30+150+150+200+150+175+150+55+70+40+175+175+40+70+150+55+175+200+200+125+75+50+200+175+55+150+70+40+150+40+270+45+30+26+65+35+95+90+30+120+75+85+26+35+230+45+120+80+75+26+75+45+30+90+120+50+95+15+26+100+120+90+30+45+120+160+230+26+45+80+120+200+70+300+140+125+30+500+200+85+70+175+140+30+90+320+135+125+200+85+30+325+200+85+150+150+70+30+85+240+2280+1280+1430+1124+100+130+160+90+50+180+160+130+100+50+90+60+100+100+200+100+130+160+90+100+130+90+160+55+110+50+120+20+130+100+160+300+200+120+100+200+160+175+50+180+160+90+90+140+35+40+100+130+90+160+100+130+210+100+130+160+90+90+75+150+100+130+90+160+60+150+180+45+110+280+165+50+270+311+30+85+200+225+140+70+165+75+300+110+165+45+30+100+70+350+150+32+85+100+100+50+75+160+100+30+275+100+500+70+30+85+110+280+165+45+150+180+180+200+180+150+280+165+110+45+260+180+150+85+40+150+40+70+150+55+175+200+50+280+180+40+70+55+150+175+175+200+175+120+180+55+180+240+200+175+150+175+200+200+240+175+280+50+55+150+70+40+150+40+150+40+70+100+150+170+40+200+150+120+200+200+275+50+200+175+40+70+70+150+175+200+40+40+70+150+175+55+50+200+150+140+200+222+175+8+6+115+20+12+30+210+98+30+20+8+175+30+210+100+125+98+12+8+12+8+210+92+20+125+100+200+125+90+8+210+92+10+90+26+96+125+26+55+70+120+125+95+26+55+30+45+230+80+55+90+35+275+26+25+45+55+78+120+50+30+80+300+45+26+80+75+100+60+35+85+45+50+100+35+150+80+26+45+160+165+175+280+2700</f>
        <v>57550</v>
      </c>
      <c r="D62" s="36">
        <f>April!D62+C62</f>
        <v>524900</v>
      </c>
      <c r="E62" s="32"/>
      <c r="F62" s="32"/>
      <c r="G62" s="32"/>
    </row>
    <row r="63" spans="1:256" x14ac:dyDescent="0.2">
      <c r="A63" s="1" t="s">
        <v>66</v>
      </c>
      <c r="B63" s="35"/>
      <c r="C63" s="35">
        <f>8+110+40+35+50+80+70+170+100+45+106+50+80+90+20+170+8+25+35+25+100+40+45+116+80+90+50+170+80+90+70+25+170+170+90+80+35+25+116+45+100+170+70+50+90+35+80+25+12+20+90+170+176+45+80+106+25+100+25+25+80+35+50+90+14+170+65+18+41+9</f>
        <v>5070</v>
      </c>
      <c r="D63" s="36">
        <f>April!D63+C63</f>
        <v>30197</v>
      </c>
      <c r="E63" s="32"/>
      <c r="F63" s="32"/>
      <c r="G63" s="32"/>
    </row>
    <row r="64" spans="1:256" x14ac:dyDescent="0.2">
      <c r="A64" s="1" t="s">
        <v>64</v>
      </c>
      <c r="B64" s="35"/>
      <c r="C64" s="35">
        <f>140+170+130+170+120+170+130+170+140+170+170+130+180+170+100+170+140+170+140+170+170+140+170+110+170+140+130+170+170+170+140+170+130+110+140+160+250+24+125+45+26+140+65+68+180+160+250+140+105+68+76+32+60+145+35+26+32+140+160+250+45+26+32+35+140+90+180+160+200+35+26+32+90+140+105+140+160+250+45+26+32+60+68+140+65+68+190+30+70+16+25+78+10+75+40+47+7+38+45+70+19+67+20+15+75+57+36+28+3+45+30+70+20+35+58+20+10+75+40+100+34+7+45+70+75+130+20+43+9+57+6+120+45+33+19+57+20+15+75+57+38+85+100+30+70+25+6+8+78+10+75+40+50+80+37</f>
        <v>13665</v>
      </c>
      <c r="D64" s="36">
        <f>April!D64+C64</f>
        <v>83213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 x14ac:dyDescent="0.2">
      <c r="A67" s="1" t="s">
        <v>63</v>
      </c>
      <c r="B67" s="32"/>
      <c r="C67" s="35">
        <v>500</v>
      </c>
      <c r="D67" s="36">
        <f>April!D67+C67</f>
        <v>4000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28" activePane="bottomLeft" state="frozen"/>
      <selection pane="bottomLeft" activeCell="B40" sqref="B40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71"/>
      <c r="C2" s="32"/>
      <c r="D2" s="71"/>
      <c r="E2" s="32"/>
      <c r="F2" t="s">
        <v>75</v>
      </c>
      <c r="I2" s="2"/>
    </row>
    <row r="3" spans="1:256" ht="15.75" x14ac:dyDescent="0.25">
      <c r="F3" t="s">
        <v>82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102">
        <f>450+900+900+900+3000+62+47+27+875+155+1000</f>
        <v>8316</v>
      </c>
      <c r="C7" s="12">
        <f>May!C7+B7</f>
        <v>66036</v>
      </c>
      <c r="D7" s="96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98"/>
      <c r="C8" s="12">
        <f>May!C8+B8</f>
        <v>0</v>
      </c>
      <c r="D8" s="96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103">
        <f>1100+1879+448+625+635+1807+1762+1917+1100+600+400+1100+600+500+1100+1100+1100+1100+45+1639+1824+1641+1785+1793+1774+1764+1764+1778+1819+1788+450</f>
        <v>38737</v>
      </c>
      <c r="C9" s="12">
        <f>May!C9+B9</f>
        <v>138612</v>
      </c>
      <c r="D9" s="104">
        <f>6+7+3</f>
        <v>16</v>
      </c>
      <c r="E9" s="12">
        <f>May!E9+D9</f>
        <v>624</v>
      </c>
      <c r="F9" s="12"/>
      <c r="G9" s="12">
        <f>May!G9+F9</f>
        <v>0</v>
      </c>
    </row>
    <row r="10" spans="1:256" x14ac:dyDescent="0.2">
      <c r="A10" s="11" t="s">
        <v>9</v>
      </c>
      <c r="B10" s="98"/>
      <c r="C10" s="12">
        <f>May!C10+B10</f>
        <v>1</v>
      </c>
      <c r="D10" s="96">
        <f>4+4+1+1+1+1+1+1+2+4+7+3</f>
        <v>30</v>
      </c>
      <c r="E10" s="12">
        <f>May!E10+D10</f>
        <v>30</v>
      </c>
      <c r="F10" s="12"/>
      <c r="G10" s="12">
        <f>May!G10+F10</f>
        <v>0</v>
      </c>
    </row>
    <row r="11" spans="1:256" x14ac:dyDescent="0.2">
      <c r="A11" s="11" t="s">
        <v>10</v>
      </c>
      <c r="B11" s="95">
        <f>1300+700+1150+400+350+800+1100+1000+1500+1000+500+2500+500+1500+2363+400+1200+2363+2084+820+2500+2500+1420+1680+1080+2500+43586</f>
        <v>78796</v>
      </c>
      <c r="C11" s="12">
        <f>May!C11+B11</f>
        <v>641295</v>
      </c>
      <c r="D11" s="96"/>
      <c r="E11" s="12">
        <f>May!E11+D11</f>
        <v>410</v>
      </c>
      <c r="F11" s="12"/>
      <c r="G11" s="12">
        <f>May!G11+F11</f>
        <v>0</v>
      </c>
    </row>
    <row r="12" spans="1:256" x14ac:dyDescent="0.2">
      <c r="A12" s="11" t="s">
        <v>11</v>
      </c>
      <c r="B12" s="95"/>
      <c r="C12" s="12">
        <f>May!C12+B12</f>
        <v>0</v>
      </c>
      <c r="D12" s="96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95"/>
      <c r="C13" s="12">
        <f>May!C13+B13</f>
        <v>0</v>
      </c>
      <c r="D13" s="96">
        <f>1+1+1+1+1+1+1</f>
        <v>7</v>
      </c>
      <c r="E13" s="12">
        <f>May!E13+D13</f>
        <v>7</v>
      </c>
      <c r="F13" s="12"/>
      <c r="G13" s="12">
        <f>May!G13+F13</f>
        <v>0</v>
      </c>
    </row>
    <row r="14" spans="1:256" x14ac:dyDescent="0.2">
      <c r="A14" s="11" t="s">
        <v>13</v>
      </c>
      <c r="B14" s="95"/>
      <c r="C14" s="12">
        <f>May!C14+B14</f>
        <v>0</v>
      </c>
      <c r="D14" s="96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95">
        <f>1120+1120+2225+1600</f>
        <v>6065</v>
      </c>
      <c r="C15" s="12">
        <f>May!C15+B15</f>
        <v>35154</v>
      </c>
      <c r="D15" s="96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95"/>
      <c r="C16" s="12">
        <f>May!C16+B16</f>
        <v>0</v>
      </c>
      <c r="D16" s="96"/>
      <c r="E16" s="12">
        <f>May!E16+D16</f>
        <v>703</v>
      </c>
      <c r="F16" s="12"/>
      <c r="G16" s="12">
        <f>May!G16+F16</f>
        <v>0</v>
      </c>
    </row>
    <row r="17" spans="1:7" x14ac:dyDescent="0.2">
      <c r="A17" s="11" t="s">
        <v>16</v>
      </c>
      <c r="B17" s="95">
        <f>600+650+600+650+1060+1000+950+1550+904+1300+1391+1080+1060+1080+1080+36+235+24+465+415+650+650+650+650+425+227+195+648+465+640+1500+185+614+626+1190+1187+375+1250+1302+1303+1060+1060+1240+620+620+1240+1500+1500+335+340+340+350+350+345+220+330+340+345+345+345+350+1100+1350+759+471+644+650+650+285+1477+400+719+470+617+830+830+345+330+350+320+345+345+340+738+508+340+345+340+330+335+80+175+655+55+1+1+1+376+663+292+595+1875+770+770+640+617+1232+516+625+285+1423+1450+700+804+1200+1200+1200+450+580+1740+580+642+642+830+830+830+525+525+400+1000+1000+500+1250+1000+1000+1000+1054+1400+1301+1325+199+650+650+650+451+550+1252+1377+606+443+658+653+650+65+650+650+585+550+550+400+1100+1100+1479+1060+1316+830+350+170+821+247918</f>
        <v>367588</v>
      </c>
      <c r="C17" s="12">
        <f>May!C17+B17</f>
        <v>1818692</v>
      </c>
      <c r="D17" s="96">
        <f>500+170+60+50+1+1+1+1+1+1+1+1+1+1+1+1+1+1+1+6+7+142+1+1+1+1+1+4+4+8+6+191+13+18+5+19+80+110+1+1+1+1+1+1+1+1+1+1+30+1+1+1+1+1+1+1+9+42+7+510</f>
        <v>2028</v>
      </c>
      <c r="E17" s="12">
        <f>May!E17+D17</f>
        <v>29892</v>
      </c>
      <c r="F17" s="12"/>
      <c r="G17" s="12">
        <f>May!G17+F17</f>
        <v>0</v>
      </c>
    </row>
    <row r="18" spans="1:7" x14ac:dyDescent="0.2">
      <c r="A18" s="11" t="s">
        <v>17</v>
      </c>
      <c r="B18" s="98">
        <f>140+320+2+1200+500+100+6136</f>
        <v>8398</v>
      </c>
      <c r="C18" s="12">
        <f>May!C18+B18</f>
        <v>59146</v>
      </c>
      <c r="D18" s="96">
        <f>5+2+9+3+9+3+5+1+1+1+1+1+1+1+1+1+1+18+5+5+10+6+6+24+7+4+3+1+9+50+1+6+1+1+1+1+1+1+1+1+1+1+3+1+19+13+13+228+14+3+14+34+3+1+1+3+1+1+1+1+1+74</f>
        <v>640</v>
      </c>
      <c r="E18" s="12">
        <f>May!E18+D18</f>
        <v>4450</v>
      </c>
      <c r="F18" s="12"/>
      <c r="G18" s="12">
        <f>May!G18+F18</f>
        <v>0</v>
      </c>
    </row>
    <row r="19" spans="1:7" x14ac:dyDescent="0.2">
      <c r="A19" s="11" t="s">
        <v>18</v>
      </c>
      <c r="B19" s="98">
        <f>1400+299+1400+1600+1400+1500+2000+11375</f>
        <v>20974</v>
      </c>
      <c r="C19" s="12">
        <f>May!C19+B19</f>
        <v>132593</v>
      </c>
      <c r="D19" s="96">
        <f>7+1+1+150+150+128+1+1+1+1+18+150+150+431</f>
        <v>1190</v>
      </c>
      <c r="E19" s="12">
        <f>May!E19+D19</f>
        <v>4126</v>
      </c>
      <c r="F19" s="12"/>
      <c r="G19" s="12">
        <f>May!G19+F19</f>
        <v>0</v>
      </c>
    </row>
    <row r="20" spans="1:7" x14ac:dyDescent="0.2">
      <c r="A20" s="11" t="s">
        <v>19</v>
      </c>
      <c r="B20" s="98"/>
      <c r="C20" s="12">
        <f>May!C20+B20</f>
        <v>7856</v>
      </c>
      <c r="D20" s="96"/>
      <c r="E20" s="12">
        <f>May!E20+D20</f>
        <v>23</v>
      </c>
      <c r="F20" s="12"/>
      <c r="G20" s="12">
        <f>May!G20+F20</f>
        <v>0</v>
      </c>
    </row>
    <row r="21" spans="1:7" x14ac:dyDescent="0.2">
      <c r="A21" s="11" t="s">
        <v>20</v>
      </c>
      <c r="B21" s="98"/>
      <c r="C21" s="12">
        <f>May!C21+B21</f>
        <v>0</v>
      </c>
      <c r="D21" s="96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98"/>
      <c r="C22" s="12">
        <f>May!C22+B22</f>
        <v>0</v>
      </c>
      <c r="D22" s="96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98"/>
      <c r="C23" s="12">
        <f>May!C23+B23</f>
        <v>0</v>
      </c>
      <c r="D23" s="96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98"/>
      <c r="C24" s="12">
        <f>May!C24+B24</f>
        <v>0</v>
      </c>
      <c r="D24" s="96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98">
        <f>172+425</f>
        <v>597</v>
      </c>
      <c r="C25" s="12">
        <f>May!C25+B25</f>
        <v>4101</v>
      </c>
      <c r="D25" s="96">
        <v>650</v>
      </c>
      <c r="E25" s="12">
        <f>May!E25+D25</f>
        <v>7007</v>
      </c>
      <c r="F25" s="12"/>
      <c r="G25" s="12">
        <f>May!G25+F25</f>
        <v>0</v>
      </c>
    </row>
    <row r="26" spans="1:7" x14ac:dyDescent="0.2">
      <c r="A26" s="11" t="s">
        <v>25</v>
      </c>
      <c r="B26" s="98">
        <f>850+2056+2056+135+200+70+910+2100+2000+380+510+510+106+480+600+600+100+836+2144+1608+1100+1100+1178+490+550+550+550+550+550+200+500+500+500+500+1100+600+650+650+2060+350+350+380+510+500+500+2054+2054+135+850+630+525+205+1000+1000+180+440+40+2040+2040+170+110+850+80+850+850+625+625+250+350+250+500+500+2100+2100+250+250+310+4800+260+650+410+255+625+1180+1180+1180+110+500+500+160+1000+1392+392+334+600+600+121891</f>
        <v>196951</v>
      </c>
      <c r="C26" s="12">
        <f>May!C26+B26</f>
        <v>1561310</v>
      </c>
      <c r="D26" s="96">
        <f>7+3+4+4+30+4+1+251+1+212+1792</f>
        <v>2309</v>
      </c>
      <c r="E26" s="12">
        <f>May!E26+D26</f>
        <v>14946</v>
      </c>
      <c r="F26" s="12"/>
      <c r="G26" s="12">
        <f>May!G26+F26</f>
        <v>0</v>
      </c>
    </row>
    <row r="27" spans="1:7" x14ac:dyDescent="0.2">
      <c r="A27" s="11" t="s">
        <v>26</v>
      </c>
      <c r="B27" s="98">
        <v>30425</v>
      </c>
      <c r="C27" s="12">
        <f>May!C27+B27</f>
        <v>164775</v>
      </c>
      <c r="D27" s="96">
        <f>1</f>
        <v>1</v>
      </c>
      <c r="E27" s="12">
        <f>May!E27+D27</f>
        <v>1</v>
      </c>
      <c r="F27" s="12"/>
      <c r="G27" s="12">
        <f>May!G27+F27</f>
        <v>0</v>
      </c>
    </row>
    <row r="28" spans="1:7" x14ac:dyDescent="0.2">
      <c r="A28" s="11" t="s">
        <v>27</v>
      </c>
      <c r="B28" s="95">
        <f>700+1050+790+200+130+300+400+1000+1265+1200+1200+900+972+1300+1300+325+3000+1653+640+1280+375+1467+2400+759+788+2180+1280+2140+2376+2376+1250+1250+1100+1100+600+1000+1381+1120+800+625+1825+622+623+623+342+250+1300+1300+1950+650+296+1245+1624+1466+734+960+281+1244+625+625+625+735+670+1941+939+353+647+4+760+1200+2540+1790+1640+1640+500+3175+600+600+600+500+1824+550+1650+1002+1252+2000+513+513+514+600+600+435+600+600+620+620+620+1068+130+1070+9+203317</f>
        <v>306123</v>
      </c>
      <c r="C28" s="12">
        <f>May!C28+B28</f>
        <v>1901794</v>
      </c>
      <c r="D28" s="96">
        <f>1+1+1+8+3+1+3+110+1+1+122+340+550+340</f>
        <v>1482</v>
      </c>
      <c r="E28" s="12">
        <f>May!E28+D28</f>
        <v>3891</v>
      </c>
      <c r="F28" s="12"/>
      <c r="G28" s="12">
        <f>May!G28+F28</f>
        <v>24</v>
      </c>
    </row>
    <row r="29" spans="1:7" x14ac:dyDescent="0.2">
      <c r="A29" s="11" t="s">
        <v>28</v>
      </c>
      <c r="B29" s="98">
        <f>1300+1300+1200+3300</f>
        <v>7100</v>
      </c>
      <c r="C29" s="12">
        <f>May!C29+B29</f>
        <v>18700</v>
      </c>
      <c r="D29" s="96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98">
        <f>1120+780+1120+1120+1100+1250+1120+2+600+220+125+450+600+600+1305+1305+1305+1250+1305+700+640+1330+1390+1390+1390+1330+1330+500+600+600+450+1305+370+730+1120+1120+1400+900+1250+700+1305+108+435+1250+1000+700+1083+1085+1085+1200+1080+124780</f>
        <v>172333</v>
      </c>
      <c r="C30" s="12">
        <f>May!C30+B30</f>
        <v>871851</v>
      </c>
      <c r="D30" s="93">
        <f>27+1+1+2+1+1+1+12+45+180+3+174+230+120+6+140+40+311+125+2+1+8+3+11</f>
        <v>1445</v>
      </c>
      <c r="E30" s="12">
        <f>May!E30+D30</f>
        <v>10617</v>
      </c>
      <c r="F30" s="12"/>
      <c r="G30" s="12">
        <f>May!G30+F30</f>
        <v>0</v>
      </c>
    </row>
    <row r="31" spans="1:7" x14ac:dyDescent="0.2">
      <c r="A31" s="11" t="s">
        <v>30</v>
      </c>
      <c r="B31" s="98"/>
      <c r="C31" s="12">
        <f>May!C31+B31</f>
        <v>0</v>
      </c>
      <c r="D31" s="96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98"/>
      <c r="C32" s="12">
        <f>May!C32+B32</f>
        <v>0</v>
      </c>
      <c r="D32" s="96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98"/>
      <c r="C33" s="12">
        <f>May!C33+B33</f>
        <v>0</v>
      </c>
      <c r="D33" s="96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98"/>
      <c r="C34" s="12">
        <f>May!C34+B34</f>
        <v>0</v>
      </c>
      <c r="D34" s="96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98"/>
      <c r="C35" s="12">
        <f>May!C35+B35</f>
        <v>0</v>
      </c>
      <c r="D35" s="96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98">
        <f>800+800+800+155071</f>
        <v>157471</v>
      </c>
      <c r="C36" s="12">
        <f>May!C36+B36</f>
        <v>826455</v>
      </c>
      <c r="D36" s="96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98">
        <f>1000+1000+3000+1150+2500+2500+2144+2225+2500+2500+2500+2088+2500+750+600+600+1000+525+450+1000</f>
        <v>32532</v>
      </c>
      <c r="C37" s="12">
        <f>May!C37+B37</f>
        <v>161303</v>
      </c>
      <c r="D37" s="96">
        <f>300+145+1+1+291+200+180+13+250</f>
        <v>1381</v>
      </c>
      <c r="E37" s="12">
        <f>May!E37+D37</f>
        <v>8642</v>
      </c>
      <c r="F37" s="12"/>
      <c r="G37" s="12">
        <f>May!G37+F37</f>
        <v>0</v>
      </c>
    </row>
    <row r="38" spans="1:7" x14ac:dyDescent="0.2">
      <c r="A38" s="11" t="s">
        <v>37</v>
      </c>
      <c r="B38" s="98">
        <v>12606</v>
      </c>
      <c r="C38" s="12">
        <f>May!C38+B38</f>
        <v>44194</v>
      </c>
      <c r="D38" s="96">
        <f>15+6+5+1+1+1+1+1+1+1+1+8+2+1+1+1+1+1+1+1+1+1+1+1+3+1+7+5</f>
        <v>71</v>
      </c>
      <c r="E38" s="12">
        <f>May!E38+D38</f>
        <v>465</v>
      </c>
      <c r="F38" s="12"/>
      <c r="G38" s="12">
        <f>May!G38+F38</f>
        <v>0</v>
      </c>
    </row>
    <row r="39" spans="1:7" x14ac:dyDescent="0.2">
      <c r="A39" s="11" t="s">
        <v>38</v>
      </c>
      <c r="B39" s="98">
        <f>170530+1875+600+180+1300+2100+2180+5+2180+2000+1700+2180+2040+2000+775+600+600+600+600+600</f>
        <v>194645</v>
      </c>
      <c r="C39" s="12">
        <f>May!C39+B39</f>
        <v>1209128</v>
      </c>
      <c r="D39" s="96">
        <f>1+1+1+2+1+1+1+1+1+1+2+1+5+1+1</f>
        <v>21</v>
      </c>
      <c r="E39" s="12">
        <f>May!E39+D39</f>
        <v>35</v>
      </c>
      <c r="F39" s="12"/>
      <c r="G39" s="12">
        <f>May!G39+F39</f>
        <v>0</v>
      </c>
    </row>
    <row r="40" spans="1:7" x14ac:dyDescent="0.2">
      <c r="A40" s="11" t="s">
        <v>39</v>
      </c>
      <c r="B40" s="98"/>
      <c r="C40" s="12">
        <f>May!C40+B40</f>
        <v>0</v>
      </c>
      <c r="D40" s="96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98"/>
      <c r="C41" s="12">
        <f>May!C41+B41</f>
        <v>2000</v>
      </c>
      <c r="D41" s="96">
        <f>1</f>
        <v>1</v>
      </c>
      <c r="E41" s="12">
        <f>May!E41+D41</f>
        <v>19</v>
      </c>
      <c r="F41" s="12"/>
      <c r="G41" s="12">
        <f>May!G41+F41</f>
        <v>0</v>
      </c>
    </row>
    <row r="42" spans="1:7" x14ac:dyDescent="0.2">
      <c r="A42" s="11" t="s">
        <v>41</v>
      </c>
      <c r="B42" s="98"/>
      <c r="C42" s="12">
        <f>May!C42+B42</f>
        <v>0</v>
      </c>
      <c r="D42" s="96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98"/>
      <c r="C43" s="12">
        <f>May!C43+B43</f>
        <v>0</v>
      </c>
      <c r="D43" s="96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95">
        <f>630+630+630+630+630+630+630+630+1050+2500+600+605+1350+3700+800+630+1300+1300+425+1300+260+654+626+140+360+250+260+1200+640+640+410+640+640+640+630+640+640+650+650+650+250+1500+650+650+650+650+350+300+650+650+650+200+450+650+650+650+400+250+210+650+650+650+1300+1300+1300+440+600+600+600+590+620+1250+33385</f>
        <v>86165</v>
      </c>
      <c r="C44" s="12">
        <f>May!C44+B44</f>
        <v>236733</v>
      </c>
      <c r="D44" s="96">
        <f>1000+5+7+1+808+76+1+1+1+1+1+1+309+366+41</f>
        <v>2619</v>
      </c>
      <c r="E44" s="12">
        <f>May!E44+D44</f>
        <v>4196</v>
      </c>
      <c r="F44" s="12"/>
      <c r="G44" s="12">
        <f>May!G44+F44</f>
        <v>0</v>
      </c>
    </row>
    <row r="45" spans="1:7" x14ac:dyDescent="0.2">
      <c r="A45" s="11" t="s">
        <v>44</v>
      </c>
      <c r="B45" s="98"/>
      <c r="C45" s="12">
        <f>May!C45+B45</f>
        <v>0</v>
      </c>
      <c r="D45" s="96">
        <v>105</v>
      </c>
      <c r="E45" s="12">
        <f>May!E45+D45</f>
        <v>105</v>
      </c>
      <c r="F45" s="12"/>
      <c r="G45" s="12">
        <f>May!G45+F45</f>
        <v>0</v>
      </c>
    </row>
    <row r="46" spans="1:7" x14ac:dyDescent="0.2">
      <c r="A46" s="11" t="s">
        <v>45</v>
      </c>
      <c r="B46" s="98"/>
      <c r="C46" s="12">
        <f>May!C46+B46</f>
        <v>68249</v>
      </c>
      <c r="D46" s="96"/>
      <c r="E46" s="12">
        <f>May!E46+D46</f>
        <v>96</v>
      </c>
      <c r="F46" s="12"/>
      <c r="G46" s="12">
        <f>May!G46+F46</f>
        <v>0</v>
      </c>
    </row>
    <row r="47" spans="1:7" x14ac:dyDescent="0.2">
      <c r="A47" s="11" t="s">
        <v>46</v>
      </c>
      <c r="B47" s="98">
        <v>29608</v>
      </c>
      <c r="C47" s="12">
        <f>May!C47+B47</f>
        <v>160914</v>
      </c>
      <c r="D47" s="96">
        <v>2</v>
      </c>
      <c r="E47" s="12">
        <f>May!E47+D47</f>
        <v>2</v>
      </c>
      <c r="F47" s="12"/>
      <c r="G47" s="12">
        <f>May!G47+F47</f>
        <v>0</v>
      </c>
    </row>
    <row r="48" spans="1:7" x14ac:dyDescent="0.2">
      <c r="A48" s="11" t="s">
        <v>47</v>
      </c>
      <c r="B48" s="98"/>
      <c r="C48" s="12">
        <f>May!C48+B48</f>
        <v>0</v>
      </c>
      <c r="D48" s="96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98"/>
      <c r="C49" s="12">
        <f>May!C49+B49</f>
        <v>0</v>
      </c>
      <c r="D49" s="96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98"/>
      <c r="C50" s="12">
        <f>May!C50+B50</f>
        <v>0</v>
      </c>
      <c r="D50" s="96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98"/>
      <c r="C51" s="12">
        <f>May!C51+B51</f>
        <v>0</v>
      </c>
      <c r="D51" s="96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98">
        <f>200+230+200+200+100+200+200+100+120+200+200+150+200+140+140+50+400+5+850+12+105+450+24+1000+1200+2400+600+2000+1200+300+400+450+850+220+200+300+340+300+200+120+150+200+230+450</f>
        <v>17586</v>
      </c>
      <c r="C52" s="12">
        <f>May!C52+B52</f>
        <v>124645</v>
      </c>
      <c r="D52" s="96">
        <f>1+1+2+2+13+17+4+9+382</f>
        <v>431</v>
      </c>
      <c r="E52" s="12">
        <f>May!E52+D52</f>
        <v>3220</v>
      </c>
      <c r="F52" s="12"/>
      <c r="G52" s="12">
        <f>May!G52+F52</f>
        <v>0</v>
      </c>
    </row>
    <row r="53" spans="1:256" x14ac:dyDescent="0.2">
      <c r="A53" s="11" t="s">
        <v>52</v>
      </c>
      <c r="B53" s="98">
        <f>350+160+1300+1000+1300+1300+1200+1150+1210+2360+1995+2050+2360+1350+2000+1875+2360+865+1820+410+1665+680+1680+2360+2010+2110+2360+1932+428+1350+1500+800+2070+1895</f>
        <v>51255</v>
      </c>
      <c r="C53" s="12">
        <f>May!C53+B53</f>
        <v>174522</v>
      </c>
      <c r="D53" s="96">
        <f>250+160+100</f>
        <v>510</v>
      </c>
      <c r="E53" s="12">
        <f>May!E53+D53</f>
        <v>2788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98">
        <v>295133</v>
      </c>
      <c r="C54" s="12">
        <f>May!C54+B54</f>
        <v>1604035</v>
      </c>
      <c r="D54" s="96">
        <v>3</v>
      </c>
      <c r="E54" s="12">
        <f>May!E54+D54</f>
        <v>4088</v>
      </c>
      <c r="F54" s="12">
        <v>13278</v>
      </c>
      <c r="G54" s="12">
        <f>May!G54+F54</f>
        <v>72119</v>
      </c>
    </row>
    <row r="55" spans="1:256" ht="25.9" customHeight="1" thickTop="1" thickBot="1" x14ac:dyDescent="0.25">
      <c r="A55" s="14" t="s">
        <v>54</v>
      </c>
      <c r="B55" s="15">
        <f>SUM(B7:B54)</f>
        <v>2119404</v>
      </c>
      <c r="C55" s="15">
        <f>May!C55+B55</f>
        <v>12034094</v>
      </c>
      <c r="D55" s="15">
        <f>SUM(D7:D54)</f>
        <v>14942</v>
      </c>
      <c r="E55" s="15">
        <f>May!E55+D55</f>
        <v>100383</v>
      </c>
      <c r="F55" s="15">
        <f>SUM(F7:F54)</f>
        <v>13278</v>
      </c>
      <c r="G55" s="15">
        <f>May!G55+F55</f>
        <v>72143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>
        <v>900</v>
      </c>
      <c r="D58" s="24">
        <f>May!D58+C58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100</v>
      </c>
    </row>
    <row r="60" spans="1:256" x14ac:dyDescent="0.2">
      <c r="A60" s="1" t="s">
        <v>58</v>
      </c>
      <c r="B60" s="23"/>
      <c r="C60" s="23">
        <f>50</f>
        <v>50</v>
      </c>
      <c r="D60" s="24">
        <f>May!D60+C60</f>
        <v>730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>
        <f>49342+18+41+4500</f>
        <v>53901</v>
      </c>
      <c r="D62" s="24">
        <f>May!D62+C62</f>
        <v>578801</v>
      </c>
    </row>
    <row r="63" spans="1:256" x14ac:dyDescent="0.2">
      <c r="A63" s="1" t="s">
        <v>66</v>
      </c>
      <c r="B63" s="23"/>
      <c r="C63" s="23">
        <v>4651</v>
      </c>
      <c r="D63" s="24">
        <f>May!D63+C63</f>
        <v>34848</v>
      </c>
    </row>
    <row r="64" spans="1:256" x14ac:dyDescent="0.2">
      <c r="A64" s="1" t="s">
        <v>64</v>
      </c>
      <c r="B64" s="23"/>
      <c r="C64" s="23">
        <v>98726</v>
      </c>
      <c r="D64" s="24">
        <f>May!D64+C64</f>
        <v>181939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>
        <f>6007+340</f>
        <v>6347</v>
      </c>
      <c r="D66" s="24">
        <f>May!D66+C66</f>
        <v>17633</v>
      </c>
    </row>
    <row r="67" spans="1:4" x14ac:dyDescent="0.2">
      <c r="A67" s="1" t="s">
        <v>63</v>
      </c>
      <c r="C67" s="23">
        <v>1300</v>
      </c>
      <c r="D67" s="24">
        <f>May!D67+C67</f>
        <v>5300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B20" sqref="B20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76</v>
      </c>
      <c r="I2" s="2"/>
    </row>
    <row r="3" spans="1:256" ht="15.75" x14ac:dyDescent="0.25">
      <c r="F3" t="s">
        <v>82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3">
        <f>1000+440+880+880+880+870+540+330+870+870+870+870+337+870+870+870+870</f>
        <v>13117</v>
      </c>
      <c r="C7" s="27">
        <f>June!C7+B7</f>
        <v>79153</v>
      </c>
      <c r="D7" s="62"/>
      <c r="E7" s="27">
        <f>June!E7+D7</f>
        <v>0</v>
      </c>
      <c r="F7" s="62"/>
      <c r="G7" s="27">
        <f>June!G7+F7</f>
        <v>0</v>
      </c>
    </row>
    <row r="8" spans="1:256" x14ac:dyDescent="0.2">
      <c r="A8" s="29" t="s">
        <v>65</v>
      </c>
      <c r="B8" s="63"/>
      <c r="C8" s="27">
        <f>June!C8+B8</f>
        <v>0</v>
      </c>
      <c r="D8" s="62"/>
      <c r="E8" s="27">
        <f>June!E8+D8</f>
        <v>0</v>
      </c>
      <c r="F8" s="62"/>
      <c r="G8" s="27">
        <f>June!G8+F8</f>
        <v>0</v>
      </c>
    </row>
    <row r="9" spans="1:256" x14ac:dyDescent="0.2">
      <c r="A9" s="29" t="s">
        <v>8</v>
      </c>
      <c r="B9" s="63">
        <f>750+500+500+750+750+500+700+500+1250+1250+662+1605+1637+1789+1770+1608+1723+1750+1713+1779+1100+1100+1100+1100+1100+300+800+1100+600+500+1100</f>
        <v>33386</v>
      </c>
      <c r="C9" s="27">
        <f>June!C9+B9</f>
        <v>171998</v>
      </c>
      <c r="D9" s="62">
        <f>4+1</f>
        <v>5</v>
      </c>
      <c r="E9" s="27">
        <f>June!E9+D9</f>
        <v>629</v>
      </c>
      <c r="F9" s="62"/>
      <c r="G9" s="27">
        <f>June!G9+F9</f>
        <v>0</v>
      </c>
    </row>
    <row r="10" spans="1:256" x14ac:dyDescent="0.2">
      <c r="A10" s="29" t="s">
        <v>9</v>
      </c>
      <c r="B10" s="63"/>
      <c r="C10" s="27">
        <f>June!C10+B10</f>
        <v>1</v>
      </c>
      <c r="D10" s="62"/>
      <c r="E10" s="27">
        <f>June!E10+D10</f>
        <v>30</v>
      </c>
      <c r="F10" s="62"/>
      <c r="G10" s="27">
        <f>June!G10+F10</f>
        <v>0</v>
      </c>
    </row>
    <row r="11" spans="1:256" x14ac:dyDescent="0.2">
      <c r="A11" s="29" t="s">
        <v>10</v>
      </c>
      <c r="B11" s="63">
        <f>1300+1100+1500+1150+1150+550+1350+1150+1150+800+1150+400+2500+2500+2100+1500+411+2500+2500+2010+490+2500+750+300+1100+1100+1100+8000+300+300+53978</f>
        <v>98689</v>
      </c>
      <c r="C11" s="27">
        <f>June!C11+B11</f>
        <v>739984</v>
      </c>
      <c r="D11" s="62">
        <f>1+1+1+3</f>
        <v>6</v>
      </c>
      <c r="E11" s="27">
        <f>June!E11+D11</f>
        <v>416</v>
      </c>
      <c r="F11" s="62"/>
      <c r="G11" s="27">
        <f>June!G11+F11</f>
        <v>0</v>
      </c>
    </row>
    <row r="12" spans="1:256" x14ac:dyDescent="0.2">
      <c r="A12" s="29" t="s">
        <v>11</v>
      </c>
      <c r="B12" s="63"/>
      <c r="C12" s="27">
        <f>June!C12+B12</f>
        <v>0</v>
      </c>
      <c r="D12" s="62"/>
      <c r="E12" s="27">
        <f>June!E12+D12</f>
        <v>0</v>
      </c>
      <c r="F12" s="62"/>
      <c r="G12" s="27">
        <f>June!G12+F12</f>
        <v>0</v>
      </c>
    </row>
    <row r="13" spans="1:256" x14ac:dyDescent="0.2">
      <c r="A13" s="29" t="s">
        <v>12</v>
      </c>
      <c r="B13" s="63"/>
      <c r="C13" s="27">
        <f>June!C13+B13</f>
        <v>0</v>
      </c>
      <c r="D13" s="62"/>
      <c r="E13" s="27">
        <f>June!E13+D13</f>
        <v>7</v>
      </c>
      <c r="F13" s="62"/>
      <c r="G13" s="27">
        <f>June!G13+F13</f>
        <v>0</v>
      </c>
    </row>
    <row r="14" spans="1:256" x14ac:dyDescent="0.2">
      <c r="A14" s="29" t="s">
        <v>13</v>
      </c>
      <c r="B14" s="63"/>
      <c r="C14" s="27">
        <f>June!C14+B14</f>
        <v>0</v>
      </c>
      <c r="D14" s="62"/>
      <c r="E14" s="27">
        <f>June!E14+D14</f>
        <v>0</v>
      </c>
      <c r="F14" s="62"/>
      <c r="G14" s="27">
        <f>June!G14+F14</f>
        <v>0</v>
      </c>
    </row>
    <row r="15" spans="1:256" x14ac:dyDescent="0.2">
      <c r="A15" s="29" t="s">
        <v>14</v>
      </c>
      <c r="B15" s="63">
        <f>2225+1125+1125+2400</f>
        <v>6875</v>
      </c>
      <c r="C15" s="27">
        <f>June!C15+B15</f>
        <v>42029</v>
      </c>
      <c r="D15" s="62"/>
      <c r="E15" s="27">
        <f>June!E15+D15</f>
        <v>0</v>
      </c>
      <c r="F15" s="62"/>
      <c r="G15" s="27">
        <f>June!G15+F15</f>
        <v>0</v>
      </c>
    </row>
    <row r="16" spans="1:256" x14ac:dyDescent="0.2">
      <c r="A16" s="29" t="s">
        <v>15</v>
      </c>
      <c r="B16" s="63"/>
      <c r="C16" s="27">
        <f>June!C16+B16</f>
        <v>0</v>
      </c>
      <c r="D16" s="62"/>
      <c r="E16" s="27">
        <f>June!E16+D16</f>
        <v>703</v>
      </c>
      <c r="F16" s="62"/>
      <c r="G16" s="27">
        <f>June!G16+F16</f>
        <v>0</v>
      </c>
    </row>
    <row r="17" spans="1:7" x14ac:dyDescent="0.2">
      <c r="A17" s="29" t="s">
        <v>16</v>
      </c>
      <c r="B17" s="63">
        <f>525+550+200+550+650+164+100+486+650+525+450+1160+1000+150+1000+1000+1060+1060+1060+1060+1000+400+550+550+1225+1500+1250+1000+1000+1830+534+533+1250+345+340+300+345+345+345+220+350+345+330+340+345+215+340+345+340+340+330+345+345+325+335+340+350+335+796+1200+250+1200+350+736+600+600+650+650+650+650+650+650+95+625+1050+1030+1060+1030+1050+1050+1050+550+400+300+600+650+300+1200+750+1440+1000+2125+805+1300+450+1600+1300+600+771+660+658+650+1200+660+450+1200+330+650+665+650+665+665+665+600+525+198349+462</f>
        <v>277774</v>
      </c>
      <c r="C17" s="27">
        <f>June!C17+B17</f>
        <v>2096466</v>
      </c>
      <c r="D17" s="62">
        <f>2+2+5+5+5+5+2+4+2+30+10+9+7+125+3+2+90+40+106+84+170+1+1+1+20+100+150+100+127+127+127+110+100+10+1+5+3+10+9+720</f>
        <v>2430</v>
      </c>
      <c r="E17" s="27">
        <f>June!E17+D17</f>
        <v>32322</v>
      </c>
      <c r="F17" s="62"/>
      <c r="G17" s="27">
        <f>June!G17+F17</f>
        <v>0</v>
      </c>
    </row>
    <row r="18" spans="1:7" x14ac:dyDescent="0.2">
      <c r="A18" s="29" t="s">
        <v>17</v>
      </c>
      <c r="B18" s="63">
        <f>350+150+550+150+350+350+1200+800+2400+1800+7750+50</f>
        <v>15900</v>
      </c>
      <c r="C18" s="27">
        <f>June!C18+B18</f>
        <v>75046</v>
      </c>
      <c r="D18" s="62">
        <f>2+2+1+3+1+5+1+1+1+1+1+1+1+1+1+1+1+1+1+1+7+13+1+1+1+1+1+1+1+1+1+30+11</f>
        <v>98</v>
      </c>
      <c r="E18" s="27">
        <f>June!E18+D18</f>
        <v>4548</v>
      </c>
      <c r="F18" s="62"/>
      <c r="G18" s="27">
        <f>June!G18+F18</f>
        <v>0</v>
      </c>
    </row>
    <row r="19" spans="1:7" x14ac:dyDescent="0.2">
      <c r="A19" s="29" t="s">
        <v>18</v>
      </c>
      <c r="B19" s="63">
        <f>900+700+1550+1100+1400+425+1250+1250+1250+1250+513+4650+29+18709</f>
        <v>34976</v>
      </c>
      <c r="C19" s="27">
        <f>June!C19+B19</f>
        <v>167569</v>
      </c>
      <c r="D19" s="62">
        <f>126+10</f>
        <v>136</v>
      </c>
      <c r="E19" s="27">
        <f>June!E19+D19</f>
        <v>4262</v>
      </c>
      <c r="F19" s="62"/>
      <c r="G19" s="27">
        <f>June!G19+F19</f>
        <v>0</v>
      </c>
    </row>
    <row r="20" spans="1:7" x14ac:dyDescent="0.2">
      <c r="A20" s="29" t="s">
        <v>19</v>
      </c>
      <c r="B20" s="63"/>
      <c r="C20" s="27">
        <f>June!C20+B20</f>
        <v>7856</v>
      </c>
      <c r="D20" s="62"/>
      <c r="E20" s="27">
        <f>June!E20+D20</f>
        <v>23</v>
      </c>
      <c r="F20" s="62"/>
      <c r="G20" s="27">
        <f>June!G20+F20</f>
        <v>0</v>
      </c>
    </row>
    <row r="21" spans="1:7" x14ac:dyDescent="0.2">
      <c r="A21" s="29" t="s">
        <v>20</v>
      </c>
      <c r="B21" s="63"/>
      <c r="C21" s="27">
        <f>June!C21+B21</f>
        <v>0</v>
      </c>
      <c r="D21" s="62"/>
      <c r="E21" s="27">
        <f>June!E21+D21</f>
        <v>0</v>
      </c>
      <c r="F21" s="62"/>
      <c r="G21" s="27">
        <f>June!G21+F21</f>
        <v>0</v>
      </c>
    </row>
    <row r="22" spans="1:7" x14ac:dyDescent="0.2">
      <c r="A22" s="29" t="s">
        <v>21</v>
      </c>
      <c r="B22" s="63"/>
      <c r="C22" s="27">
        <f>June!C22+B22</f>
        <v>0</v>
      </c>
      <c r="D22" s="62"/>
      <c r="E22" s="27">
        <f>June!E22+D22</f>
        <v>0</v>
      </c>
      <c r="F22" s="62"/>
      <c r="G22" s="27">
        <f>June!G22+F22</f>
        <v>0</v>
      </c>
    </row>
    <row r="23" spans="1:7" x14ac:dyDescent="0.2">
      <c r="A23" s="29" t="s">
        <v>22</v>
      </c>
      <c r="B23" s="63"/>
      <c r="C23" s="27">
        <f>June!C23+B23</f>
        <v>0</v>
      </c>
      <c r="D23" s="62">
        <f>5+6+1+3</f>
        <v>15</v>
      </c>
      <c r="E23" s="27">
        <f>June!E23+D23</f>
        <v>15</v>
      </c>
      <c r="F23" s="62"/>
      <c r="G23" s="27">
        <f>June!G23+F23</f>
        <v>0</v>
      </c>
    </row>
    <row r="24" spans="1:7" x14ac:dyDescent="0.2">
      <c r="A24" s="29" t="s">
        <v>23</v>
      </c>
      <c r="B24" s="63"/>
      <c r="C24" s="27">
        <f>June!C24+B24</f>
        <v>0</v>
      </c>
      <c r="D24" s="62"/>
      <c r="E24" s="27">
        <f>June!E24+D24</f>
        <v>0</v>
      </c>
      <c r="F24" s="62"/>
      <c r="G24" s="27">
        <f>June!G24+F24</f>
        <v>0</v>
      </c>
    </row>
    <row r="25" spans="1:7" x14ac:dyDescent="0.2">
      <c r="A25" s="29" t="s">
        <v>24</v>
      </c>
      <c r="B25" s="63">
        <v>2816</v>
      </c>
      <c r="C25" s="27">
        <f>June!C25+B25</f>
        <v>6917</v>
      </c>
      <c r="D25" s="62">
        <f>1+1+1+1+1+1+1+1+1+1+1+1+1+1+1+1+1+1+1+1+1+1+100+90</f>
        <v>212</v>
      </c>
      <c r="E25" s="27">
        <f>June!E25+D25</f>
        <v>7219</v>
      </c>
      <c r="F25" s="62"/>
      <c r="G25" s="27">
        <f>June!G25+F25</f>
        <v>0</v>
      </c>
    </row>
    <row r="26" spans="1:7" x14ac:dyDescent="0.2">
      <c r="A26" s="29" t="s">
        <v>25</v>
      </c>
      <c r="B26" s="63">
        <f>3794+1810+1970+240+240+165+850+538+385+345+500+260+600+250+400+1960+2040+202+70+135+500+600+350+60+230+1000+1000+470+1000+1000+1300+110+120+120+200+200+200+200+1100+1100+600+600+1000+1000+2200+280+430+400+600+250+250+260+2014+2014+1028+1028+60+200+1100+560+300+680+1027+358+420+400+310+179+400+350+345+561+850+173+113+900+1090+1800+1800+2400+550+880+460+1840+3210+2100+850+300+1000+1000+260+103+540+800+4000+1030+1100+107305+1000</f>
        <v>186272</v>
      </c>
      <c r="C26" s="27">
        <f>June!C26+B26</f>
        <v>1747582</v>
      </c>
      <c r="D26" s="62">
        <f>160+1+1+7+320+4+106+57+216+106+50+368</f>
        <v>1396</v>
      </c>
      <c r="E26" s="27">
        <f>June!E26+D26</f>
        <v>16342</v>
      </c>
      <c r="F26" s="62"/>
      <c r="G26" s="27">
        <f>June!G26+F26</f>
        <v>0</v>
      </c>
    </row>
    <row r="27" spans="1:7" x14ac:dyDescent="0.2">
      <c r="A27" s="29" t="s">
        <v>26</v>
      </c>
      <c r="B27" s="63">
        <v>34850</v>
      </c>
      <c r="C27" s="27">
        <f>June!C27+B27</f>
        <v>199625</v>
      </c>
      <c r="D27" s="62"/>
      <c r="E27" s="27">
        <f>June!E27+D27</f>
        <v>1</v>
      </c>
      <c r="F27" s="62"/>
      <c r="G27" s="27">
        <f>June!G27+F27</f>
        <v>0</v>
      </c>
    </row>
    <row r="28" spans="1:7" x14ac:dyDescent="0.2">
      <c r="A28" s="29" t="s">
        <v>27</v>
      </c>
      <c r="B28" s="63">
        <f>611+611+611+611+620+619+1325+585+1050+2497+1220+1932+900+900+620+620+1240+1904+1600+1904+1904+1600+1600+210+120+160+210+260+280+721+720+505+505+1810+1390+1813+1813+2159+1713+870+300+1325+1250+585+585+1700+1200+625+625+1250+1250+1875+625+625+666+445+625+350+80+130+300+250+1832+1188+1402+2368+2308+2368+555+2343+700+1600+1600+495+488+540+524+2081+2079+760+760+500+725+525+550+7+2540+772+4950+280+1845+2002+1998+175+1425+1600+1600+2139+2139+1836+1600+1996+1940+300+350+600+1125+1000+1000+1000+600+1000+1000+300+300+270+350+550+21+1+1250+200085</f>
        <v>329246</v>
      </c>
      <c r="C28" s="27">
        <f>June!C28+B28</f>
        <v>2231040</v>
      </c>
      <c r="D28" s="62">
        <f>5+5+1+2+2972</f>
        <v>2985</v>
      </c>
      <c r="E28" s="27">
        <f>June!E28+D28</f>
        <v>6876</v>
      </c>
      <c r="F28" s="62"/>
      <c r="G28" s="27">
        <f>June!G28+F28</f>
        <v>24</v>
      </c>
    </row>
    <row r="29" spans="1:7" x14ac:dyDescent="0.2">
      <c r="A29" s="29" t="s">
        <v>28</v>
      </c>
      <c r="B29" s="63">
        <f>1200+1200+1350+1100</f>
        <v>4850</v>
      </c>
      <c r="C29" s="27">
        <f>June!C29+B29</f>
        <v>23550</v>
      </c>
      <c r="D29" s="62"/>
      <c r="E29" s="27">
        <f>June!E29+D29</f>
        <v>0</v>
      </c>
      <c r="F29" s="62"/>
      <c r="G29" s="27">
        <f>June!G29+F29</f>
        <v>0</v>
      </c>
    </row>
    <row r="30" spans="1:7" x14ac:dyDescent="0.2">
      <c r="A30" s="29" t="s">
        <v>29</v>
      </c>
      <c r="B30" s="63">
        <f>1000+1200+1100+1260+430+1200+900+1100+150+1080+1080+1080+1080+1080+750+1200+1100+1200+525+1200+300+900+900+1450+1250+1160+760+1160+1160+400+4200+1160+2400+600+644+125+2+158899</f>
        <v>197185</v>
      </c>
      <c r="C30" s="27">
        <f>June!C30+B30</f>
        <v>1069036</v>
      </c>
      <c r="D30" s="62">
        <f>405+2+2+93+95+163+75+45+2+5+125+240+40+10+130+180+200+75+16+140+87+125+120+85</f>
        <v>2460</v>
      </c>
      <c r="E30" s="27">
        <f>June!E30+D30</f>
        <v>13077</v>
      </c>
      <c r="F30" s="62"/>
      <c r="G30" s="27">
        <f>June!G30+F30</f>
        <v>0</v>
      </c>
    </row>
    <row r="31" spans="1:7" x14ac:dyDescent="0.2">
      <c r="A31" s="29" t="s">
        <v>30</v>
      </c>
      <c r="B31" s="63"/>
      <c r="C31" s="27">
        <f>June!C31+B31</f>
        <v>0</v>
      </c>
      <c r="D31" s="62"/>
      <c r="E31" s="27">
        <f>June!E31+D31</f>
        <v>0</v>
      </c>
      <c r="F31" s="62"/>
      <c r="G31" s="27">
        <f>June!G31+F31</f>
        <v>0</v>
      </c>
    </row>
    <row r="32" spans="1:7" x14ac:dyDescent="0.2">
      <c r="A32" s="29" t="s">
        <v>31</v>
      </c>
      <c r="B32" s="63"/>
      <c r="C32" s="27">
        <f>June!C32+B32</f>
        <v>0</v>
      </c>
      <c r="D32" s="62"/>
      <c r="E32" s="27">
        <f>June!E32+D32</f>
        <v>0</v>
      </c>
      <c r="F32" s="62"/>
      <c r="G32" s="27">
        <f>June!G32+F32</f>
        <v>0</v>
      </c>
    </row>
    <row r="33" spans="1:7" x14ac:dyDescent="0.2">
      <c r="A33" s="29" t="s">
        <v>32</v>
      </c>
      <c r="B33" s="63"/>
      <c r="C33" s="27">
        <f>June!C33+B33</f>
        <v>0</v>
      </c>
      <c r="D33" s="62"/>
      <c r="E33" s="27">
        <f>June!E33+D33</f>
        <v>0</v>
      </c>
      <c r="F33" s="62"/>
      <c r="G33" s="27">
        <f>June!G33+F33</f>
        <v>0</v>
      </c>
    </row>
    <row r="34" spans="1:7" x14ac:dyDescent="0.2">
      <c r="A34" s="29" t="s">
        <v>33</v>
      </c>
      <c r="B34" s="63"/>
      <c r="C34" s="27">
        <f>June!C34+B34</f>
        <v>0</v>
      </c>
      <c r="D34" s="62"/>
      <c r="E34" s="27">
        <f>June!E34+D34</f>
        <v>0</v>
      </c>
      <c r="F34" s="62"/>
      <c r="G34" s="27">
        <f>June!G34+F34</f>
        <v>0</v>
      </c>
    </row>
    <row r="35" spans="1:7" x14ac:dyDescent="0.2">
      <c r="A35" s="29" t="s">
        <v>34</v>
      </c>
      <c r="B35" s="63"/>
      <c r="C35" s="27">
        <f>June!C35+B35</f>
        <v>0</v>
      </c>
      <c r="D35" s="62"/>
      <c r="E35" s="27">
        <f>June!E35+D35</f>
        <v>0</v>
      </c>
      <c r="F35" s="62"/>
      <c r="G35" s="27">
        <f>June!G35+F35</f>
        <v>0</v>
      </c>
    </row>
    <row r="36" spans="1:7" x14ac:dyDescent="0.2">
      <c r="A36" s="29" t="s">
        <v>35</v>
      </c>
      <c r="B36" s="63">
        <f>800+800+800+800+121156</f>
        <v>124356</v>
      </c>
      <c r="C36" s="27">
        <f>June!C36+B36</f>
        <v>950811</v>
      </c>
      <c r="D36" s="62"/>
      <c r="E36" s="27">
        <f>June!E36+D36</f>
        <v>0</v>
      </c>
      <c r="F36" s="62"/>
      <c r="G36" s="27">
        <f>June!G36+F36</f>
        <v>0</v>
      </c>
    </row>
    <row r="37" spans="1:7" x14ac:dyDescent="0.2">
      <c r="A37" s="29" t="s">
        <v>36</v>
      </c>
      <c r="B37" s="63">
        <f>1000+1000+1250+1250+2500+2500+2240+2200+200+1100+2010+2500+2500+2500+1000+1000+1000+1000+1000+1200+1000+1000+400+400+1150+750+1000</f>
        <v>36650</v>
      </c>
      <c r="C37" s="27">
        <f>June!C37+B37</f>
        <v>197953</v>
      </c>
      <c r="D37" s="62">
        <f>160+70+175+175+175+85+38+175+160</f>
        <v>1213</v>
      </c>
      <c r="E37" s="27">
        <f>June!E37+D37</f>
        <v>9855</v>
      </c>
      <c r="F37" s="62"/>
      <c r="G37" s="27">
        <f>June!G37+F37</f>
        <v>0</v>
      </c>
    </row>
    <row r="38" spans="1:7" x14ac:dyDescent="0.2">
      <c r="A38" s="29" t="s">
        <v>37</v>
      </c>
      <c r="B38" s="63">
        <v>17875</v>
      </c>
      <c r="C38" s="27">
        <f>June!C38+B38</f>
        <v>62069</v>
      </c>
      <c r="D38" s="62">
        <f>7</f>
        <v>7</v>
      </c>
      <c r="E38" s="27">
        <f>June!E38+D38</f>
        <v>472</v>
      </c>
      <c r="F38" s="62"/>
      <c r="G38" s="27">
        <f>June!G38+F38</f>
        <v>0</v>
      </c>
    </row>
    <row r="39" spans="1:7" x14ac:dyDescent="0.2">
      <c r="A39" s="29" t="s">
        <v>38</v>
      </c>
      <c r="B39" s="63">
        <f>189399+341+500+1250+280+2180+2180+2180+1850+1220+2220+1775+600+2180+2180+2180+1250+2180+1800+1660+600+270+480+1250+500+203+1+500+890+560+225+890+600+1875+1720+1250+187+2180</f>
        <v>233586</v>
      </c>
      <c r="C39" s="27">
        <f>June!C39+B39</f>
        <v>1442714</v>
      </c>
      <c r="D39" s="62">
        <f>1099</f>
        <v>1099</v>
      </c>
      <c r="E39" s="27">
        <f>June!E39+D39</f>
        <v>1134</v>
      </c>
      <c r="F39" s="62"/>
      <c r="G39" s="27">
        <f>June!G39+F39</f>
        <v>0</v>
      </c>
    </row>
    <row r="40" spans="1:7" x14ac:dyDescent="0.2">
      <c r="A40" s="29" t="s">
        <v>39</v>
      </c>
      <c r="B40" s="63"/>
      <c r="C40" s="27">
        <f>June!C40+B40</f>
        <v>0</v>
      </c>
      <c r="D40" s="62"/>
      <c r="E40" s="27">
        <f>June!E40+D40</f>
        <v>0</v>
      </c>
      <c r="F40" s="62"/>
      <c r="G40" s="27">
        <f>June!G40+F40</f>
        <v>0</v>
      </c>
    </row>
    <row r="41" spans="1:7" x14ac:dyDescent="0.2">
      <c r="A41" s="29" t="s">
        <v>40</v>
      </c>
      <c r="B41" s="63"/>
      <c r="C41" s="27">
        <f>June!C41+B41</f>
        <v>2000</v>
      </c>
      <c r="D41" s="62">
        <v>11</v>
      </c>
      <c r="E41" s="27">
        <f>June!E41+D41</f>
        <v>30</v>
      </c>
      <c r="F41" s="62"/>
      <c r="G41" s="27">
        <f>June!G41+F41</f>
        <v>0</v>
      </c>
    </row>
    <row r="42" spans="1:7" x14ac:dyDescent="0.2">
      <c r="A42" s="29" t="s">
        <v>41</v>
      </c>
      <c r="B42" s="63"/>
      <c r="C42" s="27">
        <f>June!C42+B42</f>
        <v>0</v>
      </c>
      <c r="D42" s="62"/>
      <c r="E42" s="27">
        <f>June!E42+D42</f>
        <v>0</v>
      </c>
      <c r="F42" s="62"/>
      <c r="G42" s="27">
        <f>June!G42+F42</f>
        <v>0</v>
      </c>
    </row>
    <row r="43" spans="1:7" x14ac:dyDescent="0.2">
      <c r="A43" s="29" t="s">
        <v>42</v>
      </c>
      <c r="B43" s="63"/>
      <c r="C43" s="27">
        <f>June!C43+B43</f>
        <v>0</v>
      </c>
      <c r="D43" s="62"/>
      <c r="E43" s="27">
        <f>June!E43+D43</f>
        <v>0</v>
      </c>
      <c r="F43" s="62"/>
      <c r="G43" s="27">
        <f>June!G43+F43</f>
        <v>0</v>
      </c>
    </row>
    <row r="44" spans="1:7" x14ac:dyDescent="0.2">
      <c r="A44" s="29" t="s">
        <v>43</v>
      </c>
      <c r="B44" s="63">
        <f>250+665+665+665+525+265+1100+1200+1800+2500+659+654+14676</f>
        <v>25624</v>
      </c>
      <c r="C44" s="27">
        <f>June!C44+B44</f>
        <v>262357</v>
      </c>
      <c r="D44" s="62"/>
      <c r="E44" s="27">
        <f>June!E44+D44</f>
        <v>4196</v>
      </c>
      <c r="F44" s="62"/>
      <c r="G44" s="27">
        <f>June!G44+F44</f>
        <v>0</v>
      </c>
    </row>
    <row r="45" spans="1:7" x14ac:dyDescent="0.2">
      <c r="A45" s="29" t="s">
        <v>44</v>
      </c>
      <c r="B45" s="63"/>
      <c r="C45" s="27">
        <f>June!C45+B45</f>
        <v>0</v>
      </c>
      <c r="D45" s="62">
        <f>2+3+2+1+1+1+1+1+1+5+1+1+6+6</f>
        <v>32</v>
      </c>
      <c r="E45" s="27">
        <f>June!E45+D45</f>
        <v>137</v>
      </c>
      <c r="F45" s="62"/>
      <c r="G45" s="27">
        <f>June!G45+F45</f>
        <v>0</v>
      </c>
    </row>
    <row r="46" spans="1:7" x14ac:dyDescent="0.2">
      <c r="A46" s="29" t="s">
        <v>45</v>
      </c>
      <c r="B46" s="63">
        <v>21838</v>
      </c>
      <c r="C46" s="27">
        <f>June!C46+B46</f>
        <v>90087</v>
      </c>
      <c r="D46" s="62">
        <f>1+1+2+2+6+1+2+1+1+1+1+8+1+1+1+1</f>
        <v>31</v>
      </c>
      <c r="E46" s="27">
        <f>June!E46+D46</f>
        <v>127</v>
      </c>
      <c r="F46" s="62"/>
      <c r="G46" s="27">
        <f>June!G46+F46</f>
        <v>0</v>
      </c>
    </row>
    <row r="47" spans="1:7" x14ac:dyDescent="0.2">
      <c r="A47" s="29" t="s">
        <v>46</v>
      </c>
      <c r="B47" s="63">
        <v>28155</v>
      </c>
      <c r="C47" s="27">
        <f>June!C47+B47</f>
        <v>189069</v>
      </c>
      <c r="D47" s="62"/>
      <c r="E47" s="27">
        <f>June!E47+D47</f>
        <v>2</v>
      </c>
      <c r="F47" s="62"/>
      <c r="G47" s="27">
        <f>June!G47+F47</f>
        <v>0</v>
      </c>
    </row>
    <row r="48" spans="1:7" x14ac:dyDescent="0.2">
      <c r="A48" s="29" t="s">
        <v>47</v>
      </c>
      <c r="B48" s="63"/>
      <c r="C48" s="27">
        <f>June!C48+B48</f>
        <v>0</v>
      </c>
      <c r="D48" s="62"/>
      <c r="E48" s="27">
        <f>June!E48+D48</f>
        <v>0</v>
      </c>
      <c r="F48" s="62"/>
      <c r="G48" s="27">
        <f>June!G48+F48</f>
        <v>0</v>
      </c>
    </row>
    <row r="49" spans="1:256" x14ac:dyDescent="0.2">
      <c r="A49" s="29" t="s">
        <v>48</v>
      </c>
      <c r="B49" s="63"/>
      <c r="C49" s="27">
        <f>June!C49+B49</f>
        <v>0</v>
      </c>
      <c r="D49" s="62"/>
      <c r="E49" s="27">
        <f>June!E49+D49</f>
        <v>0</v>
      </c>
      <c r="F49" s="62"/>
      <c r="G49" s="27">
        <f>June!G49+F49</f>
        <v>0</v>
      </c>
    </row>
    <row r="50" spans="1:256" x14ac:dyDescent="0.2">
      <c r="A50" s="29" t="s">
        <v>49</v>
      </c>
      <c r="B50" s="63"/>
      <c r="C50" s="27">
        <f>June!C50+B50</f>
        <v>0</v>
      </c>
      <c r="D50" s="62"/>
      <c r="E50" s="27">
        <f>June!E50+D50</f>
        <v>0</v>
      </c>
      <c r="F50" s="62"/>
      <c r="G50" s="27">
        <f>June!G50+F50</f>
        <v>0</v>
      </c>
    </row>
    <row r="51" spans="1:256" x14ac:dyDescent="0.2">
      <c r="A51" s="29" t="s">
        <v>50</v>
      </c>
      <c r="B51" s="63"/>
      <c r="C51" s="27">
        <f>June!C51+B51</f>
        <v>0</v>
      </c>
      <c r="D51" s="62"/>
      <c r="E51" s="27">
        <f>June!E51+D51</f>
        <v>0</v>
      </c>
      <c r="F51" s="62"/>
      <c r="G51" s="27">
        <f>June!G51+F51</f>
        <v>0</v>
      </c>
    </row>
    <row r="52" spans="1:256" x14ac:dyDescent="0.2">
      <c r="A52" s="29" t="s">
        <v>51</v>
      </c>
      <c r="B52" s="63">
        <f>605+850+2200+450+400+776+25+1376+15+1075+240+345+140+200+245+120+200+200+250+150+200+200+160+210+230</f>
        <v>10862</v>
      </c>
      <c r="C52" s="27">
        <f>June!C52+B52</f>
        <v>135507</v>
      </c>
      <c r="D52" s="62">
        <v>207</v>
      </c>
      <c r="E52" s="27">
        <f>June!E52+D52</f>
        <v>3427</v>
      </c>
      <c r="F52" s="62"/>
      <c r="G52" s="27">
        <f>June!G52+F52</f>
        <v>0</v>
      </c>
    </row>
    <row r="53" spans="1:256" x14ac:dyDescent="0.2">
      <c r="A53" s="29" t="s">
        <v>52</v>
      </c>
      <c r="B53" s="63">
        <f>1975+283+2360+1827+1200+1300</f>
        <v>8945</v>
      </c>
      <c r="C53" s="27">
        <f>June!C53+B53</f>
        <v>183467</v>
      </c>
      <c r="D53" s="62">
        <f>142</f>
        <v>142</v>
      </c>
      <c r="E53" s="27">
        <f>June!E53+D53</f>
        <v>2930</v>
      </c>
      <c r="F53" s="62"/>
      <c r="G53" s="27">
        <f>June!G53+F53</f>
        <v>0</v>
      </c>
    </row>
    <row r="54" spans="1:256" ht="15.75" thickBot="1" x14ac:dyDescent="0.25">
      <c r="A54" s="30" t="s">
        <v>53</v>
      </c>
      <c r="B54" s="63">
        <v>261778</v>
      </c>
      <c r="C54" s="27">
        <f>June!C54+B54</f>
        <v>1865813</v>
      </c>
      <c r="D54" s="62">
        <v>198</v>
      </c>
      <c r="E54" s="27">
        <f>June!E54+D54</f>
        <v>4286</v>
      </c>
      <c r="F54" s="62">
        <v>12927</v>
      </c>
      <c r="G54" s="27">
        <f>June!G54+F54</f>
        <v>85046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2005605</v>
      </c>
      <c r="C55" s="15">
        <f>June!C55+B55</f>
        <v>14039699</v>
      </c>
      <c r="D55" s="15">
        <f>SUM(D7:D54)</f>
        <v>12683</v>
      </c>
      <c r="E55" s="15">
        <f>June!E55+D55</f>
        <v>113066</v>
      </c>
      <c r="F55" s="15">
        <f>SUM(F7:F54)</f>
        <v>12927</v>
      </c>
      <c r="G55" s="15">
        <f>June!G55+F55</f>
        <v>85070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1020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100</v>
      </c>
      <c r="E59" s="32"/>
      <c r="F59" s="32"/>
      <c r="G59" s="32"/>
    </row>
    <row r="60" spans="1:256" x14ac:dyDescent="0.2">
      <c r="A60" s="33" t="s">
        <v>58</v>
      </c>
      <c r="B60" s="35"/>
      <c r="C60" s="35">
        <v>190</v>
      </c>
      <c r="D60" s="36">
        <f>June!D60+C60</f>
        <v>920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>
        <f>48352+3600</f>
        <v>51952</v>
      </c>
      <c r="D62" s="36">
        <f>June!D62+C62</f>
        <v>630753</v>
      </c>
      <c r="E62" s="32"/>
      <c r="F62" s="32"/>
      <c r="G62" s="32"/>
    </row>
    <row r="63" spans="1:256" x14ac:dyDescent="0.2">
      <c r="A63" s="33" t="s">
        <v>66</v>
      </c>
      <c r="B63" s="105"/>
      <c r="C63" s="35">
        <f>60+170+70+35+40+30+80+90+100+20+30+116+80+90+170+70+14+80+115+25+80+35+170+100+176+20+45+80+106+90+170+8+40+170+70+35+40+80+90+80+130+36+20+116+60+20+110+80+120+90+170+30+80+25+35+70+8+80+100+115+45+35+80+106+80+170+8</f>
        <v>5189</v>
      </c>
      <c r="D63" s="36">
        <f>June!D63+C63</f>
        <v>40037</v>
      </c>
      <c r="E63" s="32"/>
      <c r="F63" s="32"/>
      <c r="G63" s="32"/>
    </row>
    <row r="64" spans="1:256" x14ac:dyDescent="0.2">
      <c r="A64" s="33" t="s">
        <v>64</v>
      </c>
      <c r="B64" s="35"/>
      <c r="C64" s="35">
        <f>140+155+130+140+140+150+160+70+140+135+26+140+125+140+120+140+140+140+120</f>
        <v>2451</v>
      </c>
      <c r="D64" s="36">
        <f>June!D64+C64</f>
        <v>184390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>
        <v>245</v>
      </c>
      <c r="D66" s="36">
        <f>June!D66+C66</f>
        <v>17878</v>
      </c>
      <c r="E66" s="32"/>
      <c r="F66" s="32"/>
      <c r="G66" s="32"/>
    </row>
    <row r="67" spans="1:7" x14ac:dyDescent="0.2">
      <c r="A67" s="33" t="s">
        <v>63</v>
      </c>
      <c r="B67" s="32"/>
      <c r="C67" s="35">
        <v>2220</v>
      </c>
      <c r="D67" s="36">
        <f>June!D67+C67</f>
        <v>7520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13" activePane="bottomLeft" state="frozen"/>
      <selection pane="bottomLeft" activeCell="B20" sqref="B20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83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4">
        <f>221+865</f>
        <v>1086</v>
      </c>
      <c r="C7" s="12">
        <f>July!C7+B7</f>
        <v>80239</v>
      </c>
      <c r="D7" s="65"/>
      <c r="E7" s="12">
        <f>July!E7+D7</f>
        <v>0</v>
      </c>
      <c r="F7" s="66"/>
      <c r="G7" s="12">
        <f>July!G7+F7</f>
        <v>0</v>
      </c>
    </row>
    <row r="8" spans="1:256" x14ac:dyDescent="0.2">
      <c r="A8" s="11" t="s">
        <v>65</v>
      </c>
      <c r="B8" s="64"/>
      <c r="C8" s="12">
        <f>July!C8+B8</f>
        <v>0</v>
      </c>
      <c r="D8" s="65"/>
      <c r="E8" s="12">
        <f>July!E8+D8</f>
        <v>0</v>
      </c>
      <c r="F8" s="66"/>
      <c r="G8" s="12">
        <f>July!G8+F8</f>
        <v>0</v>
      </c>
    </row>
    <row r="9" spans="1:256" x14ac:dyDescent="0.2">
      <c r="A9" s="11" t="s">
        <v>8</v>
      </c>
      <c r="B9" s="64">
        <f>1000+1000+1800+1100+600+500+1100+1000+650+550+650+725+525+700+550+500+740+1743+1106+300+800+1100+1100+1100</f>
        <v>20939</v>
      </c>
      <c r="C9" s="12">
        <f>July!C9+B9</f>
        <v>192937</v>
      </c>
      <c r="D9" s="65">
        <f>3</f>
        <v>3</v>
      </c>
      <c r="E9" s="12">
        <f>July!E9+D9</f>
        <v>632</v>
      </c>
      <c r="F9" s="66"/>
      <c r="G9" s="12">
        <f>July!G9+F9</f>
        <v>0</v>
      </c>
    </row>
    <row r="10" spans="1:256" x14ac:dyDescent="0.2">
      <c r="A10" s="11" t="s">
        <v>9</v>
      </c>
      <c r="B10" s="64"/>
      <c r="C10" s="12">
        <f>July!C10+B10</f>
        <v>1</v>
      </c>
      <c r="D10" s="65"/>
      <c r="E10" s="12">
        <f>July!E10+D10</f>
        <v>30</v>
      </c>
      <c r="F10" s="66"/>
      <c r="G10" s="12">
        <f>July!G10+F10</f>
        <v>0</v>
      </c>
    </row>
    <row r="11" spans="1:256" x14ac:dyDescent="0.2">
      <c r="A11" s="11" t="s">
        <v>10</v>
      </c>
      <c r="B11" s="64">
        <v>63357</v>
      </c>
      <c r="C11" s="12">
        <f>July!C11+B11</f>
        <v>803341</v>
      </c>
      <c r="D11" s="65"/>
      <c r="E11" s="12">
        <f>July!E11+D11</f>
        <v>416</v>
      </c>
      <c r="F11" s="66"/>
      <c r="G11" s="12">
        <f>July!G11+F11</f>
        <v>0</v>
      </c>
    </row>
    <row r="12" spans="1:256" x14ac:dyDescent="0.2">
      <c r="A12" s="11" t="s">
        <v>11</v>
      </c>
      <c r="B12" s="64"/>
      <c r="C12" s="12">
        <f>July!C12+B12</f>
        <v>0</v>
      </c>
      <c r="D12" s="65"/>
      <c r="E12" s="12">
        <f>July!E12+D12</f>
        <v>0</v>
      </c>
      <c r="F12" s="66"/>
      <c r="G12" s="12">
        <f>July!G12+F12</f>
        <v>0</v>
      </c>
    </row>
    <row r="13" spans="1:256" x14ac:dyDescent="0.2">
      <c r="A13" s="11" t="s">
        <v>12</v>
      </c>
      <c r="B13" s="64"/>
      <c r="C13" s="12">
        <f>July!C13+B13</f>
        <v>0</v>
      </c>
      <c r="D13" s="65"/>
      <c r="E13" s="12">
        <f>July!E13+D13</f>
        <v>7</v>
      </c>
      <c r="F13" s="66"/>
      <c r="G13" s="12">
        <f>July!G13+F13</f>
        <v>0</v>
      </c>
    </row>
    <row r="14" spans="1:256" x14ac:dyDescent="0.2">
      <c r="A14" s="11" t="s">
        <v>13</v>
      </c>
      <c r="B14" s="64"/>
      <c r="C14" s="12">
        <f>July!C14+B14</f>
        <v>0</v>
      </c>
      <c r="D14" s="65"/>
      <c r="E14" s="12">
        <f>July!E14+D14</f>
        <v>0</v>
      </c>
      <c r="F14" s="66"/>
      <c r="G14" s="12">
        <f>July!G14+F14</f>
        <v>0</v>
      </c>
    </row>
    <row r="15" spans="1:256" x14ac:dyDescent="0.2">
      <c r="A15" s="11" t="s">
        <v>14</v>
      </c>
      <c r="B15" s="64">
        <f>2250+2225+3200</f>
        <v>7675</v>
      </c>
      <c r="C15" s="12">
        <f>July!C15+B15</f>
        <v>49704</v>
      </c>
      <c r="D15" s="65"/>
      <c r="E15" s="12">
        <f>July!E15+D15</f>
        <v>0</v>
      </c>
      <c r="F15" s="66"/>
      <c r="G15" s="12">
        <f>July!G15+F15</f>
        <v>0</v>
      </c>
    </row>
    <row r="16" spans="1:256" x14ac:dyDescent="0.2">
      <c r="A16" s="11" t="s">
        <v>15</v>
      </c>
      <c r="B16" s="64"/>
      <c r="C16" s="12">
        <f>July!C16+B16</f>
        <v>0</v>
      </c>
      <c r="D16" s="65">
        <f>350</f>
        <v>350</v>
      </c>
      <c r="E16" s="12">
        <f>July!E16+D16</f>
        <v>1053</v>
      </c>
      <c r="F16" s="66"/>
      <c r="G16" s="12">
        <f>July!G16+F16</f>
        <v>0</v>
      </c>
    </row>
    <row r="17" spans="1:7" x14ac:dyDescent="0.2">
      <c r="A17" s="11" t="s">
        <v>16</v>
      </c>
      <c r="B17" s="64">
        <f>450+700+700+700+650+150+650+400+557+650+100+1050+1275+1450+1000+1000+407+488+1050+1050+1050+1050+835+835+650+650+650+650+350+340+345+335+340+330+345+320+335+340+335+335+330+340+345+340+220+345+350+355+350+345+345+330+340+335+746+450+1450+1200+1200+1500+400+475+835+835+835+250+450+700+425+450+1450+285+950+1303+1000+1302+1350+1000+652+653+547+1200+1200+1000+654+625+1012+505+606+364+625+1875+886+625+1025+835+250+20+380+630+650+650+20+650+650+650+650+410+504+588+504+631+665+587+238+400+680+1450+250+1200+1200+1200+225+120+525+1000+550+525+550+607+605+605+1950+198903</f>
        <v>287169</v>
      </c>
      <c r="C17" s="12">
        <f>July!C17+B17</f>
        <v>2383635</v>
      </c>
      <c r="D17" s="65">
        <f>300+170+160+1+20+175+2877</f>
        <v>3703</v>
      </c>
      <c r="E17" s="12">
        <f>July!E17+D17</f>
        <v>36025</v>
      </c>
      <c r="F17" s="66"/>
      <c r="G17" s="12">
        <f>July!G17+F17</f>
        <v>0</v>
      </c>
    </row>
    <row r="18" spans="1:7" x14ac:dyDescent="0.2">
      <c r="A18" s="11" t="s">
        <v>17</v>
      </c>
      <c r="B18" s="64">
        <f>200+200+600+150+320+550+13178</f>
        <v>15198</v>
      </c>
      <c r="C18" s="12">
        <f>July!C18+B18</f>
        <v>90244</v>
      </c>
      <c r="D18" s="65">
        <f>1+1+9+11+3+1+180</f>
        <v>206</v>
      </c>
      <c r="E18" s="12">
        <f>July!E18+D18</f>
        <v>4754</v>
      </c>
      <c r="F18" s="66"/>
      <c r="G18" s="12">
        <f>July!G18+F18</f>
        <v>0</v>
      </c>
    </row>
    <row r="19" spans="1:7" x14ac:dyDescent="0.2">
      <c r="A19" s="11" t="s">
        <v>18</v>
      </c>
      <c r="B19" s="64">
        <f>148+1250+1250+1250+800+2000+1500+800+342+3+259+5+800+1500+1500+900+600+10475+5621</f>
        <v>31003</v>
      </c>
      <c r="C19" s="12">
        <f>July!C19+B19</f>
        <v>198572</v>
      </c>
      <c r="D19" s="65">
        <f>52+12+30+3+2</f>
        <v>99</v>
      </c>
      <c r="E19" s="12">
        <f>July!E19+D19</f>
        <v>4361</v>
      </c>
      <c r="F19" s="66"/>
      <c r="G19" s="12">
        <f>July!G19+F19</f>
        <v>0</v>
      </c>
    </row>
    <row r="20" spans="1:7" x14ac:dyDescent="0.2">
      <c r="A20" s="11" t="s">
        <v>19</v>
      </c>
      <c r="B20" s="64"/>
      <c r="C20" s="12">
        <f>July!C20+B20</f>
        <v>7856</v>
      </c>
      <c r="D20" s="65">
        <f>8</f>
        <v>8</v>
      </c>
      <c r="E20" s="12">
        <f>July!E20+D20</f>
        <v>31</v>
      </c>
      <c r="F20" s="66"/>
      <c r="G20" s="12">
        <f>July!G20+F20</f>
        <v>0</v>
      </c>
    </row>
    <row r="21" spans="1:7" x14ac:dyDescent="0.2">
      <c r="A21" s="11" t="s">
        <v>20</v>
      </c>
      <c r="B21" s="64"/>
      <c r="C21" s="12">
        <f>July!C21+B21</f>
        <v>0</v>
      </c>
      <c r="D21" s="65"/>
      <c r="E21" s="12">
        <f>July!E21+D21</f>
        <v>0</v>
      </c>
      <c r="F21" s="66"/>
      <c r="G21" s="12">
        <f>July!G21+F21</f>
        <v>0</v>
      </c>
    </row>
    <row r="22" spans="1:7" x14ac:dyDescent="0.2">
      <c r="A22" s="11" t="s">
        <v>21</v>
      </c>
      <c r="B22" s="64"/>
      <c r="C22" s="12">
        <f>July!C22+B22</f>
        <v>0</v>
      </c>
      <c r="D22" s="65"/>
      <c r="E22" s="12">
        <f>July!E22+D22</f>
        <v>0</v>
      </c>
      <c r="F22" s="66"/>
      <c r="G22" s="12">
        <f>July!G22+F22</f>
        <v>0</v>
      </c>
    </row>
    <row r="23" spans="1:7" x14ac:dyDescent="0.2">
      <c r="A23" s="11" t="s">
        <v>22</v>
      </c>
      <c r="B23" s="64"/>
      <c r="C23" s="12">
        <f>July!C23+B23</f>
        <v>0</v>
      </c>
      <c r="D23" s="65"/>
      <c r="E23" s="12">
        <f>July!E23+D23</f>
        <v>15</v>
      </c>
      <c r="F23" s="66"/>
      <c r="G23" s="12">
        <f>July!G23+F23</f>
        <v>0</v>
      </c>
    </row>
    <row r="24" spans="1:7" x14ac:dyDescent="0.2">
      <c r="A24" s="11" t="s">
        <v>23</v>
      </c>
      <c r="B24" s="64"/>
      <c r="C24" s="12">
        <f>July!C24+B24</f>
        <v>0</v>
      </c>
      <c r="D24" s="65"/>
      <c r="E24" s="12">
        <f>July!E24+D24</f>
        <v>0</v>
      </c>
      <c r="F24" s="66"/>
      <c r="G24" s="12">
        <f>July!G24+F24</f>
        <v>0</v>
      </c>
    </row>
    <row r="25" spans="1:7" x14ac:dyDescent="0.2">
      <c r="A25" s="11" t="s">
        <v>24</v>
      </c>
      <c r="B25" s="64">
        <f>450+100</f>
        <v>550</v>
      </c>
      <c r="C25" s="12">
        <f>July!C25+B25</f>
        <v>7467</v>
      </c>
      <c r="D25" s="65">
        <f>160+70</f>
        <v>230</v>
      </c>
      <c r="E25" s="12">
        <f>July!E25+D25</f>
        <v>7449</v>
      </c>
      <c r="F25" s="66"/>
      <c r="G25" s="12">
        <f>July!G25+F25</f>
        <v>0</v>
      </c>
    </row>
    <row r="26" spans="1:7" x14ac:dyDescent="0.2">
      <c r="A26" s="11" t="s">
        <v>25</v>
      </c>
      <c r="B26" s="64">
        <f>500+425+275+500+500+500+625+375+525+850+650+1500+2200+2055+500+1800+1808+2055+2500+2000+135+2000+1920+1920+2000+2+444+629+613+211+347+412+503+300+2400+632+680+603+650+593+454+491+624+600+464+267+391+478+231+314+2080+2080+540+540+137+72+1+232+2569+240+205+70+2500+2850+1539+850+750+1425+40+1325+650+500+750+660+300+630+1000+1000+400+1000+480+72+123+200+500+286+260+415+143+620+480+620+360+850+2400+2000+2500+2200+173+135+120+113+487+502+281+133+331+260+279+435+435+330+850+106+500+500+500+480+500+500+500+231+370+370+850+490+980+980+425+625+310+100+1000+1000+124346</f>
        <v>225422</v>
      </c>
      <c r="C26" s="12">
        <f>July!C26+B26</f>
        <v>1973004</v>
      </c>
      <c r="D26" s="65">
        <f>72+110+3+10+40+30+3+3+3+212+108+30+60+240+1958</f>
        <v>2882</v>
      </c>
      <c r="E26" s="12">
        <f>July!E26+D26</f>
        <v>19224</v>
      </c>
      <c r="F26" s="66"/>
      <c r="G26" s="12">
        <f>July!G26+F26</f>
        <v>0</v>
      </c>
    </row>
    <row r="27" spans="1:7" x14ac:dyDescent="0.2">
      <c r="A27" s="11" t="s">
        <v>26</v>
      </c>
      <c r="B27" s="64">
        <v>19375</v>
      </c>
      <c r="C27" s="12">
        <f>July!C27+B27</f>
        <v>219000</v>
      </c>
      <c r="D27" s="65">
        <v>0</v>
      </c>
      <c r="E27" s="12">
        <f>July!E27+D27</f>
        <v>1</v>
      </c>
      <c r="F27" s="66"/>
      <c r="G27" s="12">
        <f>July!G27+F27</f>
        <v>0</v>
      </c>
    </row>
    <row r="28" spans="1:7" x14ac:dyDescent="0.2">
      <c r="A28" s="11" t="s">
        <v>27</v>
      </c>
      <c r="B28" s="64">
        <f>1+2+400+800+1895+632+1120+1120+560+2400+628+623+653+581+628+606+687+624+1425+675+640+508+1280+1600+640+320+1681+561+1212+343+325+660+850+990+975+990+2658+412+631+660+718+625+177+625+1503+1992+1171+480+362+118+1202+617+1200+1600+2142+2142+1823+1983+2000+1300+1250+1300+1250+625+1001+1977+1250+1250+569+525+525+1433+2670+515+1600+1600+1600+2043+1883+2202+1202+1000+500+1+2000+1200+990+1018+1848+2167+2167+1920+460+625+1875+613+612+1689+561+646+1294+631+1263+970+600+1850+542+1300+612+612+650+950+1125+950+800+950+1250+1250+1100+1100+1150+1150+925+925+1000+1000+1401+2049+1200+2000+660+500+1520+2206+275+440+479+195271</f>
        <v>341888</v>
      </c>
      <c r="C28" s="12">
        <f>July!C28+B28</f>
        <v>2572928</v>
      </c>
      <c r="D28" s="65">
        <v>4</v>
      </c>
      <c r="E28" s="12">
        <f>July!E28+D28</f>
        <v>6880</v>
      </c>
      <c r="F28" s="66"/>
      <c r="G28" s="12">
        <f>July!G28+F28</f>
        <v>24</v>
      </c>
    </row>
    <row r="29" spans="1:7" x14ac:dyDescent="0.2">
      <c r="A29" s="11" t="s">
        <v>28</v>
      </c>
      <c r="B29" s="64">
        <f>1250+1250+1350+1250+4400</f>
        <v>9500</v>
      </c>
      <c r="C29" s="12">
        <f>July!C29+B29</f>
        <v>33050</v>
      </c>
      <c r="D29" s="65"/>
      <c r="E29" s="12">
        <f>July!E29+D29</f>
        <v>0</v>
      </c>
      <c r="F29" s="66"/>
      <c r="G29" s="12">
        <f>July!G29+F29</f>
        <v>0</v>
      </c>
    </row>
    <row r="30" spans="1:7" x14ac:dyDescent="0.2">
      <c r="A30" s="11" t="s">
        <v>29</v>
      </c>
      <c r="B30" s="64">
        <f>830+265+525+150+1100+1100+1200+1095+1095+1095+725+370+1095+600+600+1200+1200+1050+425+740+355+1095+1095+1095+1095+850+400+1000+1000+1200+1000+1085+355+600+650+450+700+400+700+1100+1100+1085+1085+1085+1085+1085+108729</f>
        <v>147939</v>
      </c>
      <c r="C30" s="12">
        <f>July!C30+B30</f>
        <v>1216975</v>
      </c>
      <c r="D30" s="65">
        <f>22+135+75+100+30+25+6+2+4+44+5+240+110+140+170+4+4+23+2+4+2+150+180+180+115+19+4+22+3+30</f>
        <v>1850</v>
      </c>
      <c r="E30" s="12">
        <f>July!E30+D30</f>
        <v>14927</v>
      </c>
      <c r="F30" s="66"/>
      <c r="G30" s="12">
        <f>July!G30+F30</f>
        <v>0</v>
      </c>
    </row>
    <row r="31" spans="1:7" x14ac:dyDescent="0.2">
      <c r="A31" s="11" t="s">
        <v>30</v>
      </c>
      <c r="B31" s="64"/>
      <c r="C31" s="12">
        <f>July!C31+B31</f>
        <v>0</v>
      </c>
      <c r="D31" s="65"/>
      <c r="E31" s="12">
        <f>July!E31+D31</f>
        <v>0</v>
      </c>
      <c r="F31" s="66"/>
      <c r="G31" s="12">
        <f>July!G31+F31</f>
        <v>0</v>
      </c>
    </row>
    <row r="32" spans="1:7" x14ac:dyDescent="0.2">
      <c r="A32" s="11" t="s">
        <v>31</v>
      </c>
      <c r="B32" s="64"/>
      <c r="C32" s="12">
        <f>July!C32+B32</f>
        <v>0</v>
      </c>
      <c r="D32" s="65"/>
      <c r="E32" s="12">
        <f>July!E32+D32</f>
        <v>0</v>
      </c>
      <c r="F32" s="66"/>
      <c r="G32" s="12">
        <f>July!G32+F32</f>
        <v>0</v>
      </c>
    </row>
    <row r="33" spans="1:7" x14ac:dyDescent="0.2">
      <c r="A33" s="11" t="s">
        <v>32</v>
      </c>
      <c r="B33" s="64"/>
      <c r="C33" s="12">
        <f>July!C33+B33</f>
        <v>0</v>
      </c>
      <c r="D33" s="65"/>
      <c r="E33" s="12">
        <f>July!E33+D33</f>
        <v>0</v>
      </c>
      <c r="F33" s="66"/>
      <c r="G33" s="12">
        <f>July!G33+F33</f>
        <v>0</v>
      </c>
    </row>
    <row r="34" spans="1:7" x14ac:dyDescent="0.2">
      <c r="A34" s="11" t="s">
        <v>33</v>
      </c>
      <c r="B34" s="64"/>
      <c r="C34" s="12">
        <f>July!C34+B34</f>
        <v>0</v>
      </c>
      <c r="D34" s="65"/>
      <c r="E34" s="12">
        <f>July!E34+D34</f>
        <v>0</v>
      </c>
      <c r="F34" s="66"/>
      <c r="G34" s="12">
        <f>July!G34+F34</f>
        <v>0</v>
      </c>
    </row>
    <row r="35" spans="1:7" x14ac:dyDescent="0.2">
      <c r="A35" s="11" t="s">
        <v>34</v>
      </c>
      <c r="B35" s="64"/>
      <c r="C35" s="12">
        <f>July!C35+B35</f>
        <v>0</v>
      </c>
      <c r="D35" s="65"/>
      <c r="E35" s="12">
        <f>July!E35+D35</f>
        <v>0</v>
      </c>
      <c r="F35" s="66"/>
      <c r="G35" s="12">
        <f>July!G35+F35</f>
        <v>0</v>
      </c>
    </row>
    <row r="36" spans="1:7" x14ac:dyDescent="0.2">
      <c r="A36" s="11" t="s">
        <v>35</v>
      </c>
      <c r="B36" s="64">
        <f>650+76+47148</f>
        <v>47874</v>
      </c>
      <c r="C36" s="12">
        <f>July!C36+B36</f>
        <v>998685</v>
      </c>
      <c r="D36" s="65"/>
      <c r="E36" s="12">
        <f>July!E36+D36</f>
        <v>0</v>
      </c>
      <c r="F36" s="66"/>
      <c r="G36" s="12">
        <f>July!G36+F36</f>
        <v>0</v>
      </c>
    </row>
    <row r="37" spans="1:7" x14ac:dyDescent="0.2">
      <c r="A37" s="11" t="s">
        <v>36</v>
      </c>
      <c r="B37" s="64">
        <f>200+2500+2500+2250+2230+950+950+2500+2500+2000+700</f>
        <v>19280</v>
      </c>
      <c r="C37" s="12">
        <f>July!C37+B37</f>
        <v>217233</v>
      </c>
      <c r="D37" s="65">
        <f>180+220+220</f>
        <v>620</v>
      </c>
      <c r="E37" s="12">
        <f>July!E37+D37</f>
        <v>10475</v>
      </c>
      <c r="F37" s="66"/>
      <c r="G37" s="12">
        <f>July!G37+F37</f>
        <v>0</v>
      </c>
    </row>
    <row r="38" spans="1:7" x14ac:dyDescent="0.2">
      <c r="A38" s="11" t="s">
        <v>37</v>
      </c>
      <c r="B38" s="64">
        <f>700+700+700+11370</f>
        <v>13470</v>
      </c>
      <c r="C38" s="12">
        <f>July!C38+B38</f>
        <v>75539</v>
      </c>
      <c r="D38" s="65">
        <f>4</f>
        <v>4</v>
      </c>
      <c r="E38" s="12">
        <f>July!E38+D38</f>
        <v>476</v>
      </c>
      <c r="F38" s="66"/>
      <c r="G38" s="12">
        <f>July!G38+F38</f>
        <v>0</v>
      </c>
    </row>
    <row r="39" spans="1:7" x14ac:dyDescent="0.2">
      <c r="A39" s="11" t="s">
        <v>38</v>
      </c>
      <c r="B39" s="64">
        <f>157688+2180+2180+246+1640+350+413+200+500+380+200+320+1990</f>
        <v>168287</v>
      </c>
      <c r="C39" s="12">
        <f>July!C39+B39</f>
        <v>1611001</v>
      </c>
      <c r="D39" s="65"/>
      <c r="E39" s="12">
        <f>July!E39+D39</f>
        <v>1134</v>
      </c>
      <c r="F39" s="66"/>
      <c r="G39" s="12">
        <f>July!G39+F39</f>
        <v>0</v>
      </c>
    </row>
    <row r="40" spans="1:7" x14ac:dyDescent="0.2">
      <c r="A40" s="11" t="s">
        <v>39</v>
      </c>
      <c r="B40" s="64"/>
      <c r="C40" s="12">
        <f>July!C40+B40</f>
        <v>0</v>
      </c>
      <c r="D40" s="65"/>
      <c r="E40" s="12">
        <f>July!E40+D40</f>
        <v>0</v>
      </c>
      <c r="F40" s="66"/>
      <c r="G40" s="12">
        <f>July!G40+F40</f>
        <v>0</v>
      </c>
    </row>
    <row r="41" spans="1:7" x14ac:dyDescent="0.2">
      <c r="A41" s="11" t="s">
        <v>40</v>
      </c>
      <c r="B41" s="64"/>
      <c r="C41" s="12">
        <f>July!C41+B41</f>
        <v>2000</v>
      </c>
      <c r="D41" s="65">
        <v>895</v>
      </c>
      <c r="E41" s="12">
        <f>July!E41+D41</f>
        <v>925</v>
      </c>
      <c r="F41" s="66"/>
      <c r="G41" s="12">
        <f>July!G41+F41</f>
        <v>0</v>
      </c>
    </row>
    <row r="42" spans="1:7" x14ac:dyDescent="0.2">
      <c r="A42" s="11" t="s">
        <v>41</v>
      </c>
      <c r="B42" s="64"/>
      <c r="C42" s="12">
        <f>July!C42+B42</f>
        <v>0</v>
      </c>
      <c r="D42" s="65"/>
      <c r="E42" s="12">
        <f>July!E42+D42</f>
        <v>0</v>
      </c>
      <c r="F42" s="66"/>
      <c r="G42" s="12">
        <f>July!G42+F42</f>
        <v>0</v>
      </c>
    </row>
    <row r="43" spans="1:7" x14ac:dyDescent="0.2">
      <c r="A43" s="11" t="s">
        <v>42</v>
      </c>
      <c r="B43" s="64"/>
      <c r="C43" s="12">
        <f>July!C43+B43</f>
        <v>0</v>
      </c>
      <c r="D43" s="65"/>
      <c r="E43" s="12">
        <f>July!E43+D43</f>
        <v>0</v>
      </c>
      <c r="F43" s="66"/>
      <c r="G43" s="12">
        <f>July!G43+F43</f>
        <v>0</v>
      </c>
    </row>
    <row r="44" spans="1:7" x14ac:dyDescent="0.2">
      <c r="A44" s="11" t="s">
        <v>43</v>
      </c>
      <c r="B44" s="64">
        <f>500+500+525+1250+630+630+700+630+630+660+637+2500+2500+27470</f>
        <v>39762</v>
      </c>
      <c r="C44" s="12">
        <f>July!C44+B44</f>
        <v>302119</v>
      </c>
      <c r="D44" s="65">
        <f>3+2+103+500+191</f>
        <v>799</v>
      </c>
      <c r="E44" s="12">
        <f>July!E44+D44</f>
        <v>4995</v>
      </c>
      <c r="F44" s="66"/>
      <c r="G44" s="12">
        <f>July!G44+F44</f>
        <v>0</v>
      </c>
    </row>
    <row r="45" spans="1:7" x14ac:dyDescent="0.2">
      <c r="A45" s="11" t="s">
        <v>44</v>
      </c>
      <c r="B45" s="64"/>
      <c r="C45" s="12">
        <f>July!C45+B45</f>
        <v>0</v>
      </c>
      <c r="D45" s="65"/>
      <c r="E45" s="12">
        <f>July!E45+D45</f>
        <v>137</v>
      </c>
      <c r="F45" s="66"/>
      <c r="G45" s="12">
        <f>July!G45+F45</f>
        <v>0</v>
      </c>
    </row>
    <row r="46" spans="1:7" x14ac:dyDescent="0.2">
      <c r="A46" s="11" t="s">
        <v>45</v>
      </c>
      <c r="B46" s="64">
        <v>19189</v>
      </c>
      <c r="C46" s="12">
        <f>July!C46+B46</f>
        <v>109276</v>
      </c>
      <c r="D46" s="65">
        <f>1+2</f>
        <v>3</v>
      </c>
      <c r="E46" s="12">
        <f>July!E46+D46</f>
        <v>130</v>
      </c>
      <c r="F46" s="66"/>
      <c r="G46" s="12">
        <f>July!G46+F46</f>
        <v>0</v>
      </c>
    </row>
    <row r="47" spans="1:7" x14ac:dyDescent="0.2">
      <c r="A47" s="11" t="s">
        <v>46</v>
      </c>
      <c r="B47" s="64">
        <v>26192</v>
      </c>
      <c r="C47" s="12">
        <f>July!C47+B47</f>
        <v>215261</v>
      </c>
      <c r="D47" s="65"/>
      <c r="E47" s="12">
        <f>July!E47+D47</f>
        <v>2</v>
      </c>
      <c r="F47" s="66">
        <f>60+75</f>
        <v>135</v>
      </c>
      <c r="G47" s="12">
        <f>July!G47+F47</f>
        <v>135</v>
      </c>
    </row>
    <row r="48" spans="1:7" x14ac:dyDescent="0.2">
      <c r="A48" s="11" t="s">
        <v>47</v>
      </c>
      <c r="B48" s="64"/>
      <c r="C48" s="12">
        <f>July!C48+B48</f>
        <v>0</v>
      </c>
      <c r="D48" s="65"/>
      <c r="E48" s="12">
        <f>July!E48+D48</f>
        <v>0</v>
      </c>
      <c r="F48" s="66"/>
      <c r="G48" s="12">
        <f>July!G48+F48</f>
        <v>0</v>
      </c>
    </row>
    <row r="49" spans="1:256" x14ac:dyDescent="0.2">
      <c r="A49" s="11" t="s">
        <v>48</v>
      </c>
      <c r="B49" s="64"/>
      <c r="C49" s="12">
        <f>July!C49+B49</f>
        <v>0</v>
      </c>
      <c r="D49" s="65"/>
      <c r="E49" s="12">
        <f>July!E49+D49</f>
        <v>0</v>
      </c>
      <c r="F49" s="66"/>
      <c r="G49" s="12">
        <f>July!G49+F49</f>
        <v>0</v>
      </c>
    </row>
    <row r="50" spans="1:256" x14ac:dyDescent="0.2">
      <c r="A50" s="11" t="s">
        <v>49</v>
      </c>
      <c r="B50" s="64"/>
      <c r="C50" s="12">
        <f>July!C50+B50</f>
        <v>0</v>
      </c>
      <c r="D50" s="65"/>
      <c r="E50" s="12">
        <f>July!E50+D50</f>
        <v>0</v>
      </c>
      <c r="F50" s="66"/>
      <c r="G50" s="12">
        <f>July!G50+F50</f>
        <v>0</v>
      </c>
    </row>
    <row r="51" spans="1:256" x14ac:dyDescent="0.2">
      <c r="A51" s="11" t="s">
        <v>50</v>
      </c>
      <c r="B51" s="64"/>
      <c r="C51" s="12">
        <f>July!C51+B51</f>
        <v>0</v>
      </c>
      <c r="D51" s="65"/>
      <c r="E51" s="12">
        <f>July!E51+D51</f>
        <v>0</v>
      </c>
      <c r="F51" s="66"/>
      <c r="G51" s="12">
        <f>July!G51+F51</f>
        <v>0</v>
      </c>
    </row>
    <row r="52" spans="1:256" x14ac:dyDescent="0.2">
      <c r="A52" s="11" t="s">
        <v>51</v>
      </c>
      <c r="B52" s="64">
        <f>12+300+2000+35+60+1100+600+400+450+50+850+654+675+250+200+850+100+200+150+250+100+200+140+200+250+180+280+250+270+200+200+200+130+100+200+240+100+150+110+200+200+300+200+240</f>
        <v>13826</v>
      </c>
      <c r="C52" s="12">
        <f>July!C52+B52</f>
        <v>149333</v>
      </c>
      <c r="D52" s="65">
        <v>180</v>
      </c>
      <c r="E52" s="12">
        <f>July!E52+D52</f>
        <v>3607</v>
      </c>
      <c r="F52" s="66"/>
      <c r="G52" s="12">
        <f>July!G52+F52</f>
        <v>0</v>
      </c>
    </row>
    <row r="53" spans="1:256" x14ac:dyDescent="0.2">
      <c r="A53" s="11" t="s">
        <v>52</v>
      </c>
      <c r="B53" s="64">
        <f>1900+1150+2360+1945+1280+2470+150+1970+2000+600+1900+600+1815+200+500+1930+2360+1935+1985+2360+1955+1840+545</f>
        <v>35750</v>
      </c>
      <c r="C53" s="12">
        <f>July!C53+B53</f>
        <v>219217</v>
      </c>
      <c r="D53" s="65">
        <f>250</f>
        <v>250</v>
      </c>
      <c r="E53" s="12">
        <f>July!E53+D53</f>
        <v>3180</v>
      </c>
      <c r="F53" s="66"/>
      <c r="G53" s="12">
        <f>July!G53+F53</f>
        <v>0</v>
      </c>
    </row>
    <row r="54" spans="1:256" ht="15.75" thickBot="1" x14ac:dyDescent="0.25">
      <c r="A54" s="13" t="s">
        <v>53</v>
      </c>
      <c r="B54" s="64">
        <v>248826</v>
      </c>
      <c r="C54" s="12">
        <f>July!C54+B54</f>
        <v>2114639</v>
      </c>
      <c r="D54" s="65">
        <v>1119</v>
      </c>
      <c r="E54" s="12">
        <f>July!E54+D54</f>
        <v>5405</v>
      </c>
      <c r="F54" s="66">
        <v>12181</v>
      </c>
      <c r="G54" s="12">
        <f>July!G54+F54</f>
        <v>97227</v>
      </c>
    </row>
    <row r="55" spans="1:256" ht="25.9" customHeight="1" thickTop="1" thickBot="1" x14ac:dyDescent="0.25">
      <c r="A55" s="14" t="s">
        <v>54</v>
      </c>
      <c r="B55" s="15">
        <f>SUM(B7:B54)</f>
        <v>1803557</v>
      </c>
      <c r="C55" s="15">
        <f>July!C55+B55</f>
        <v>15843256</v>
      </c>
      <c r="D55" s="15">
        <f>SUM(D7:D54)</f>
        <v>13205</v>
      </c>
      <c r="E55" s="15">
        <f>July!E55+D55</f>
        <v>126271</v>
      </c>
      <c r="F55" s="15">
        <f>SUM(F7:F54)</f>
        <v>12316</v>
      </c>
      <c r="G55" s="15">
        <f>July!G55+F55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100</v>
      </c>
    </row>
    <row r="60" spans="1:256" x14ac:dyDescent="0.2">
      <c r="A60" s="1" t="s">
        <v>58</v>
      </c>
      <c r="B60" s="23"/>
      <c r="C60" s="23"/>
      <c r="D60" s="24">
        <f>July!D60+C60</f>
        <v>920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>
        <f>300+140+200+250+150+70+40+55+150+175+150+150+175+40+55+70+40+160+160+135+200+200+175+40+40+180+130+180+100+200+200+175+55+50+200+175+175+150+100+55+150+175+200+200+175+40+70+60+120+175+200+175+55+150+70+40+150+55+175+200+70+175+40+220+110+180+130+150+175+90+130+50+110+35+200+225+130+160+90+55+190+20+70+1280+1280+125+240+2280+1124+14+46+245+70+30+95+26+45+26+45+75+55+230+45+26+35+70+80+80+40+75+30+26+200+230+100+45+45+26+26+95+60+35+30+90+120+80+80+120+60+160+45+80+120+80+80+120+35+26+45+100+35+80+80+120+35+85+230+120+90+80+26+100+90+230+45+35+30+100+26+120+200+45+110+280+135+45+175+300+150+110+135+280+45+370+175+150+190+110+135+45+400+175+150+120+90+30+35+85+95+95+90+80+120+200+125+45+26+30+35+80+26+45+300+80+80+45+24+2+45+60+120+80+70+30+50+26+26+45+45+130+230+80+120+90+80+175+8+40+30+210+96+6+96+125+98+8+12+210+94+125+90+200+35+90+8+26+210+90+96+125+94+32+100+20+210+98+60+34+8+85+100+85+100+50+225+125+125+70+30+180+235+325+75+30+85+100+85+30+100+160+100+85+160+30+175+50+70+275+75+325+75+150+30+160+85+100+30+160+100+125+200+80+225+200+200+180+90+130+160+90+70+210+126+70+160+80+180+130+90+50+40+100+90+80+100+20+250+130+220+200+250+150+120+40+70+50+140+100+160+150+200+180+200+175+150+10+40+170+55+150+175+200+120+175+170+40+70+150+55+175+200+200+175+130+40+70+150+200+125+100+175+40+40+175+40+70+55+150+175+130+55+150+175+150+50+200+90+150+55+175+200+30+130+160+250+60+130+160+90+70+10+50+130+65+200+350+3600</f>
        <v>54968</v>
      </c>
      <c r="D62" s="24">
        <f>July!D62+C62</f>
        <v>685721</v>
      </c>
    </row>
    <row r="63" spans="1:256" x14ac:dyDescent="0.2">
      <c r="A63" s="1" t="s">
        <v>66</v>
      </c>
      <c r="B63" s="23"/>
      <c r="C63" s="23">
        <f>60+170+14+70+25+80+90+35+46+60+100+45+12+20+116+90+50+176+60+170+170+60+14+35+80+65+55+25+35+76+100+30+106+90+170+80+70+60+170+80+90+35+70+30+60+170+25+70+16+100+80+90+116+35+60+170+60+80+90+35+25+100+60+170+60+75+45+106+90+80</f>
        <v>5353</v>
      </c>
      <c r="D63" s="24">
        <f>July!D63+C63</f>
        <v>45390</v>
      </c>
    </row>
    <row r="64" spans="1:256" x14ac:dyDescent="0.2">
      <c r="A64" s="1" t="s">
        <v>64</v>
      </c>
      <c r="B64" s="23"/>
      <c r="C64" s="23">
        <f>140+50+130+140+140+140+140+120+75+40+30+66+20+15+75+57+48+6+30+75+210+241+400+27+125+125+27+20+64+70+19+86+15+35+40+57+40+120+33+12+20+44+70+19+152+32+70+65+72+30+220+250+26+35+32+50+120+90+140+105+76+180+32+220+75+140+65+72+140+140+180+225+26+45+70+20+90+140+105+62+80+180+150+75+26+45+30+33+12+41+46+140+180+180+250+26+35+32+110+105+72+140+180+175+50+26+45+32+60+140+65+72+220+180+250+26+35+32+100+45+100+100+140+120+180+180+250+105+64+85+26+35+80+140+70+140+180+225+65+84+95+15+75+75+48+70+19+86+35+45+90+33+12+20+49+120+70+29+84+10+75+40+359+359+130+140+140+40+170+33+12+80+48+50+40+30+35+32+100+105+30+70+8+6+35+84+10+75+160+180+225+26+45+32+70+210+60+65+140+180+180+250+26+225+70+16+24+84+10+75+40+12+33+44+45+28+9+6+28+6+70+24+86+15+75+57+38+33+12+20+56+140+180+225+26+45+32+60+140+65+140+140+140+75+57+40+30+30+33+12+36+70+19+26+86+15+33+12+44+26+35+32+90+140+120+180+180+250+105+30+70+26+4+8+112+21+84+10+40+75+84+85+49+33+12+35+8+84+36+30+70+10+75+40+40+19+146+18+86+70+15+75+57+38+75+40+33+12+32+15+56+30+46+75+18+6+26+86+15+33+12+46+6+30+70+35+8+84+10+90+40+33+12+10+26+45+32+55+65+72+140+180+180+250+26+35+32+105+140+140+140+130</f>
        <v>27325</v>
      </c>
      <c r="D64" s="24">
        <f>July!D64+C64</f>
        <v>211715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>
        <v>230</v>
      </c>
      <c r="D66" s="24">
        <f>July!D66+C66</f>
        <v>18108</v>
      </c>
    </row>
    <row r="67" spans="1:4" x14ac:dyDescent="0.2">
      <c r="A67" s="1" t="s">
        <v>63</v>
      </c>
      <c r="C67" s="23">
        <v>1920</v>
      </c>
      <c r="D67" s="24">
        <f>July!D67+C67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B48" sqref="B4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77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67">
        <f>870+870+870+870+825+825+825+825+825+1000+825+825+870+870+870+870+870+825+825</f>
        <v>16255</v>
      </c>
      <c r="C7" s="12">
        <f>August!C7+B7</f>
        <v>96494</v>
      </c>
      <c r="D7" s="65"/>
      <c r="E7" s="12">
        <f>August!E7+D7</f>
        <v>0</v>
      </c>
      <c r="F7" s="66"/>
      <c r="G7" s="12">
        <f>August!G7+F7</f>
        <v>0</v>
      </c>
    </row>
    <row r="8" spans="1:256" ht="15" customHeight="1" x14ac:dyDescent="0.2">
      <c r="A8" s="11" t="s">
        <v>65</v>
      </c>
      <c r="B8" s="67"/>
      <c r="C8" s="12">
        <f>August!C8+B8</f>
        <v>0</v>
      </c>
      <c r="D8" s="65"/>
      <c r="E8" s="12">
        <f>August!E8+D8</f>
        <v>0</v>
      </c>
      <c r="F8" s="66"/>
      <c r="G8" s="12">
        <f>August!G8+F8</f>
        <v>0</v>
      </c>
    </row>
    <row r="9" spans="1:256" ht="15" customHeight="1" x14ac:dyDescent="0.2">
      <c r="A9" s="11" t="s">
        <v>8</v>
      </c>
      <c r="B9" s="67">
        <f>1100+1100+1100+1100+1100+1100+1100+1100+1100+750+500+750+500+550+700+500+650+600+500+750+500+750+500+430+500</f>
        <v>19330</v>
      </c>
      <c r="C9" s="12">
        <f>August!C9+B9</f>
        <v>212267</v>
      </c>
      <c r="D9" s="65"/>
      <c r="E9" s="12">
        <f>August!E9+D9</f>
        <v>632</v>
      </c>
      <c r="F9" s="66"/>
      <c r="G9" s="12">
        <f>August!G9+F9</f>
        <v>0</v>
      </c>
    </row>
    <row r="10" spans="1:256" ht="15" customHeight="1" x14ac:dyDescent="0.2">
      <c r="A10" s="11" t="s">
        <v>9</v>
      </c>
      <c r="B10" s="67"/>
      <c r="C10" s="12">
        <f>August!C10+B10</f>
        <v>1</v>
      </c>
      <c r="D10" s="65"/>
      <c r="E10" s="12">
        <f>August!E10+D10</f>
        <v>30</v>
      </c>
      <c r="F10" s="66"/>
      <c r="G10" s="12">
        <f>August!G10+F10</f>
        <v>0</v>
      </c>
    </row>
    <row r="11" spans="1:256" ht="15" customHeight="1" x14ac:dyDescent="0.2">
      <c r="A11" s="11" t="s">
        <v>10</v>
      </c>
      <c r="B11" s="67">
        <v>47390</v>
      </c>
      <c r="C11" s="12">
        <f>August!C11+B11</f>
        <v>850731</v>
      </c>
      <c r="D11" s="65"/>
      <c r="E11" s="12">
        <f>August!E11+D11</f>
        <v>416</v>
      </c>
      <c r="F11" s="66"/>
      <c r="G11" s="12">
        <f>August!G11+F11</f>
        <v>0</v>
      </c>
    </row>
    <row r="12" spans="1:256" ht="15" customHeight="1" x14ac:dyDescent="0.2">
      <c r="A12" s="11" t="s">
        <v>11</v>
      </c>
      <c r="B12" s="67"/>
      <c r="C12" s="12">
        <f>August!C12+B12</f>
        <v>0</v>
      </c>
      <c r="D12" s="65"/>
      <c r="E12" s="12">
        <f>August!E12+D12</f>
        <v>0</v>
      </c>
      <c r="F12" s="66"/>
      <c r="G12" s="12">
        <f>August!G12+F12</f>
        <v>0</v>
      </c>
    </row>
    <row r="13" spans="1:256" ht="15" customHeight="1" x14ac:dyDescent="0.2">
      <c r="A13" s="11" t="s">
        <v>12</v>
      </c>
      <c r="B13" s="67"/>
      <c r="C13" s="12">
        <f>August!C13+B13</f>
        <v>0</v>
      </c>
      <c r="D13" s="65"/>
      <c r="E13" s="12">
        <f>August!E13+D13</f>
        <v>7</v>
      </c>
      <c r="F13" s="66"/>
      <c r="G13" s="12">
        <f>August!G13+F13</f>
        <v>0</v>
      </c>
    </row>
    <row r="14" spans="1:256" ht="15" customHeight="1" x14ac:dyDescent="0.2">
      <c r="A14" s="11" t="s">
        <v>13</v>
      </c>
      <c r="B14" s="67">
        <v>491</v>
      </c>
      <c r="C14" s="12">
        <f>August!C14+B14</f>
        <v>491</v>
      </c>
      <c r="D14" s="65"/>
      <c r="E14" s="12">
        <f>August!E14+D14</f>
        <v>0</v>
      </c>
      <c r="F14" s="66"/>
      <c r="G14" s="12">
        <f>August!G14+F14</f>
        <v>0</v>
      </c>
    </row>
    <row r="15" spans="1:256" ht="15" customHeight="1" x14ac:dyDescent="0.2">
      <c r="A15" s="11" t="s">
        <v>14</v>
      </c>
      <c r="B15" s="67">
        <f>1150+1150+1600</f>
        <v>3900</v>
      </c>
      <c r="C15" s="12">
        <f>August!C15+B15</f>
        <v>53604</v>
      </c>
      <c r="D15" s="65"/>
      <c r="E15" s="12">
        <f>August!E15+D15</f>
        <v>0</v>
      </c>
      <c r="F15" s="66"/>
      <c r="G15" s="12">
        <f>August!G15+F15</f>
        <v>0</v>
      </c>
    </row>
    <row r="16" spans="1:256" ht="15" customHeight="1" x14ac:dyDescent="0.2">
      <c r="A16" s="11" t="s">
        <v>15</v>
      </c>
      <c r="B16" s="67"/>
      <c r="C16" s="12">
        <f>August!C16+B16</f>
        <v>0</v>
      </c>
      <c r="D16" s="65"/>
      <c r="E16" s="12">
        <f>August!E16+D16</f>
        <v>1053</v>
      </c>
      <c r="F16" s="66"/>
      <c r="G16" s="12">
        <f>August!G16+F16</f>
        <v>0</v>
      </c>
    </row>
    <row r="17" spans="1:7" ht="15" customHeight="1" x14ac:dyDescent="0.2">
      <c r="A17" s="11" t="s">
        <v>16</v>
      </c>
      <c r="B17" s="67">
        <f>600+600+652+600+650+614+613+613+920+920+920+1080+1300+1000+1000+1000+1300+804+605+1009+605+1450+320+1200+690+130+685+150+1025+920+920+527+643+692+920+920+920+640+495+655+655+659+658+655+645+645+655+650+650+1050+1000+1000+1000+613+613+612+612+350+340+550+550+1100+1200+1200+170+1500+1200+450+697+650+650+650+1000+900+650+660+1000+1000+655+650+650+702+450+330+345+330+320+330+340+300+345+305+340+335+335+345+350+330+335+1450+215+340+345+320+335+345+330+340+305+315+305+320+300+340+340+340+345+330+345+315+305+330+340+340+220+350+340+340+350+1000+600+525+600+650+80+525+525+900+900+285+100+175+650+627+632+600+330+199512</f>
        <v>288619</v>
      </c>
      <c r="C17" s="12">
        <f>August!C17+B17</f>
        <v>2672254</v>
      </c>
      <c r="D17" s="65">
        <f>2+12+2+80+2+30+110+180+100+80+127+127+127+546</f>
        <v>1525</v>
      </c>
      <c r="E17" s="12">
        <f>August!E17+D17</f>
        <v>37550</v>
      </c>
      <c r="F17" s="66"/>
      <c r="G17" s="12">
        <f>August!G17+F17</f>
        <v>0</v>
      </c>
    </row>
    <row r="18" spans="1:7" ht="15" customHeight="1" x14ac:dyDescent="0.2">
      <c r="A18" s="11" t="s">
        <v>17</v>
      </c>
      <c r="B18" s="67">
        <f>150+1200+300+11075</f>
        <v>12725</v>
      </c>
      <c r="C18" s="12">
        <f>August!C18+B18</f>
        <v>102969</v>
      </c>
      <c r="D18" s="65">
        <f>370+370+6</f>
        <v>746</v>
      </c>
      <c r="E18" s="12">
        <f>August!E18+D18</f>
        <v>5500</v>
      </c>
      <c r="F18" s="66"/>
      <c r="G18" s="12">
        <f>August!G18+F18</f>
        <v>0</v>
      </c>
    </row>
    <row r="19" spans="1:7" ht="15" customHeight="1" x14ac:dyDescent="0.2">
      <c r="A19" s="11" t="s">
        <v>18</v>
      </c>
      <c r="B19" s="67">
        <f>1050+1050+1100+800+470+1550+1050+1500+1500+1600+18550</f>
        <v>30220</v>
      </c>
      <c r="C19" s="12">
        <f>August!C19+B19</f>
        <v>228792</v>
      </c>
      <c r="D19" s="65">
        <f>200+150+126+128+150+200+30+128+32</f>
        <v>1144</v>
      </c>
      <c r="E19" s="12">
        <f>August!E19+D19</f>
        <v>5505</v>
      </c>
      <c r="F19" s="66"/>
      <c r="G19" s="12">
        <f>August!G19+F19</f>
        <v>0</v>
      </c>
    </row>
    <row r="20" spans="1:7" ht="15" customHeight="1" x14ac:dyDescent="0.2">
      <c r="A20" s="11" t="s">
        <v>19</v>
      </c>
      <c r="B20" s="67"/>
      <c r="C20" s="12">
        <f>August!C20+B20</f>
        <v>7856</v>
      </c>
      <c r="D20" s="65">
        <f>3</f>
        <v>3</v>
      </c>
      <c r="E20" s="12">
        <f>August!E20+D20</f>
        <v>34</v>
      </c>
      <c r="F20" s="66"/>
      <c r="G20" s="12">
        <f>August!G20+F20</f>
        <v>0</v>
      </c>
    </row>
    <row r="21" spans="1:7" ht="15" customHeight="1" x14ac:dyDescent="0.2">
      <c r="A21" s="11" t="s">
        <v>20</v>
      </c>
      <c r="B21" s="67"/>
      <c r="C21" s="12">
        <f>August!C21+B21</f>
        <v>0</v>
      </c>
      <c r="D21" s="65"/>
      <c r="E21" s="12">
        <f>August!E21+D21</f>
        <v>0</v>
      </c>
      <c r="F21" s="66"/>
      <c r="G21" s="12">
        <f>August!G21+F21</f>
        <v>0</v>
      </c>
    </row>
    <row r="22" spans="1:7" ht="15" customHeight="1" x14ac:dyDescent="0.2">
      <c r="A22" s="11" t="s">
        <v>21</v>
      </c>
      <c r="B22" s="67"/>
      <c r="C22" s="12">
        <f>August!C22+B22</f>
        <v>0</v>
      </c>
      <c r="D22" s="65"/>
      <c r="E22" s="12">
        <f>August!E22+D22</f>
        <v>0</v>
      </c>
      <c r="F22" s="66"/>
      <c r="G22" s="12">
        <f>August!G22+F22</f>
        <v>0</v>
      </c>
    </row>
    <row r="23" spans="1:7" ht="15" customHeight="1" x14ac:dyDescent="0.2">
      <c r="A23" s="11" t="s">
        <v>22</v>
      </c>
      <c r="B23" s="67"/>
      <c r="C23" s="12">
        <f>August!C23+B23</f>
        <v>0</v>
      </c>
      <c r="D23" s="65"/>
      <c r="E23" s="12">
        <f>August!E23+D23</f>
        <v>15</v>
      </c>
      <c r="F23" s="66"/>
      <c r="G23" s="12">
        <f>August!G23+F23</f>
        <v>0</v>
      </c>
    </row>
    <row r="24" spans="1:7" ht="15" customHeight="1" x14ac:dyDescent="0.2">
      <c r="A24" s="11" t="s">
        <v>23</v>
      </c>
      <c r="B24" s="67"/>
      <c r="C24" s="12">
        <f>August!C24+B24</f>
        <v>0</v>
      </c>
      <c r="D24" s="65"/>
      <c r="E24" s="12">
        <f>August!E24+D24</f>
        <v>0</v>
      </c>
      <c r="F24" s="66"/>
      <c r="G24" s="12">
        <f>August!G24+F24</f>
        <v>0</v>
      </c>
    </row>
    <row r="25" spans="1:7" ht="15" customHeight="1" x14ac:dyDescent="0.2">
      <c r="A25" s="11" t="s">
        <v>24</v>
      </c>
      <c r="B25" s="67">
        <v>500</v>
      </c>
      <c r="C25" s="12">
        <f>August!C25+B25</f>
        <v>7967</v>
      </c>
      <c r="D25" s="65">
        <f>100+530</f>
        <v>630</v>
      </c>
      <c r="E25" s="12">
        <f>August!E25+D25</f>
        <v>8079</v>
      </c>
      <c r="F25" s="66"/>
      <c r="G25" s="12">
        <f>August!G25+F25</f>
        <v>0</v>
      </c>
    </row>
    <row r="26" spans="1:7" ht="15" customHeight="1" x14ac:dyDescent="0.2">
      <c r="A26" s="11" t="s">
        <v>25</v>
      </c>
      <c r="B26" s="67">
        <f>390+650+390+650+720+2028+2028+2028+2300+610+500+610+2160+333+400+296+293+434+1000+1000+1000+1000+500+525+210+1100+2080+535+360+360+610+500+400+400+350+350+135+2400+2400+850+300+600+750+450+1000+1000+1575+2175+1250+410+235+2400+2000+830+570+135+103+130+850+2020+2020+420+355+590+635+1028+2056+1028+610+600+820+620+400+360+360+2000+850+1900+2170+220+439+360+610+610+240+480+600+620+500+530+650+400+400+175+106+1280+120+2562+1930+250+165+165+165+450+250+2428+2028+2060+1215+850+1221+110+170+850+2000+550+350+160+130+220+155+102+106+635+656+400+634+290+238+1284+630+660+250+250+565+420+1250+1264+195187</f>
        <v>306085</v>
      </c>
      <c r="C26" s="12">
        <f>August!C26+B26</f>
        <v>2279089</v>
      </c>
      <c r="D26" s="65">
        <f>44+50+225+2+38+1+1+15+29+14+40+420+212+17+9+18+73+17+1+3073</f>
        <v>4299</v>
      </c>
      <c r="E26" s="12">
        <f>August!E26+D26</f>
        <v>23523</v>
      </c>
      <c r="F26" s="66"/>
      <c r="G26" s="12">
        <f>August!G26+F26</f>
        <v>0</v>
      </c>
    </row>
    <row r="27" spans="1:7" ht="15" customHeight="1" x14ac:dyDescent="0.2">
      <c r="A27" s="11" t="s">
        <v>26</v>
      </c>
      <c r="B27" s="67">
        <v>40750</v>
      </c>
      <c r="C27" s="12">
        <f>August!C27+B27</f>
        <v>259750</v>
      </c>
      <c r="D27" s="65"/>
      <c r="E27" s="12">
        <f>August!E27+D27</f>
        <v>1</v>
      </c>
      <c r="F27" s="66"/>
      <c r="G27" s="12">
        <f>August!G27+F27</f>
        <v>0</v>
      </c>
    </row>
    <row r="28" spans="1:7" ht="15" customHeight="1" x14ac:dyDescent="0.2">
      <c r="A28" s="11" t="s">
        <v>27</v>
      </c>
      <c r="B28" s="67">
        <f>1250+340+550+1250+164+4+1996+1600+800+800+8+6+1520+2154+2154+1836+1425+460+440+1240+720+1425+735+475+475+400+1559+1259+791+1050+1520+2167+917+1250+2168+2008+1600+1600+1293+7+1899+1921+1800+310+1910+800+1520+1022+1153+2175+2175+2015+1600+1600+965+547+965+792+653+1224+240+1424+1150+970+1330+730+730+730+974+620+1240+1255+1289+644+1286+1920+1250+738+550+1650+2480+1240+620+970+1100+931+2500+900+900+1815+250+750+1000+2448+1125+1125+630+630+1+11+14+660+677+433+1224+740+1200+1800+2672+2672+2672+344+666+350+1100+1100+1250+329+13+176003</f>
        <v>308527</v>
      </c>
      <c r="C28" s="12">
        <f>August!C28+B28</f>
        <v>2881455</v>
      </c>
      <c r="D28" s="65">
        <f>1500+8+22+22+11</f>
        <v>1563</v>
      </c>
      <c r="E28" s="12">
        <f>August!E28+D28</f>
        <v>8443</v>
      </c>
      <c r="F28" s="66"/>
      <c r="G28" s="12">
        <f>August!G28+F28</f>
        <v>24</v>
      </c>
    </row>
    <row r="29" spans="1:7" ht="15" customHeight="1" x14ac:dyDescent="0.2">
      <c r="A29" s="11" t="s">
        <v>28</v>
      </c>
      <c r="B29" s="67">
        <f>1100+1300+1400+1400+1500+2200</f>
        <v>8900</v>
      </c>
      <c r="C29" s="12">
        <f>August!C29+B29</f>
        <v>41950</v>
      </c>
      <c r="D29" s="65"/>
      <c r="E29" s="12">
        <f>August!E29+D29</f>
        <v>0</v>
      </c>
      <c r="F29" s="66"/>
      <c r="G29" s="12">
        <f>August!G29+F29</f>
        <v>0</v>
      </c>
    </row>
    <row r="30" spans="1:7" ht="15" customHeight="1" x14ac:dyDescent="0.2">
      <c r="A30" s="11" t="s">
        <v>29</v>
      </c>
      <c r="B30" s="67">
        <f>550+800+825+70+1000+1100+900+300+525+300+525+300+1200+1000+1000+1000+1000+1285+47+600+1000+2030+50+48+700+900+1035+1235+1235+180+1000+900+1100+1235+10+1040+690+350+1040+1040+1040+128186</f>
        <v>160371</v>
      </c>
      <c r="C30" s="12">
        <f>August!C30+B30</f>
        <v>1377346</v>
      </c>
      <c r="D30" s="65">
        <f>17+3+27+40+3+45+300+150+480+490+16+2+30+40+120+140+240+25+12+2+12</f>
        <v>2194</v>
      </c>
      <c r="E30" s="12">
        <f>August!E30+D30</f>
        <v>17121</v>
      </c>
      <c r="F30" s="66"/>
      <c r="G30" s="12">
        <f>August!G30+F30</f>
        <v>0</v>
      </c>
    </row>
    <row r="31" spans="1:7" ht="15" customHeight="1" x14ac:dyDescent="0.2">
      <c r="A31" s="11" t="s">
        <v>30</v>
      </c>
      <c r="B31" s="67"/>
      <c r="C31" s="12">
        <f>August!C31+B31</f>
        <v>0</v>
      </c>
      <c r="D31" s="65"/>
      <c r="E31" s="12">
        <f>August!E31+D31</f>
        <v>0</v>
      </c>
      <c r="F31" s="66"/>
      <c r="G31" s="12">
        <f>August!G31+F31</f>
        <v>0</v>
      </c>
    </row>
    <row r="32" spans="1:7" ht="15" customHeight="1" x14ac:dyDescent="0.2">
      <c r="A32" s="11" t="s">
        <v>31</v>
      </c>
      <c r="B32" s="67"/>
      <c r="C32" s="12">
        <f>August!C32+B32</f>
        <v>0</v>
      </c>
      <c r="D32" s="65"/>
      <c r="E32" s="12">
        <f>August!E32+D32</f>
        <v>0</v>
      </c>
      <c r="F32" s="66"/>
      <c r="G32" s="12">
        <f>August!G32+F32</f>
        <v>0</v>
      </c>
    </row>
    <row r="33" spans="1:7" ht="15" customHeight="1" x14ac:dyDescent="0.2">
      <c r="A33" s="11" t="s">
        <v>32</v>
      </c>
      <c r="B33" s="67"/>
      <c r="C33" s="12">
        <f>August!C33+B33</f>
        <v>0</v>
      </c>
      <c r="D33" s="65"/>
      <c r="E33" s="12">
        <f>August!E33+D33</f>
        <v>0</v>
      </c>
      <c r="F33" s="66"/>
      <c r="G33" s="12">
        <f>August!G33+F33</f>
        <v>0</v>
      </c>
    </row>
    <row r="34" spans="1:7" ht="15" customHeight="1" x14ac:dyDescent="0.2">
      <c r="A34" s="11" t="s">
        <v>33</v>
      </c>
      <c r="B34" s="67"/>
      <c r="C34" s="12">
        <f>August!C34+B34</f>
        <v>0</v>
      </c>
      <c r="D34" s="65"/>
      <c r="E34" s="12">
        <f>August!E34+D34</f>
        <v>0</v>
      </c>
      <c r="F34" s="66"/>
      <c r="G34" s="12">
        <f>August!G34+F34</f>
        <v>0</v>
      </c>
    </row>
    <row r="35" spans="1:7" ht="15" customHeight="1" x14ac:dyDescent="0.2">
      <c r="A35" s="11" t="s">
        <v>34</v>
      </c>
      <c r="B35" s="67"/>
      <c r="C35" s="12">
        <f>August!C35+B35</f>
        <v>0</v>
      </c>
      <c r="D35" s="65"/>
      <c r="E35" s="12">
        <f>August!E35+D35</f>
        <v>0</v>
      </c>
      <c r="F35" s="66"/>
      <c r="G35" s="12">
        <f>August!G35+F35</f>
        <v>0</v>
      </c>
    </row>
    <row r="36" spans="1:7" ht="15" customHeight="1" x14ac:dyDescent="0.2">
      <c r="A36" s="11" t="s">
        <v>35</v>
      </c>
      <c r="B36" s="67">
        <f>800+800+800+800+825+133215</f>
        <v>137240</v>
      </c>
      <c r="C36" s="12">
        <f>August!C36+B36</f>
        <v>1135925</v>
      </c>
      <c r="D36" s="65"/>
      <c r="E36" s="12">
        <f>August!E36+D36</f>
        <v>0</v>
      </c>
      <c r="F36" s="66"/>
      <c r="G36" s="12">
        <f>August!G36+F36</f>
        <v>0</v>
      </c>
    </row>
    <row r="37" spans="1:7" ht="15" customHeight="1" x14ac:dyDescent="0.2">
      <c r="A37" s="11" t="s">
        <v>36</v>
      </c>
      <c r="B37" s="67">
        <f>1200+1000+1000+1000+1000+1200+1200+1200+1250+2100</f>
        <v>12150</v>
      </c>
      <c r="C37" s="12">
        <f>August!C37+B37</f>
        <v>229383</v>
      </c>
      <c r="D37" s="65">
        <f>180+110+300+300+280+200+270+200+200+180+180+210+20+71</f>
        <v>2701</v>
      </c>
      <c r="E37" s="12">
        <f>August!E37+D37</f>
        <v>13176</v>
      </c>
      <c r="F37" s="66"/>
      <c r="G37" s="12">
        <f>August!G37+F37</f>
        <v>0</v>
      </c>
    </row>
    <row r="38" spans="1:7" ht="15" customHeight="1" x14ac:dyDescent="0.2">
      <c r="A38" s="11" t="s">
        <v>37</v>
      </c>
      <c r="B38" s="67">
        <v>11083</v>
      </c>
      <c r="C38" s="12">
        <f>August!C38+B38</f>
        <v>86622</v>
      </c>
      <c r="D38" s="65">
        <f>3+666</f>
        <v>669</v>
      </c>
      <c r="E38" s="12">
        <f>August!E38+D38</f>
        <v>1145</v>
      </c>
      <c r="F38" s="66"/>
      <c r="G38" s="12">
        <f>August!G38+F38</f>
        <v>0</v>
      </c>
    </row>
    <row r="39" spans="1:7" ht="15" customHeight="1" x14ac:dyDescent="0.2">
      <c r="A39" s="11" t="s">
        <v>38</v>
      </c>
      <c r="B39" s="67">
        <v>194892</v>
      </c>
      <c r="C39" s="12">
        <f>August!C39+B39</f>
        <v>1805893</v>
      </c>
      <c r="D39" s="65">
        <v>113</v>
      </c>
      <c r="E39" s="12">
        <f>August!E39+D39</f>
        <v>1247</v>
      </c>
      <c r="F39" s="66"/>
      <c r="G39" s="12">
        <f>August!G39+F39</f>
        <v>0</v>
      </c>
    </row>
    <row r="40" spans="1:7" ht="15" customHeight="1" x14ac:dyDescent="0.2">
      <c r="A40" s="11" t="s">
        <v>39</v>
      </c>
      <c r="B40" s="67"/>
      <c r="C40" s="12">
        <f>August!C40+B40</f>
        <v>0</v>
      </c>
      <c r="D40" s="65"/>
      <c r="E40" s="12">
        <f>August!E40+D40</f>
        <v>0</v>
      </c>
      <c r="F40" s="66"/>
      <c r="G40" s="12">
        <f>August!G40+F40</f>
        <v>0</v>
      </c>
    </row>
    <row r="41" spans="1:7" ht="15" customHeight="1" x14ac:dyDescent="0.2">
      <c r="A41" s="11" t="s">
        <v>40</v>
      </c>
      <c r="B41" s="67">
        <v>189</v>
      </c>
      <c r="C41" s="12">
        <f>August!C41+B41</f>
        <v>2189</v>
      </c>
      <c r="D41" s="65"/>
      <c r="E41" s="12">
        <f>August!E41+D41</f>
        <v>925</v>
      </c>
      <c r="F41" s="66"/>
      <c r="G41" s="12">
        <f>August!G41+F41</f>
        <v>0</v>
      </c>
    </row>
    <row r="42" spans="1:7" ht="15" customHeight="1" x14ac:dyDescent="0.2">
      <c r="A42" s="11" t="s">
        <v>41</v>
      </c>
      <c r="B42" s="67"/>
      <c r="C42" s="12">
        <f>August!C42+B42</f>
        <v>0</v>
      </c>
      <c r="D42" s="65"/>
      <c r="E42" s="12">
        <f>August!E42+D42</f>
        <v>0</v>
      </c>
      <c r="F42" s="66"/>
      <c r="G42" s="12">
        <f>August!G42+F42</f>
        <v>0</v>
      </c>
    </row>
    <row r="43" spans="1:7" ht="15" customHeight="1" x14ac:dyDescent="0.2">
      <c r="A43" s="11" t="s">
        <v>42</v>
      </c>
      <c r="B43" s="67"/>
      <c r="C43" s="12">
        <f>August!C43+B43</f>
        <v>0</v>
      </c>
      <c r="D43" s="65"/>
      <c r="E43" s="12">
        <f>August!E43+D43</f>
        <v>0</v>
      </c>
      <c r="F43" s="66"/>
      <c r="G43" s="12">
        <f>August!G43+F43</f>
        <v>0</v>
      </c>
    </row>
    <row r="44" spans="1:7" ht="15" customHeight="1" x14ac:dyDescent="0.2">
      <c r="A44" s="11" t="s">
        <v>43</v>
      </c>
      <c r="B44" s="67">
        <f>2400+3600+2000+2000+735+800+1300+700+1200+600+600+600+640+640+716+630+630+630+540+540+700+630+550+1350+400+300+130+51626</f>
        <v>77187</v>
      </c>
      <c r="C44" s="12">
        <f>August!C44+B44</f>
        <v>379306</v>
      </c>
      <c r="D44" s="65">
        <v>231</v>
      </c>
      <c r="E44" s="12">
        <f>August!E44+D44</f>
        <v>5226</v>
      </c>
      <c r="F44" s="66"/>
      <c r="G44" s="12">
        <f>August!G44+F44</f>
        <v>0</v>
      </c>
    </row>
    <row r="45" spans="1:7" ht="15" customHeight="1" x14ac:dyDescent="0.2">
      <c r="A45" s="11" t="s">
        <v>44</v>
      </c>
      <c r="B45" s="67"/>
      <c r="C45" s="12">
        <f>August!C45+B45</f>
        <v>0</v>
      </c>
      <c r="D45" s="65"/>
      <c r="E45" s="12">
        <f>August!E45+D45</f>
        <v>137</v>
      </c>
      <c r="F45" s="66"/>
      <c r="G45" s="12">
        <f>August!G45+F45</f>
        <v>0</v>
      </c>
    </row>
    <row r="46" spans="1:7" ht="15" customHeight="1" x14ac:dyDescent="0.2">
      <c r="A46" s="11" t="s">
        <v>45</v>
      </c>
      <c r="B46" s="67">
        <v>7451</v>
      </c>
      <c r="C46" s="12">
        <f>August!C46+B46</f>
        <v>116727</v>
      </c>
      <c r="D46" s="65"/>
      <c r="E46" s="12">
        <f>August!E46+D46</f>
        <v>130</v>
      </c>
      <c r="F46" s="66"/>
      <c r="G46" s="12">
        <f>August!G46+F46</f>
        <v>0</v>
      </c>
    </row>
    <row r="47" spans="1:7" ht="15" customHeight="1" x14ac:dyDescent="0.2">
      <c r="A47" s="11" t="s">
        <v>46</v>
      </c>
      <c r="B47" s="67">
        <v>29095</v>
      </c>
      <c r="C47" s="12">
        <f>August!C47+B47</f>
        <v>244356</v>
      </c>
      <c r="D47" s="65"/>
      <c r="E47" s="12">
        <f>August!E47+D47</f>
        <v>2</v>
      </c>
      <c r="F47" s="66"/>
      <c r="G47" s="12">
        <f>August!G47+F47</f>
        <v>135</v>
      </c>
    </row>
    <row r="48" spans="1:7" ht="15" customHeight="1" x14ac:dyDescent="0.2">
      <c r="A48" s="11" t="s">
        <v>47</v>
      </c>
      <c r="B48" s="67"/>
      <c r="C48" s="12">
        <f>August!C48+B48</f>
        <v>0</v>
      </c>
      <c r="D48" s="65"/>
      <c r="E48" s="12">
        <f>August!E48+D48</f>
        <v>0</v>
      </c>
      <c r="F48" s="66"/>
      <c r="G48" s="12">
        <f>August!G48+F48</f>
        <v>0</v>
      </c>
    </row>
    <row r="49" spans="1:256" ht="15" customHeight="1" x14ac:dyDescent="0.2">
      <c r="A49" s="11" t="s">
        <v>48</v>
      </c>
      <c r="B49" s="67"/>
      <c r="C49" s="12">
        <f>August!C49+B49</f>
        <v>0</v>
      </c>
      <c r="D49" s="65"/>
      <c r="E49" s="12">
        <f>August!E49+D49</f>
        <v>0</v>
      </c>
      <c r="F49" s="66"/>
      <c r="G49" s="12">
        <f>August!G49+F49</f>
        <v>0</v>
      </c>
    </row>
    <row r="50" spans="1:256" ht="15" customHeight="1" x14ac:dyDescent="0.2">
      <c r="A50" s="11" t="s">
        <v>49</v>
      </c>
      <c r="B50" s="67"/>
      <c r="C50" s="12">
        <f>August!C50+B50</f>
        <v>0</v>
      </c>
      <c r="D50" s="65"/>
      <c r="E50" s="12">
        <f>August!E50+D50</f>
        <v>0</v>
      </c>
      <c r="F50" s="66"/>
      <c r="G50" s="12">
        <f>August!G50+F50</f>
        <v>0</v>
      </c>
    </row>
    <row r="51" spans="1:256" ht="15" customHeight="1" x14ac:dyDescent="0.2">
      <c r="A51" s="11" t="s">
        <v>50</v>
      </c>
      <c r="B51" s="67"/>
      <c r="C51" s="12">
        <f>August!C51+B51</f>
        <v>0</v>
      </c>
      <c r="D51" s="65"/>
      <c r="E51" s="12">
        <f>August!E51+D51</f>
        <v>0</v>
      </c>
      <c r="F51" s="66"/>
      <c r="G51" s="12">
        <f>August!G51+F51</f>
        <v>0</v>
      </c>
    </row>
    <row r="52" spans="1:256" ht="15" customHeight="1" x14ac:dyDescent="0.2">
      <c r="A52" s="11" t="s">
        <v>51</v>
      </c>
      <c r="B52" s="67">
        <f>5+396+700+989+450+2200+850+131+60+25+25+250+450+850+150+150+200+260+160+200+60+160+100+200+200+155+75+150+250+250+200+150+150+150+200+250+150+250</f>
        <v>11601</v>
      </c>
      <c r="C52" s="12">
        <f>August!C52+B52</f>
        <v>160934</v>
      </c>
      <c r="D52" s="65">
        <f>450+40</f>
        <v>490</v>
      </c>
      <c r="E52" s="12">
        <f>August!E52+D52</f>
        <v>4097</v>
      </c>
      <c r="F52" s="66"/>
      <c r="G52" s="12">
        <f>August!G52+F52</f>
        <v>0</v>
      </c>
    </row>
    <row r="53" spans="1:256" ht="15" customHeight="1" x14ac:dyDescent="0.2">
      <c r="A53" s="11" t="s">
        <v>52</v>
      </c>
      <c r="B53" s="67">
        <f>1700+1700+2360+1955+1955+1955+1935+1230+1130+2360+1397+558+1935</f>
        <v>22170</v>
      </c>
      <c r="C53" s="12">
        <f>August!C53+B53</f>
        <v>241387</v>
      </c>
      <c r="D53" s="65">
        <f>183+90+49</f>
        <v>322</v>
      </c>
      <c r="E53" s="12">
        <f>August!E53+D53</f>
        <v>3502</v>
      </c>
      <c r="F53" s="66"/>
      <c r="G53" s="12">
        <f>August!G53+F53</f>
        <v>0</v>
      </c>
    </row>
    <row r="54" spans="1:256" ht="15" customHeight="1" thickBot="1" x14ac:dyDescent="0.25">
      <c r="A54" s="13" t="s">
        <v>53</v>
      </c>
      <c r="B54" s="73">
        <v>260050</v>
      </c>
      <c r="C54" s="12">
        <f>August!C54+B54</f>
        <v>2374689</v>
      </c>
      <c r="D54" s="106">
        <v>1971</v>
      </c>
      <c r="E54" s="12">
        <f>August!E54+D54</f>
        <v>7376</v>
      </c>
      <c r="F54" s="66">
        <v>12203</v>
      </c>
      <c r="G54" s="12">
        <f>August!G54+F54</f>
        <v>109430</v>
      </c>
    </row>
    <row r="55" spans="1:256" ht="15" customHeight="1" thickTop="1" thickBot="1" x14ac:dyDescent="0.25">
      <c r="A55" s="14" t="s">
        <v>54</v>
      </c>
      <c r="B55" s="15">
        <f>SUM(B7:B54)</f>
        <v>2007171</v>
      </c>
      <c r="C55" s="15">
        <f>August!C55+B55</f>
        <v>17850427</v>
      </c>
      <c r="D55" s="15">
        <f>SUM(D7:D54)</f>
        <v>18601</v>
      </c>
      <c r="E55" s="15">
        <f>August!E55+D55</f>
        <v>144872</v>
      </c>
      <c r="F55" s="15">
        <f>SUM(F7:F54)</f>
        <v>12203</v>
      </c>
      <c r="G55" s="15">
        <f>August!G55+F55</f>
        <v>109589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1020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100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920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>
        <f>40+210+140+150+140+170+150+200+175+55+40+175+40+70+55+70+120+200+230+150+260+130+160+40+215+150+175+200+110+300+135+45+150+175+300+36+22+240+1200+1235+2280+1124+109+240+110+135+300+45+300+175+150+110+135+225+45+150+300+175+55+230+250+86+65+120+90+69+40+90+180+155+230+130+90+90+55+150+300+70+40+150+175+150+55+215+250+175+55+150+70+40+150+150+50+190+55+160+90+60+80+175+90+20+98+125+15+40+125+8+8+100+10+16+40+96+8+98+110+100+110+240+92+125+8+300+110+135+300+175+150+135+45+110+300+36+92+210+96+10+92+125+8+16+24+210+210+40+175+200+210+96+22+96+94+54+125+94+8+100+75+225+100+120+150+210+600+260+75+30+160+85+85+100+75+30+100+85+100+80+250+75+170+160+30+200+30+175+190+75+100+85+70+100+300+30+175+75+160+100+85+160+30+85+100+75+85+70+30+200+190+250+110+50+175+70+120+150+70+120+150+250+80+175+70+120+120+130+130+130+130+55+175+200+200+175+40+150+175+40+150+50+150+160+175+150+200+280+40+240+70+55+150+275+175+200+175+55+150+150+40+70+55+150+40+175+45+230+150+175+300+135+110+45+150+175+300+100+15+90+160+90+200+94+45+110+300+135+200+175+150+90+160+170+52+90+210+90+190+70+275+70+30+85+100+75+30+85+100+75+150+250+375+70+30+85+175+85+100+75+70+75+80+225+160+70+30+200+525+160+30+30+85+100+340+175+340+70+150+100+350+85+100+75+100+120+250+160+4200</f>
        <v>54452</v>
      </c>
      <c r="D62" s="24">
        <f>August!D62+C62</f>
        <v>740173</v>
      </c>
    </row>
    <row r="63" spans="1:256" ht="15" customHeight="1" x14ac:dyDescent="0.2">
      <c r="A63" s="1" t="s">
        <v>66</v>
      </c>
      <c r="B63" s="23"/>
      <c r="C63" s="23">
        <f>170+60+8+80+70+90+106+45+100+60+23+35+90+80+18+15+170+60+40+60+170+20+80+90+116+90+45+170+60+10+80+100+80+90+35+70+25+60+80+90+116+20+45+48+170+60+170+80+25+35+70+90+8+70+176+60+170+70+60+20+60+23+30+35+90+80+30+40+100+80+90+116+70+45+60+60</f>
        <v>5513</v>
      </c>
      <c r="D63" s="24">
        <f>August!D63+C63</f>
        <v>50903</v>
      </c>
    </row>
    <row r="64" spans="1:256" ht="15" customHeight="1" x14ac:dyDescent="0.2">
      <c r="A64" s="1" t="s">
        <v>64</v>
      </c>
      <c r="B64" s="23"/>
      <c r="C64" s="23">
        <f>24+140+100+180+140+140+120+70+15+45+40+75+10+44+8+20+12+33+35+86+80+19+70+57+15+75+36+6+45+40+35+32+36+42+33+64+20+120+8+35+70+30+45+40+75+10+33+12+36+33+12+124+15+120+36+70+30+64+20+45+40+75+10+35+43+8+33+12+140+24+100+19+70+50+30+80+46+8+86+84+120+12+28+26+35+44+60+66+20+26+80+16+20+70+45+57+38+8+75+15+35+140+180+100+180+250+100+26+72+140+65+55+70+140+100+180+225+70+180+20+140+65+180+175+50+140+100+50+65+70+22+4+72+105+85+120+140+220+50+70+26+72+105+85+120+140+180+180+250+100+100+26+72+100+100+110+65+26+72+95+140+65+20+180+150+75+175+100+45+57+75+15+85+25+12+105+210+120+180+250+180+60+180+180+130+140+140+100+140+36+140+150+140+150+140+140</f>
        <v>15484</v>
      </c>
      <c r="D64" s="24">
        <f>August!D64+C64</f>
        <v>227199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>
        <v>220</v>
      </c>
      <c r="D66" s="24">
        <f>August!D66+C66</f>
        <v>18328</v>
      </c>
    </row>
    <row r="67" spans="1:4" ht="15" customHeight="1" x14ac:dyDescent="0.2">
      <c r="A67" s="1" t="s">
        <v>63</v>
      </c>
      <c r="C67" s="23">
        <v>1326</v>
      </c>
      <c r="D67" s="24">
        <f>August!D67+C67</f>
        <v>10766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Crawford, Karla</cp:lastModifiedBy>
  <cp:lastPrinted>2011-09-14T17:22:45Z</cp:lastPrinted>
  <dcterms:created xsi:type="dcterms:W3CDTF">2001-01-18T13:50:08Z</dcterms:created>
  <dcterms:modified xsi:type="dcterms:W3CDTF">2011-12-02T15:17:10Z</dcterms:modified>
</cp:coreProperties>
</file>